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1" activeTab="39"/>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Детализация'!$A$412:$A$412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Детализация'!$F$412</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REESTR_IP_RANGE">REESTR_IP!$A$2:$I$3</definedName>
    <definedName name="IP_MAIN_ip_44">ИП!$13:$14</definedName>
    <definedName name="IP_QRE_ip_44">'ИП. КНЭ'!$21:$23</definedName>
    <definedName name="IP_DETAILED_ip_44">'ИП. Детализация'!$14:$411</definedName>
    <definedName name="IP_FIN_PLAN_ip_44">'ИП. Финансовый план'!$K$11:$Q$11</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<sst xmlns="http://schemas.openxmlformats.org/spreadsheetml/2006/main" count="16790" uniqueCount="4904">
  <si>
    <t xml:space="preserve"> (требуется обновление)</t>
  </si>
  <si>
    <t>Код отчёта: PP110.OPEN.INFO.INVEST.HEAT.EIAS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</si>
  <si>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</si>
  <si>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</si>
  <si>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</si>
  <si>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</si>
  <si>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</si>
  <si>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</si>
  <si>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</si>
  <si>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</si>
  <si>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</si>
  <si>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</si>
  <si>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</si>
  <si>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</si>
  <si>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г.Санкт-Петербург</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</si>
  <si>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</si>
  <si>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</si>
  <si>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</si>
  <si>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</si>
  <si>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</si>
  <si>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</si>
  <si>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</si>
  <si>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</si>
  <si>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</si>
  <si>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</si>
  <si>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</si>
  <si>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</si>
  <si>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</si>
  <si>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</si>
  <si>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</si>
  <si>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</si>
  <si>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</si>
  <si>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</si>
  <si>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</si>
  <si>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</si>
  <si>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</si>
  <si>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</si>
  <si>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</si>
  <si>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</si>
  <si>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</si>
  <si>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</si>
  <si>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</si>
  <si>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</si>
  <si>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</si>
  <si>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</si>
  <si>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</si>
  <si>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</si>
  <si>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</si>
  <si>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</si>
  <si>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</si>
  <si>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</si>
  <si>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</si>
  <si>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</si>
  <si>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</si>
  <si>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</si>
  <si>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</si>
  <si>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</si>
  <si>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</si>
  <si>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</si>
  <si>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</si>
  <si>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</si>
  <si>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</si>
  <si>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</si>
  <si>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</si>
  <si>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</si>
  <si>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</si>
  <si>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</si>
  <si>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Санкт-Петербург, пр. Добролюбова, д.16, корпус 2,  литера А</t>
  </si>
  <si>
    <t>Фамилия, имя, отчество руководителя</t>
  </si>
  <si>
    <t>Ведерчик Вадим Евгеньевич</t>
  </si>
  <si>
    <t>Ответственный за заполнение формы</t>
  </si>
  <si>
    <t>Фамилия, имя, отчество</t>
  </si>
  <si>
    <t>Клементьева Наталья Александровна</t>
  </si>
  <si>
    <t>Должность</t>
  </si>
  <si>
    <t>главный специалист</t>
  </si>
  <si>
    <t>Контактный телефон</t>
  </si>
  <si>
    <t>8 (812) 688-33-21</t>
  </si>
  <si>
    <t>E-mail</t>
  </si>
  <si>
    <t>Klementeva.NA@tgc1.ru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</si>
  <si>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</si>
  <si>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</si>
  <si>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</si>
  <si>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</si>
  <si>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</si>
  <si>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</si>
  <si>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</si>
  <si>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</si>
  <si>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</si>
  <si>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</si>
  <si>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</si>
  <si>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</si>
  <si>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</si>
  <si>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</si>
  <si>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</si>
  <si>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</si>
  <si>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</si>
  <si>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</si>
  <si>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</si>
  <si>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</si>
  <si>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</si>
  <si>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</si>
  <si>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</si>
  <si>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</si>
  <si>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</si>
  <si>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</si>
  <si>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</si>
  <si>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</si>
  <si>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</si>
  <si>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</si>
  <si>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</si>
  <si>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</si>
  <si>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</si>
  <si>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</si>
  <si>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</si>
  <si>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</si>
  <si>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</si>
  <si>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</si>
  <si>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</si>
  <si>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</si>
  <si>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</si>
  <si>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</si>
  <si>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</si>
  <si>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</si>
  <si>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</si>
  <si>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</si>
  <si>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</si>
  <si>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</si>
  <si>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</si>
  <si>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</si>
  <si>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</si>
  <si>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</si>
  <si>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</si>
  <si>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</si>
  <si>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</si>
  <si>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</si>
  <si>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</si>
  <si>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</si>
  <si>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</si>
  <si>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</si>
  <si>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</si>
  <si>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</si>
  <si>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</si>
  <si>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</si>
  <si>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</si>
  <si>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</si>
  <si>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</si>
  <si>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</si>
  <si>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</si>
  <si>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</si>
  <si>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</si>
  <si>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</si>
  <si>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</si>
  <si>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</si>
  <si>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</si>
  <si>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</si>
  <si>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</si>
  <si>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</si>
  <si>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</si>
  <si>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</si>
  <si>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</si>
  <si>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</si>
  <si>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</si>
  <si>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</si>
  <si>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</si>
  <si>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</si>
  <si>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</si>
  <si>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</si>
  <si>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</si>
  <si>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</si>
  <si>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</si>
  <si>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</si>
  <si>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</si>
  <si>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</si>
  <si>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</si>
  <si>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</si>
  <si>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</si>
  <si>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</si>
  <si>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</si>
  <si>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</si>
  <si>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</si>
  <si>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</si>
  <si>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</si>
  <si>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</si>
  <si>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</si>
  <si>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</si>
  <si>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</si>
  <si>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</si>
  <si>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</si>
  <si>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</si>
  <si>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</si>
  <si>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</si>
  <si>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</si>
  <si>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</si>
  <si>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</si>
  <si>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</si>
  <si>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</si>
  <si>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</si>
  <si>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</si>
  <si>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</si>
  <si>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</si>
  <si>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</si>
  <si>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</si>
  <si>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</si>
  <si>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</si>
  <si>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</si>
  <si>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</si>
  <si>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</si>
  <si>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</si>
  <si>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</si>
  <si>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</si>
  <si>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</si>
  <si>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</si>
  <si>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</si>
  <si>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</si>
  <si>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</si>
  <si>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</si>
  <si>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</si>
  <si>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</si>
  <si>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</si>
  <si>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</si>
  <si>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</si>
  <si>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</si>
  <si>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</si>
  <si>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</si>
  <si>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</si>
  <si>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</si>
  <si>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</si>
  <si>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</si>
  <si>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</si>
  <si>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</si>
  <si>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</si>
  <si>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</si>
  <si>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</si>
  <si>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</si>
  <si>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</si>
  <si>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</si>
  <si>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</si>
  <si>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</si>
  <si>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</si>
  <si>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</si>
  <si>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</si>
  <si>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</si>
  <si>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</si>
  <si>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</si>
  <si>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</si>
  <si>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</si>
  <si>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</si>
  <si>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</si>
  <si>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</si>
  <si>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</si>
  <si>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</si>
  <si>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</si>
  <si>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</si>
  <si>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</si>
  <si>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</si>
  <si>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</si>
  <si>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</si>
  <si>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</si>
  <si>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</si>
  <si>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</si>
  <si>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</si>
  <si>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</si>
  <si>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</si>
  <si>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</si>
  <si>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</si>
  <si>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</si>
  <si>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</si>
  <si>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</si>
  <si>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</si>
  <si>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</si>
  <si>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</si>
  <si>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</si>
  <si>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</si>
  <si>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</si>
  <si>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</si>
  <si>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</si>
  <si>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</si>
  <si>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</si>
  <si>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</si>
  <si>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</si>
  <si>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</si>
  <si>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</si>
  <si>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</si>
  <si>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</si>
  <si>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</si>
  <si>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</si>
  <si>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</si>
  <si>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</si>
  <si>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</si>
  <si>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</si>
  <si>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</si>
  <si>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</si>
  <si>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</si>
  <si>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</si>
  <si>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</si>
  <si>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</si>
  <si>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</si>
  <si>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</si>
  <si>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</si>
  <si>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</si>
  <si>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</si>
  <si>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</si>
  <si>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</si>
  <si>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</si>
  <si>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</si>
  <si>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</si>
  <si>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</si>
  <si>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</si>
  <si>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</si>
  <si>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</si>
  <si>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</si>
  <si>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</si>
  <si>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</si>
  <si>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</si>
  <si>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</si>
  <si>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</si>
  <si>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</si>
  <si>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</si>
  <si>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</si>
  <si>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</si>
  <si>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</si>
  <si>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</si>
  <si>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</si>
  <si>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</si>
  <si>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</si>
  <si>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</si>
  <si>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</si>
  <si>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</si>
  <si>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</si>
  <si>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</si>
  <si>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</si>
  <si>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</si>
  <si>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</si>
  <si>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</si>
  <si>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</si>
  <si>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</si>
  <si>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</si>
  <si>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</si>
  <si>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</si>
  <si>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</si>
  <si>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</si>
  <si>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</si>
  <si>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</si>
  <si>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</si>
  <si>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</si>
  <si>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</si>
  <si>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</si>
  <si>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</si>
  <si>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</si>
  <si>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</si>
  <si>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</si>
  <si>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</si>
  <si>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</si>
  <si>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</si>
  <si>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</si>
  <si>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</si>
  <si>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</si>
  <si>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</si>
  <si>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</si>
  <si>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</si>
  <si>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</si>
  <si>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</si>
  <si>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</si>
  <si>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</si>
  <si>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</si>
  <si>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</si>
  <si>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</si>
  <si>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</si>
  <si>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</si>
  <si>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</si>
  <si>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</si>
  <si>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</si>
  <si>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</si>
  <si>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</si>
  <si>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</si>
  <si>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</si>
  <si>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</si>
  <si>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</si>
  <si>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</si>
  <si>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</si>
  <si>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</si>
  <si>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</si>
  <si>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</si>
  <si>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</si>
  <si>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</si>
  <si>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</si>
  <si>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</si>
  <si>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</si>
  <si>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</si>
  <si>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</si>
  <si>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</si>
  <si>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</si>
  <si>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</si>
  <si>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</si>
  <si>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</si>
  <si>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</si>
  <si>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</si>
  <si>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</si>
  <si>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</si>
  <si>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</si>
  <si>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</si>
  <si>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</si>
  <si>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</si>
  <si>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</si>
  <si>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</si>
  <si>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</si>
  <si>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</si>
  <si>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</si>
  <si>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</si>
  <si>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</si>
  <si>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</si>
  <si>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</si>
  <si>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</si>
  <si>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</si>
  <si>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</si>
  <si>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</si>
  <si>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</si>
  <si>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</si>
  <si>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</si>
  <si>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</si>
  <si>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</si>
  <si>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</si>
  <si>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</si>
  <si>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</si>
  <si>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</si>
  <si>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</si>
  <si>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</si>
  <si>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</si>
  <si>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</si>
  <si>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</si>
  <si>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</si>
  <si>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</si>
  <si>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</si>
  <si>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</si>
  <si>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</si>
  <si>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</si>
  <si>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</si>
  <si>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</si>
  <si>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</si>
  <si>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</si>
  <si>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</si>
  <si>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</si>
  <si>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</si>
  <si>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</si>
  <si>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</si>
  <si>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</si>
  <si>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</si>
  <si>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</si>
  <si>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</si>
  <si>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</si>
  <si>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</si>
  <si>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</si>
  <si>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</si>
  <si>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</si>
  <si>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</si>
  <si>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</si>
  <si>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</si>
  <si>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</si>
  <si>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</si>
  <si>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</si>
  <si>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</si>
  <si>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</si>
  <si>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</si>
  <si>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</si>
  <si>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</si>
  <si>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</si>
  <si>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</si>
  <si>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</si>
  <si>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</si>
  <si>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</si>
  <si>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</si>
  <si>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</si>
  <si>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</si>
  <si>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</si>
  <si>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</si>
  <si>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</si>
  <si>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</si>
  <si>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</si>
  <si>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</si>
  <si>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</si>
  <si>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</si>
  <si>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</si>
  <si>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</si>
  <si>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</si>
  <si>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</si>
  <si>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</si>
  <si>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</si>
  <si>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</si>
  <si>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</si>
  <si>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</si>
  <si>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</si>
  <si>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</si>
  <si>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</si>
  <si>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</si>
  <si>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</si>
  <si>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</si>
  <si>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</si>
  <si>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</si>
  <si>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</si>
  <si>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</si>
  <si>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</si>
  <si>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</si>
  <si>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</si>
  <si>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</si>
  <si>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</si>
  <si>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</si>
  <si>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</si>
  <si>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</si>
  <si>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</si>
  <si>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</si>
  <si>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</si>
  <si>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</si>
  <si>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</si>
  <si>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</si>
  <si>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</si>
  <si>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</si>
  <si>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</si>
  <si>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</si>
  <si>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</si>
  <si>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</si>
  <si>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</si>
  <si>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</si>
  <si>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</si>
  <si>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</si>
  <si>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</si>
  <si>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</si>
  <si>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</si>
  <si>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</si>
  <si>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</si>
  <si>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</si>
  <si>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</si>
  <si>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</si>
  <si>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</si>
  <si>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</si>
  <si>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</si>
  <si>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</si>
  <si>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</si>
  <si>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</si>
  <si>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</si>
  <si>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</si>
  <si>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</si>
  <si>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</si>
  <si>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</si>
  <si>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</si>
  <si>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</si>
  <si>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</si>
  <si>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</si>
  <si>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</si>
  <si>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</si>
  <si>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</si>
  <si>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</si>
  <si>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</si>
  <si>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</si>
  <si>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</si>
  <si>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</si>
  <si>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</si>
  <si>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</si>
  <si>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</si>
  <si>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</si>
  <si>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</si>
  <si>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</si>
  <si>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</si>
  <si>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</si>
  <si>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</si>
  <si>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</si>
  <si>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</si>
  <si>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</si>
  <si>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</si>
  <si>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</si>
  <si>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</si>
  <si>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</si>
  <si>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</si>
  <si>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</si>
  <si>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</si>
  <si>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</si>
  <si>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</si>
  <si>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</si>
  <si>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</si>
  <si>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</si>
  <si>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</si>
  <si>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</si>
  <si>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</si>
  <si>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</si>
  <si>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</si>
  <si>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</si>
  <si>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</si>
  <si>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</si>
  <si>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</si>
  <si>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</si>
  <si>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</si>
  <si>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</si>
  <si>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</si>
  <si>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</si>
  <si>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</si>
  <si>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</si>
  <si>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</si>
  <si>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</si>
  <si>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</si>
  <si>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</si>
  <si>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</si>
  <si>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</si>
  <si>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</si>
  <si>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</si>
  <si>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</si>
  <si>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</si>
  <si>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</si>
  <si>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</si>
  <si>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</si>
  <si>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</si>
  <si>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</si>
  <si>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</si>
  <si>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</si>
  <si>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</si>
  <si>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</si>
  <si>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</si>
  <si>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</si>
  <si>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</si>
  <si>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</si>
  <si>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</si>
  <si>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</si>
  <si>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</si>
  <si>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</si>
  <si>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</si>
  <si>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</si>
  <si>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</si>
  <si>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</si>
  <si>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</si>
  <si>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</si>
  <si>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</si>
  <si>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</si>
  <si>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</si>
  <si>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</si>
  <si>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</si>
  <si>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</si>
  <si>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</si>
  <si>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</si>
  <si>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</si>
  <si>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</si>
  <si>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</si>
  <si>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</si>
  <si>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</si>
  <si>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</si>
  <si>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</si>
  <si>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</si>
  <si>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</si>
  <si>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</si>
  <si>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</si>
  <si>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</si>
  <si>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</si>
  <si>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</si>
  <si>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</si>
  <si>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</si>
  <si>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</si>
  <si>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</si>
  <si>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</si>
  <si>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</si>
  <si>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</si>
  <si>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</si>
  <si>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</si>
  <si>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</si>
  <si>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</si>
  <si>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</si>
  <si>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</si>
  <si>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</si>
  <si>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</si>
  <si>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</si>
  <si>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</si>
  <si>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</si>
  <si>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</si>
  <si>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</si>
  <si>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</si>
  <si>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</si>
  <si>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</si>
  <si>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</si>
  <si>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</si>
  <si>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</si>
  <si>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</si>
  <si>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</si>
  <si>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</si>
  <si>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</si>
  <si>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</si>
  <si>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</si>
  <si>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</si>
  <si>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</si>
  <si>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</si>
  <si>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</si>
  <si>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</si>
  <si>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</si>
  <si>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</si>
  <si>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</si>
  <si>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</si>
  <si>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</si>
  <si>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</si>
  <si>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</si>
  <si>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</si>
  <si>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</si>
  <si>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</si>
  <si>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</si>
  <si>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</si>
  <si>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</si>
  <si>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</si>
  <si>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</si>
  <si>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</si>
  <si>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</si>
  <si>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</si>
  <si>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</si>
  <si>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</si>
  <si>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</si>
  <si>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</si>
  <si>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</si>
  <si>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</si>
  <si>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</si>
  <si>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</si>
  <si>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</si>
  <si>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</si>
  <si>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</si>
  <si>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</si>
  <si>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</si>
  <si>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</si>
  <si>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</si>
  <si>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</si>
  <si>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</si>
  <si>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</si>
  <si>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</si>
  <si>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</si>
  <si>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</si>
  <si>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</si>
  <si>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</si>
  <si>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</si>
  <si>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</si>
  <si>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</si>
  <si>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</si>
  <si>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</si>
  <si>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</si>
  <si>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</si>
  <si>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</si>
  <si>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</si>
  <si>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</si>
  <si>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</si>
  <si>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</si>
  <si>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</si>
  <si>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</si>
  <si>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</si>
  <si>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</si>
  <si>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</si>
  <si>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</si>
  <si>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</si>
  <si>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</si>
  <si>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</si>
  <si>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</si>
  <si>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</si>
  <si>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</si>
  <si>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</si>
  <si>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</si>
  <si>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</si>
  <si>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</si>
  <si>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</si>
  <si>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</si>
  <si>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</si>
  <si>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</si>
  <si>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</si>
  <si>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</si>
  <si>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</si>
  <si>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</si>
  <si>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</si>
  <si>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</si>
  <si>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</si>
  <si>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</si>
  <si>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</si>
  <si>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</si>
  <si>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</si>
  <si>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</si>
  <si>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</si>
  <si>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</si>
  <si>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</si>
  <si>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</si>
  <si>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</si>
  <si>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</si>
  <si>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</si>
  <si>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</si>
  <si>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</si>
  <si>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</si>
  <si>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</si>
  <si>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</si>
  <si>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</si>
  <si>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</si>
  <si>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</si>
  <si>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</si>
  <si>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</si>
  <si>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</si>
  <si>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</si>
  <si>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</si>
  <si>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</si>
  <si>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</si>
  <si>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</si>
  <si>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</si>
  <si>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</si>
  <si>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</si>
  <si>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</si>
  <si>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</si>
  <si>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</si>
  <si>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</si>
  <si>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</si>
  <si>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</si>
  <si>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</si>
  <si>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</si>
  <si>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</si>
  <si>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</si>
  <si>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</si>
  <si>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</si>
  <si>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</si>
  <si>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</si>
  <si>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</si>
  <si>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</si>
  <si>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</si>
  <si>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</si>
  <si>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</si>
  <si>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</si>
  <si>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</si>
  <si>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</si>
  <si>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</si>
  <si>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</si>
  <si>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</si>
  <si>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</si>
  <si>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</si>
  <si>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</si>
  <si>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</si>
  <si>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</si>
  <si>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</si>
  <si>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</si>
  <si>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</si>
  <si>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</si>
  <si>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</si>
  <si>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</si>
  <si>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</si>
  <si>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</si>
  <si>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</si>
  <si>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</si>
  <si>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</si>
  <si>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</si>
  <si>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</si>
  <si>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</si>
  <si>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</si>
  <si>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</si>
  <si>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</si>
  <si>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</si>
  <si>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</si>
  <si>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</si>
  <si>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</si>
  <si>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</si>
  <si>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</si>
  <si>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</si>
  <si>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</si>
  <si>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</si>
  <si>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</si>
  <si>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</si>
  <si>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</si>
  <si>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</si>
  <si>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</si>
  <si>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</si>
  <si>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</si>
  <si>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</si>
  <si>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</si>
  <si>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</si>
  <si>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</si>
  <si>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</si>
  <si>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</si>
  <si>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</si>
  <si>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</si>
  <si>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</si>
  <si>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</si>
  <si>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</si>
  <si>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</si>
  <si>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</si>
  <si>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</si>
  <si>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</si>
  <si>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</si>
  <si>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</si>
  <si>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</si>
  <si>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</si>
  <si>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</si>
  <si>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</si>
  <si>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</si>
  <si>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</si>
  <si>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</si>
  <si>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</si>
  <si>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</si>
  <si>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</si>
  <si>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</si>
  <si>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</si>
  <si>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</si>
  <si>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</si>
  <si>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</si>
  <si>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</si>
  <si>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</si>
  <si>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30.10.2023 ПАО "ТГК-1" филиал "Невский" в сфере теплоснабжения по комплексному развитию систем теплоснабжения на 2024-2028 годы</t>
  </si>
  <si>
    <t>снижение аварийности; улучшение качества; повышение надёжности и энергетической эффективности</t>
  </si>
  <si>
    <t>Комитет по тарифам Санкт-Петербурга</t>
  </si>
  <si>
    <t>01.01.2024</t>
  </si>
  <si>
    <t>31.12.2028</t>
  </si>
  <si>
    <t>Об утверждении инвестиционной программы публичного акционерного общества «Территориальная генерирующая компания №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 1» филиал «Невский», утвержденную распоряжением Комитета по тарифам Санкт-Петербурга от 14.12.2018 № 230-р, с изменениями, внесенными распоряжением Комитета по тарифам Санкт-Петербурга от 18.11.2022 № 177-р</t>
  </si>
  <si>
    <t>распоряжение</t>
  </si>
  <si>
    <t>108-р</t>
  </si>
  <si>
    <t>30.10.2023</t>
  </si>
  <si>
    <t xml:space="preserve">Об утверждении инвестиционной программы публичного акционерного общества "Территориальная генерирующая компания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№1" филиал "Невский", утвержденную распоряжением Комитета по тарифам Санкт-Петербурга от 14.12.2018 №230-р, с изменениями, внесенными распоряжением Комитета по тарифам Санкт-Петербурга от 18.11.2022 №177-р </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</si>
  <si>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</si>
  <si>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</si>
  <si>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</si>
  <si>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</si>
  <si>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</si>
  <si>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</si>
  <si>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</si>
  <si>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</si>
  <si>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</si>
  <si>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</si>
  <si>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</si>
  <si>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</si>
  <si>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</si>
  <si>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</si>
  <si>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</si>
  <si>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</si>
  <si>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</si>
  <si>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</si>
  <si>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</si>
  <si>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</si>
  <si>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</si>
  <si>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</si>
  <si>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</si>
  <si>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</si>
  <si>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</si>
  <si>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</si>
  <si>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</si>
  <si>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</si>
  <si>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</si>
  <si>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</si>
  <si>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</si>
  <si>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</si>
  <si>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</si>
  <si>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насосно-перекачивающей станции на ЭС-3 с учетом  выноса трубопроводов сетевой воды и насосного оборудования из Главного корпуса, строительства  РУ-6 кВ и перезаводки кабельных линий 6 кВ из Главного корпуса на новое РУ-6 кВ</t>
  </si>
  <si>
    <t>Декабрь</t>
  </si>
  <si>
    <t>2026</t>
  </si>
  <si>
    <t xml:space="preserve">  Прочие</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</si>
  <si>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</si>
  <si>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</si>
  <si>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</si>
  <si>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</si>
  <si>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</si>
  <si>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Реконструкция Автовской ТЭЦ </t>
  </si>
  <si>
    <t>2025</t>
  </si>
  <si>
    <t xml:space="preserve">      Прочие амортизационные отчисления</t>
  </si>
  <si>
    <t>Реконструкция ЭС-2 Центральной ТЭЦ филиала "Невский" 
ОАО "ТГК-1" со строительством новой водогрейной котельной</t>
  </si>
  <si>
    <t>Техническое перевооружение теплофикационной установки Выборгской ТЭЦ с заменой участка трубопровода сетевой воды (Ду 900) и увеличением его диаметра до Ду1000, выносом трубопровода на поверхность, реконструкцией узла учёта</t>
  </si>
  <si>
    <t>Техническое перевооружение турбоагрегата (ТА)  ст. № 2 на  Северной ТЭЦ в части комплексной замены паровой турбины мощностью 100 МВт на аналогичную с доработкой фундамента и выполнением ряда  технических мероприятий по интеграции вспомогательного оборудования и систем паровой турбины в существующие станционные</t>
  </si>
  <si>
    <t>2027</t>
  </si>
  <si>
    <t>Техническое перевооружение турбогенератора (ТГ) ст. № 4 на Василеостровской ТЭЦ в части комплексной замены паровой турбины мощностью 25 МВт на аналогичную с доработкой фундамента и выполнением ряда сопутствующих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</si>
  <si>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турбоагрегата (ст. № 4) (ПТ-25/30-8,8) на Василеостровской ТЭЦ в части замены главного паропровода (ГПП), замены общестанционного трансфера, модернизации паропровода теплофикационного отбора паровой турбины ст. № 4 с увеличением диаметра, частичной замены вспомогательных паропроводов, технического перевооружения электротехнического оборудования в части секций № 3 и № 4 собственных нужд с переводом на типовой класс напряжения 0,4 кВ с существующего 0,5 кВ, создания единой комплексной АСУ ТП турбоагрегата</t>
  </si>
  <si>
    <t>Мероприятия, направленные на повышение экологической эффективности</t>
  </si>
  <si>
    <t xml:space="preserve">Реконструкция сетей  канализации на ТЭЦ-15 с разделением потоков и строительством очистных сооружений на сбросе в водоём и городской коллектор </t>
  </si>
  <si>
    <t>2028</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</si>
  <si>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</si>
  <si>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Реконструкция Правобережной ТЭЦ в части создания комплекса инженерно-технических средств охраны (КИТСО)</t>
  </si>
  <si>
    <t>2024</t>
  </si>
  <si>
    <t>Реконструкция ЭС-2 Центральной ТЭЦ в части создания комплекса инженерно-технических средств охраны (КИТСО)</t>
  </si>
  <si>
    <t>Реконструкция Автовской ТЭЦ  в части создания комплекса инженерно-технических средств охраны (КИТСО)</t>
  </si>
  <si>
    <t>Реконструкция Первомайской ТЭЦ  в части создания комплекса инженерно-технических средств охраны (КИТСО)</t>
  </si>
  <si>
    <t>Добавить мероприятие</t>
  </si>
  <si>
    <t xml:space="preserve">Техническое перевооружение водогрейных котлов КВГМ-100 
ст. № 7 и КВГМ-100 ст. № 8 с увеличением установленной мощности каждого котлоагрегата ЭС-1 Центральной ТЭЦ </t>
  </si>
  <si>
    <t xml:space="preserve">Техническое перевооружение теплофикационной установки и водогрейного котлоагрегата ст. №16 с увеличением тепловой мощности водогрейного котлоагрегата (с 100 Гкал/ч до 120 Гкал/час) энергоблоков №1 и № 2 на Правобережной ТЭЦ </t>
  </si>
  <si>
    <t>Техническое перевооружение оборудования теплофикационной установки Выборгской ТЭЦ в части установки оборудования для регулирования параметров теплосети, защитных предохранительных устройств и систем управления</t>
  </si>
  <si>
    <t>Техническое перевооружение теплофикационной установки на Северной ТЭЦ c установкой новой насосной группы для регулирования параметров тепломагистралей в районе оси 19 между рядами Б-В</t>
  </si>
  <si>
    <t>Техническое перевооружение теплофикационной установки
Южной ТЭЦ с установкой дополнительной запорно-регулирующей арматры, заменой  трубопроводов сетевой воды (Ду=800 мм), заменой насосов рециркуляции</t>
  </si>
  <si>
    <t>Модернизация газотурбинных установок (ГТУ) ст. № 41 и ст.№ 42 на Южной ТЭЦ с заменой рабочих лопаток 1-й, 2-й и 3-й ступеней и направляющих лопаток 1-й и 2 ступеней</t>
  </si>
  <si>
    <t>Модернизация основного оборудования Василеостровской ТЭЦ</t>
  </si>
  <si>
    <t>15</t>
  </si>
  <si>
    <t>Модернизация основного оборудования Северной ТЭЦ</t>
  </si>
  <si>
    <t>16</t>
  </si>
  <si>
    <t>17</t>
  </si>
  <si>
    <t>Модернизация системы канализации на ЭС-1 Центральной ТЭЦ со строительством  очистных сооружений  и установкой коммерческих узлов учета сточных вод</t>
  </si>
  <si>
    <t>18</t>
  </si>
  <si>
    <t>19</t>
  </si>
  <si>
    <t xml:space="preserve">Техническое перевооружение водогрейного котлоагрегата 
ст. №15 с увеличением тепловой мощности с 100 Гкал/ч до 120 Гкал/час на Правобережной ТЭЦ </t>
  </si>
  <si>
    <t xml:space="preserve">Техническое перевооружение водогрейного котлоагрегата (ст. №14) с увеличением тепловой мощности с 100 Гкал/ч до 120 Гкал/час на Правобережной ТЭЦ </t>
  </si>
  <si>
    <t>Модернизация газотурбинных установок (ГТУ) ст. № 21 и ст. № 22 на Правобережной ТЭЦ с заменой рабочих лопаток 1-й, 2-й и 3-й ступеней и направляющих лопаток 1-й и 2-й ступеней</t>
  </si>
  <si>
    <t>Модернизация газотурбинных установок  (ГТУ) ст. № 11, ст.№ 12, ст.№ 21 и ст.№ 22 на Первомайской ТЭЦ с заменой рабочих и направляющих лопаток на модернизированные (с межинспекционным интервалом 33 000 ЭЧЭ)</t>
  </si>
  <si>
    <t>Модернизация аккумуляторного бака №1 на Южной ТЭЦ с увеличением суммарного объёма аккумулируемой горячей воды 
с 34 272 м3 до 45 696 м3</t>
  </si>
  <si>
    <t>Реконструкция участка магистральной тепловой сети "Западная 1" с заменой трубопровода (Ду 720х8) от здания ТЭЦ  (задвижка №1271/1) до перемычки с  "Западная 2" (задвижка №1271/III)</t>
  </si>
  <si>
    <t>Реконструкция сетей канализации на ТЭЦ-7 со строительством очистных сооружений сточных вод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</si>
  <si>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</si>
  <si>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</si>
  <si>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</si>
  <si>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</si>
  <si>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</si>
  <si>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</si>
  <si>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</si>
  <si>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</si>
  <si>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</si>
  <si>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</si>
  <si>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</si>
  <si>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</si>
  <si>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</si>
  <si>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</si>
  <si>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</si>
  <si>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</si>
  <si>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</si>
  <si>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</si>
  <si>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</si>
  <si>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</si>
  <si>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</si>
  <si>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</si>
  <si>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</si>
  <si>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</si>
  <si>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</si>
  <si>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</si>
  <si>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</si>
  <si>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</si>
  <si>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</si>
  <si>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</si>
  <si>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</si>
  <si>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</si>
  <si>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</si>
  <si>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</si>
  <si>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</si>
  <si>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</si>
  <si>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</si>
  <si>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</si>
  <si>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</si>
  <si>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</si>
  <si>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</si>
  <si>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</si>
  <si>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</si>
  <si>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</si>
  <si>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</si>
  <si>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</si>
  <si>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</si>
  <si>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</si>
  <si>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</si>
  <si>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</si>
  <si>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</si>
  <si>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</si>
  <si>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</si>
  <si>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</si>
  <si>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</si>
  <si>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</si>
  <si>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</si>
  <si>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</si>
  <si>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</si>
  <si>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</si>
  <si>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</si>
  <si>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</si>
  <si>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</si>
  <si>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</si>
  <si>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</si>
  <si>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</si>
  <si>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</si>
  <si>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</si>
  <si>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</si>
  <si>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</si>
  <si>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</si>
  <si>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</si>
  <si>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</si>
  <si>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</si>
  <si>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</si>
  <si>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</si>
  <si>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</si>
  <si>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</si>
  <si>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</si>
  <si>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</si>
  <si>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</si>
  <si>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</si>
  <si>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</si>
  <si>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</si>
  <si>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</si>
  <si>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</si>
  <si>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</si>
  <si>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</si>
  <si>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</si>
  <si>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</si>
  <si>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</si>
  <si>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</si>
  <si>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</si>
  <si>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</si>
  <si>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</si>
  <si>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</si>
  <si>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</si>
  <si>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</si>
  <si>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</si>
  <si>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</si>
  <si>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</si>
  <si>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</si>
  <si>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</si>
  <si>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</si>
  <si>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</si>
  <si>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</si>
  <si>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</si>
  <si>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</si>
  <si>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</si>
  <si>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</si>
  <si>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</si>
  <si>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</si>
  <si>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</si>
  <si>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</si>
  <si>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</si>
  <si>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</si>
  <si>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</si>
  <si>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</si>
  <si>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</si>
  <si>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</si>
  <si>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</si>
  <si>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</si>
  <si>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</si>
  <si>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</si>
  <si>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</si>
  <si>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</si>
  <si>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</si>
  <si>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</si>
  <si>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</si>
  <si>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</si>
  <si>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</si>
  <si>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</si>
  <si>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</si>
  <si>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</si>
  <si>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</si>
  <si>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</si>
  <si>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</si>
  <si>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</si>
  <si>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</si>
  <si>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</si>
  <si>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</si>
  <si>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</si>
  <si>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</si>
  <si>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</si>
  <si>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</si>
  <si>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</si>
  <si>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</si>
  <si>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</si>
  <si>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</si>
  <si>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</si>
  <si>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</si>
  <si>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</si>
  <si>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</si>
  <si>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</si>
  <si>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</si>
  <si>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</si>
  <si>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</si>
  <si>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</si>
  <si>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</si>
  <si>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</si>
  <si>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</si>
  <si>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</si>
  <si>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</si>
  <si>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</si>
  <si>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</si>
  <si>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</si>
  <si>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</si>
  <si>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</si>
  <si>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</si>
  <si>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</si>
  <si>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</si>
  <si>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</si>
  <si>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</si>
  <si>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</si>
  <si>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</si>
  <si>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</si>
  <si>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</si>
  <si>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</si>
  <si>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</si>
  <si>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</si>
  <si>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</si>
  <si>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</si>
  <si>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</si>
  <si>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</si>
  <si>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</si>
  <si>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</si>
  <si>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</si>
  <si>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</si>
  <si>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</si>
  <si>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</si>
  <si>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</si>
  <si>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</si>
  <si>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</si>
  <si>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</si>
  <si>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</si>
  <si>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</si>
  <si>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</si>
  <si>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</si>
  <si>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</si>
  <si>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</si>
  <si>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</si>
  <si>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</si>
  <si>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</si>
  <si>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</si>
  <si>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</si>
  <si>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</si>
  <si>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</si>
  <si>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</si>
  <si>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</si>
  <si>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</si>
  <si>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</si>
  <si>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</si>
  <si>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</si>
  <si>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</si>
  <si>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</si>
  <si>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</si>
  <si>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</si>
  <si>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</si>
  <si>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</si>
  <si>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</si>
  <si>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</si>
  <si>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</si>
  <si>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</si>
  <si>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</si>
  <si>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</si>
  <si>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</si>
  <si>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</si>
  <si>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</si>
  <si>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</si>
  <si>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</si>
  <si>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</si>
  <si>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</si>
  <si>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</si>
  <si>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</si>
  <si>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</si>
  <si>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</si>
  <si>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</si>
  <si>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</si>
  <si>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</si>
  <si>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</si>
  <si>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</si>
  <si>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</si>
  <si>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</si>
  <si>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</si>
  <si>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</si>
  <si>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</si>
  <si>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</si>
  <si>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</si>
  <si>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</si>
  <si>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</si>
  <si>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</si>
  <si>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</si>
  <si>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</si>
  <si>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</si>
  <si>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</si>
  <si>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</si>
  <si>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</si>
  <si>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</si>
  <si>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</si>
  <si>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</si>
  <si>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</si>
  <si>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</si>
  <si>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</si>
  <si>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</si>
  <si>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</si>
  <si>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</si>
  <si>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</si>
  <si>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</si>
  <si>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</si>
  <si>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</si>
  <si>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</si>
  <si>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</si>
  <si>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</si>
  <si>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</si>
  <si>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</si>
  <si>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</si>
  <si>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</si>
  <si>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</si>
  <si>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</si>
  <si>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</si>
  <si>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</si>
  <si>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</si>
  <si>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</si>
  <si>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</si>
  <si>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</si>
  <si>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</si>
  <si>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</si>
  <si>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</si>
  <si>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</si>
  <si>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</si>
  <si>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</si>
  <si>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</si>
  <si>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</si>
  <si>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</si>
  <si>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</si>
  <si>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</si>
  <si>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</si>
  <si>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</si>
  <si>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</si>
  <si>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</si>
  <si>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</si>
  <si>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</si>
  <si>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</si>
  <si>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</si>
  <si>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</si>
  <si>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</si>
  <si>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</si>
  <si>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</si>
  <si>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</si>
  <si>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</si>
  <si>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</si>
  <si>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</si>
  <si>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</si>
  <si>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</si>
  <si>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</si>
  <si>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</si>
  <si>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</si>
  <si>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</si>
  <si>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</si>
  <si>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</si>
  <si>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</si>
  <si>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</si>
  <si>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</si>
  <si>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</si>
  <si>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</si>
  <si>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</si>
  <si>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</si>
  <si>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</si>
  <si>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</si>
  <si>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</si>
  <si>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</si>
  <si>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</si>
  <si>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</si>
  <si>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</si>
  <si>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</si>
  <si>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</si>
  <si>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</si>
  <si>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</si>
  <si>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</si>
  <si>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</si>
  <si>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</si>
  <si>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</si>
  <si>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</si>
  <si>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</si>
  <si>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</si>
  <si>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</si>
  <si>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</si>
  <si>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</si>
  <si>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</si>
  <si>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</si>
  <si>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</si>
  <si>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</si>
  <si>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</si>
  <si>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</si>
  <si>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</si>
  <si>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</si>
  <si>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</si>
  <si>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</si>
  <si>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</si>
  <si>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</si>
  <si>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</si>
  <si>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</si>
  <si>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</si>
  <si>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</si>
  <si>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</si>
  <si>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</si>
  <si>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</si>
  <si>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</si>
  <si>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</si>
  <si>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</si>
  <si>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</si>
  <si>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</si>
  <si>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</si>
  <si>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</si>
  <si>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</si>
  <si>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</si>
  <si>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</si>
  <si>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</si>
  <si>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</si>
  <si>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</si>
  <si>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</si>
  <si>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</si>
  <si>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</si>
  <si>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</si>
  <si>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</si>
  <si>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</si>
  <si>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</si>
  <si>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</si>
  <si>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</si>
  <si>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</si>
  <si>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</si>
  <si>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</si>
  <si>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</si>
  <si>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</si>
  <si>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</si>
  <si>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</si>
  <si>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</si>
  <si>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</si>
  <si>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</si>
  <si>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</si>
  <si>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</si>
  <si>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</si>
  <si>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</si>
  <si>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</si>
  <si>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</si>
  <si>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</si>
  <si>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</si>
  <si>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</si>
  <si>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</si>
  <si>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</si>
  <si>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</si>
  <si>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</si>
  <si>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</si>
  <si>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</si>
  <si>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</si>
  <si>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</si>
  <si>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</si>
  <si>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</si>
  <si>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</si>
  <si>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</si>
  <si>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</si>
  <si>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</si>
  <si>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</si>
  <si>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</si>
  <si>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</si>
  <si>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</si>
  <si>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</si>
  <si>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</si>
  <si>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</si>
  <si>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</si>
  <si>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</si>
  <si>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</si>
  <si>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</si>
  <si>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</si>
  <si>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</si>
  <si>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</si>
  <si>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</si>
  <si>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</si>
  <si>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</si>
  <si>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</si>
  <si>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</si>
  <si>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</si>
  <si>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</si>
  <si>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</si>
  <si>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</si>
  <si>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</si>
  <si>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</si>
  <si>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</si>
  <si>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</si>
  <si>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</si>
  <si>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</si>
  <si>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</si>
  <si>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</si>
  <si>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</si>
  <si>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</si>
  <si>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</si>
  <si>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</si>
  <si>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</si>
  <si>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</si>
  <si>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</si>
  <si>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</si>
  <si>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</si>
  <si>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</si>
  <si>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</si>
  <si>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</si>
  <si>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</si>
  <si>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</si>
  <si>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</si>
  <si>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</si>
  <si>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</si>
  <si>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</si>
  <si>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</si>
  <si>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</si>
  <si>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</si>
  <si>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</si>
  <si>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</si>
  <si>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</si>
  <si>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</si>
  <si>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</si>
  <si>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</si>
  <si>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</si>
  <si>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</si>
  <si>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</si>
  <si>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</si>
  <si>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</si>
  <si>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</si>
  <si>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</si>
  <si>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</si>
  <si>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</si>
  <si>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</si>
  <si>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</si>
  <si>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</si>
  <si>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</si>
  <si>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</si>
  <si>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</si>
  <si>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</si>
  <si>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</si>
  <si>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</si>
  <si>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</si>
  <si>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</si>
  <si>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</si>
  <si>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</si>
  <si>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</si>
  <si>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</si>
  <si>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</si>
  <si>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</si>
  <si>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</si>
  <si>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</si>
  <si>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</si>
  <si>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</si>
  <si>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</si>
  <si>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</si>
  <si>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</si>
  <si>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</si>
  <si>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</si>
  <si>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</si>
  <si>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</si>
  <si>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</si>
  <si>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</si>
  <si>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</si>
  <si>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</si>
  <si>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</si>
  <si>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</si>
  <si>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</si>
  <si>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</si>
  <si>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</si>
  <si>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</si>
  <si>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</si>
  <si>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</si>
  <si>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</si>
  <si>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</si>
  <si>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</si>
  <si>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</si>
  <si>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</si>
  <si>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</si>
  <si>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</si>
  <si>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</si>
  <si>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</si>
  <si>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</si>
  <si>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</si>
  <si>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</si>
  <si>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</si>
  <si>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</si>
  <si>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</si>
  <si>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</si>
  <si>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</si>
  <si>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</si>
  <si>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</si>
  <si>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</si>
  <si>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</si>
  <si>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</si>
  <si>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</si>
  <si>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</si>
  <si>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</si>
  <si>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</si>
  <si>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</si>
  <si>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</si>
  <si>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</si>
  <si>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</si>
  <si>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</si>
  <si>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</si>
  <si>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</si>
  <si>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</si>
  <si>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</si>
  <si>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</si>
  <si>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</si>
  <si>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</si>
  <si>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</si>
  <si>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</si>
  <si>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</si>
  <si>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</si>
  <si>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</si>
  <si>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</si>
  <si>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</si>
  <si>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</si>
  <si>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</si>
  <si>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</si>
  <si>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</si>
  <si>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</si>
  <si>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</si>
  <si>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</si>
  <si>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</si>
  <si>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</si>
  <si>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</si>
  <si>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</si>
  <si>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</si>
  <si>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</si>
  <si>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</si>
  <si>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</si>
  <si>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</si>
  <si>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</si>
  <si>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</si>
  <si>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</si>
  <si>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</si>
  <si>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</si>
  <si>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</si>
  <si>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</si>
  <si>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</si>
  <si>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</si>
  <si>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</si>
  <si>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</si>
  <si>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</si>
  <si>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</si>
  <si>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</si>
  <si>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</si>
  <si>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</si>
  <si>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</si>
  <si>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</si>
  <si>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</si>
  <si>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</si>
  <si>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</si>
  <si>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</si>
  <si>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</si>
  <si>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</si>
  <si>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</si>
  <si>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</si>
  <si>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</si>
  <si>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</si>
  <si>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</si>
  <si>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</si>
  <si>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</si>
  <si>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</si>
  <si>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</si>
  <si>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</si>
  <si>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</si>
  <si>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</si>
  <si>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</si>
  <si>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</si>
  <si>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</si>
  <si>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</si>
  <si>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</si>
  <si>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</si>
  <si>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</si>
  <si>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</si>
  <si>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</si>
  <si>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</si>
  <si>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</si>
  <si>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</si>
  <si>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</si>
  <si>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</si>
  <si>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</si>
  <si>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</si>
  <si>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</si>
  <si>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</si>
  <si>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</si>
  <si>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</si>
  <si>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</si>
  <si>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</si>
  <si>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</si>
  <si>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</si>
  <si>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</si>
  <si>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</si>
  <si>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</si>
  <si>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</si>
  <si>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</si>
  <si>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</si>
  <si>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</si>
  <si>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</si>
  <si>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</si>
  <si>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</si>
  <si>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</si>
  <si>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</si>
  <si>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</si>
  <si>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</si>
  <si>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</si>
  <si>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</si>
  <si>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</si>
  <si>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</si>
  <si>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</si>
  <si>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</si>
  <si>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</si>
  <si>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</si>
  <si>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</si>
  <si>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</si>
  <si>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</si>
  <si>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</si>
  <si>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</si>
  <si>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</si>
  <si>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</si>
  <si>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</si>
  <si>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</si>
  <si>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</si>
  <si>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</si>
  <si>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</si>
  <si>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</si>
  <si>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</si>
  <si>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</si>
  <si>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</si>
  <si>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</si>
  <si>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</si>
  <si>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</si>
  <si>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</si>
  <si>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</si>
  <si>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</si>
  <si>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</si>
  <si>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</si>
  <si>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</si>
  <si>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</si>
  <si>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</si>
  <si>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</si>
  <si>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</si>
  <si>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</si>
  <si>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</si>
  <si>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</si>
  <si>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</si>
  <si>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</si>
  <si>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</si>
  <si>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</si>
  <si>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</si>
  <si>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</si>
  <si>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</si>
  <si>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</si>
  <si>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</si>
  <si>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</si>
  <si>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</si>
  <si>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</si>
  <si>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</si>
  <si>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</si>
  <si>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</si>
  <si>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</si>
  <si>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</si>
  <si>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</si>
  <si>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</si>
  <si>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</si>
  <si>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</si>
  <si>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</si>
  <si>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</si>
  <si>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</si>
  <si>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</si>
  <si>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</si>
  <si>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</si>
  <si>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</si>
  <si>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</si>
  <si>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</si>
  <si>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</si>
  <si>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</si>
  <si>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</si>
  <si>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</si>
  <si>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</si>
  <si>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</si>
  <si>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</si>
  <si>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</si>
  <si>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</si>
  <si>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</si>
  <si>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</si>
  <si>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</si>
  <si>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</si>
  <si>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</si>
  <si>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</si>
  <si>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</si>
  <si>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</si>
  <si>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</si>
  <si>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</si>
  <si>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</si>
  <si>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</si>
  <si>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</si>
  <si>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</si>
  <si>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</si>
  <si>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</si>
  <si>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</si>
  <si>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</si>
  <si>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</si>
  <si>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</si>
  <si>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</si>
  <si>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</si>
  <si>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</si>
  <si>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</si>
  <si>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</si>
  <si>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</si>
  <si>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</si>
  <si>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</si>
  <si>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</si>
  <si>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</si>
  <si>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</si>
  <si>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</si>
  <si>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</si>
  <si>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</si>
  <si>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</si>
  <si>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</si>
  <si>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</si>
  <si>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</si>
  <si>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</si>
  <si>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</si>
  <si>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</si>
  <si>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</si>
  <si>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</si>
  <si>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</si>
  <si>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</si>
  <si>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</si>
  <si>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</si>
  <si>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</si>
  <si>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</si>
  <si>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</si>
  <si>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</si>
  <si>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</si>
  <si>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</si>
  <si>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</si>
  <si>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</si>
  <si>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</si>
  <si>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</si>
  <si>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</si>
  <si>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</si>
  <si>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</si>
  <si>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</si>
  <si>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</si>
  <si>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</si>
  <si>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</si>
  <si>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</si>
  <si>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</si>
  <si>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</si>
  <si>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</si>
  <si>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</si>
  <si>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</si>
  <si>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</si>
  <si>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</si>
  <si>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</si>
  <si>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</si>
  <si>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</si>
  <si>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</si>
  <si>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</si>
  <si>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</si>
  <si>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</si>
  <si>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</si>
  <si>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</si>
  <si>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</si>
  <si>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</si>
  <si>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</si>
  <si>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</si>
  <si>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</si>
  <si>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</si>
  <si>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</si>
  <si>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</si>
  <si>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</si>
  <si>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</si>
  <si>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</si>
  <si>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</si>
  <si>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</si>
  <si>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</si>
  <si>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</si>
  <si>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</si>
  <si>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</si>
  <si>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</si>
  <si>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</si>
  <si>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</si>
  <si>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</si>
  <si>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</si>
  <si>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</si>
  <si>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</si>
  <si>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</si>
  <si>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</si>
  <si>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</si>
  <si>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</si>
  <si>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</si>
  <si>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</si>
  <si>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</si>
  <si>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</si>
  <si>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</si>
  <si>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</si>
  <si>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</si>
  <si>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</si>
  <si>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</si>
  <si>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</si>
  <si>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</si>
  <si>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</si>
  <si>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</si>
  <si>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</si>
  <si>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</si>
  <si>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</si>
  <si>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</si>
  <si>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</si>
  <si>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</si>
  <si>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</si>
  <si>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</si>
  <si>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</si>
  <si>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</si>
  <si>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</si>
  <si>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</si>
  <si>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</si>
  <si>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</si>
  <si>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</si>
  <si>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</si>
  <si>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</si>
  <si>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</si>
  <si>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</si>
  <si>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</si>
  <si>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</si>
  <si>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</si>
  <si>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</si>
  <si>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</si>
  <si>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</si>
  <si>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</si>
  <si>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</si>
  <si>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</si>
  <si>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</si>
  <si>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</si>
  <si>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</si>
  <si>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</si>
  <si>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</si>
  <si>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</si>
  <si>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</si>
  <si>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</si>
  <si>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</si>
  <si>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</si>
  <si>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</si>
  <si>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</si>
  <si>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</si>
  <si>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</si>
  <si>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</si>
  <si>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</si>
  <si>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</si>
  <si>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</si>
  <si>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</si>
  <si>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</si>
  <si>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</si>
  <si>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</si>
  <si>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</si>
  <si>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</si>
  <si>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</si>
  <si>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</si>
  <si>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</si>
  <si>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</si>
  <si>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</si>
  <si>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</si>
  <si>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</si>
  <si>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</si>
  <si>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</si>
  <si>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</si>
  <si>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</si>
  <si>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</si>
  <si>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</si>
  <si>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</si>
  <si>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</si>
  <si>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</si>
  <si>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</si>
  <si>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</si>
  <si>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</si>
  <si>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</si>
  <si>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</si>
  <si>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</si>
  <si>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</si>
  <si>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</si>
  <si>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</si>
  <si>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</si>
  <si>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</si>
  <si>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</si>
  <si>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</si>
  <si>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</si>
  <si>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</si>
  <si>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</si>
  <si>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</si>
  <si>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</si>
  <si>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</si>
  <si>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</si>
  <si>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</si>
  <si>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</si>
  <si>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</si>
  <si>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</si>
  <si>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</si>
  <si>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</si>
  <si>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</si>
  <si>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</si>
  <si>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</si>
  <si>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</si>
  <si>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</si>
  <si>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</si>
  <si>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</si>
  <si>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</si>
  <si>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</si>
  <si>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</si>
  <si>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</si>
  <si>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</si>
  <si>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</si>
  <si>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</si>
  <si>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</si>
  <si>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</si>
  <si>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</si>
  <si>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</si>
  <si>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</si>
  <si>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</si>
  <si>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</si>
  <si>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</si>
  <si>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</si>
  <si>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</si>
  <si>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</si>
  <si>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</si>
  <si>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</si>
  <si>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</si>
  <si>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</si>
  <si>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</si>
  <si>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</si>
  <si>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</si>
  <si>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</si>
  <si>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</si>
  <si>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</si>
  <si>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</si>
  <si>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</si>
  <si>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</si>
  <si>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</si>
  <si>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</si>
  <si>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</si>
  <si>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</si>
  <si>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</si>
  <si>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</si>
  <si>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</si>
  <si>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</si>
  <si>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</si>
  <si>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</si>
  <si>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</si>
  <si>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</si>
  <si>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</si>
  <si>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</si>
  <si>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</si>
  <si>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</si>
  <si>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</si>
  <si>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</si>
  <si>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</si>
  <si>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</si>
  <si>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</si>
  <si>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</si>
  <si>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</si>
  <si>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</si>
  <si>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</si>
  <si>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</si>
  <si>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</si>
  <si>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</si>
  <si>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</si>
  <si>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</si>
  <si>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</si>
  <si>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</si>
  <si>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</si>
  <si>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</si>
  <si>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</si>
  <si>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</si>
  <si>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</si>
  <si>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</si>
  <si>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</si>
  <si>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</si>
  <si>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</si>
  <si>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</si>
  <si>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</si>
  <si>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</si>
  <si>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</si>
  <si>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</si>
  <si>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</si>
  <si>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</si>
  <si>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</si>
  <si>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</si>
  <si>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</si>
  <si>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</si>
  <si>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</si>
  <si>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</si>
  <si>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</si>
  <si>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</si>
  <si>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</si>
  <si>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</si>
  <si>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</si>
  <si>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</si>
  <si>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</si>
  <si>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</si>
  <si>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</si>
  <si>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</si>
  <si>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</si>
  <si>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</si>
  <si>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</si>
  <si>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</si>
  <si>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</si>
  <si>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</si>
  <si>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</si>
  <si>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</si>
  <si>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</si>
  <si>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</si>
  <si>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</si>
  <si>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</si>
  <si>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</si>
  <si>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</si>
  <si>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</si>
  <si>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</si>
  <si>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</si>
  <si>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</si>
  <si>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</si>
  <si>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</si>
  <si>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</si>
  <si>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</si>
  <si>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</si>
  <si>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</si>
  <si>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</si>
  <si>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</si>
  <si>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</si>
  <si>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</si>
  <si>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</si>
  <si>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</si>
  <si>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</si>
  <si>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</si>
  <si>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</si>
  <si>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</si>
  <si>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</si>
  <si>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</si>
  <si>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</si>
  <si>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</si>
  <si>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</si>
  <si>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</si>
  <si>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</si>
  <si>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</si>
  <si>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</si>
  <si>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</si>
  <si>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</si>
  <si>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</si>
  <si>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</si>
  <si>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</si>
  <si>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</si>
  <si>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</si>
  <si>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</si>
  <si>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</si>
  <si>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</si>
  <si>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</si>
  <si>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</si>
  <si>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</si>
  <si>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</si>
  <si>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</si>
  <si>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</si>
  <si>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</si>
  <si>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</si>
  <si>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</si>
  <si>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</si>
  <si>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</si>
  <si>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</si>
  <si>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</si>
  <si>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</si>
  <si>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</si>
  <si>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</si>
  <si>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</si>
  <si>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</si>
  <si>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</si>
  <si>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</si>
  <si>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</si>
  <si>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</si>
  <si>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</si>
  <si>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</si>
  <si>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</si>
  <si>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</si>
  <si>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</si>
  <si>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</si>
  <si>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</si>
  <si>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</si>
  <si>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</si>
  <si>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</si>
  <si>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</si>
  <si>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</si>
  <si>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</si>
  <si>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</si>
  <si>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</si>
  <si>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</si>
  <si>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</si>
  <si>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</si>
  <si>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</si>
  <si>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</si>
  <si>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</si>
  <si>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</si>
  <si>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</si>
  <si>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</si>
  <si>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</si>
  <si>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</si>
  <si>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</si>
  <si>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</si>
  <si>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</si>
  <si>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</si>
  <si>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</si>
  <si>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</si>
  <si>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</si>
  <si>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</si>
  <si>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</si>
  <si>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</si>
  <si>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</si>
  <si>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</si>
  <si>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</si>
  <si>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</si>
  <si>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</si>
  <si>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</si>
  <si>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</si>
  <si>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</si>
  <si>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</si>
  <si>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</si>
  <si>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</si>
  <si>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</si>
  <si>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</si>
  <si>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</si>
  <si>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</si>
  <si>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</si>
  <si>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</si>
  <si>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</si>
  <si>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</si>
  <si>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</si>
  <si>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</si>
  <si>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</si>
  <si>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</si>
  <si>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</si>
  <si>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</si>
  <si>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</si>
  <si>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</si>
  <si>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</si>
  <si>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</si>
  <si>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</si>
  <si>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</si>
  <si>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</si>
  <si>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</si>
  <si>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</si>
  <si>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</si>
  <si>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</si>
  <si>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</si>
  <si>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</si>
  <si>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</si>
  <si>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</si>
  <si>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</si>
  <si>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</si>
  <si>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</si>
  <si>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</si>
  <si>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</si>
  <si>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</si>
  <si>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</si>
  <si>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</si>
  <si>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</si>
  <si>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</si>
  <si>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</si>
  <si>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</si>
  <si>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</si>
  <si>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</si>
  <si>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</si>
  <si>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</si>
  <si>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</si>
  <si>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</si>
  <si>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</si>
  <si>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</si>
  <si>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</si>
  <si>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</si>
  <si>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</si>
  <si>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</si>
  <si>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</si>
  <si>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</si>
  <si>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</si>
  <si>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</si>
  <si>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</si>
  <si>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</si>
  <si>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31-05-2023 00:00:00</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</si>
  <si>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</si>
  <si>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</si>
  <si>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</si>
  <si>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</si>
  <si>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</si>
  <si>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</si>
  <si>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</si>
  <si>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</si>
  <si>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</si>
  <si>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</si>
  <si>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</si>
  <si>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</si>
  <si>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</si>
  <si>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</si>
  <si>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</si>
  <si>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</si>
  <si>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</si>
  <si>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</si>
  <si>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</si>
  <si>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</si>
  <si>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</si>
  <si>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</si>
  <si>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</si>
  <si>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</si>
  <si>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</si>
  <si>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</si>
  <si>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</si>
  <si>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</si>
  <si>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</si>
  <si>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</si>
  <si>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</si>
  <si>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</si>
  <si>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</si>
  <si>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</si>
  <si>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</si>
  <si>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</si>
  <si>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</si>
  <si>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</si>
  <si>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</si>
  <si>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</si>
  <si>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</si>
  <si>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</si>
  <si>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</si>
  <si>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</si>
  <si>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01-02-2003 00:00:00</t>
  </si>
  <si>
    <t>01-03-2022 00:00:00</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</si>
  <si>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</si>
  <si>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</si>
  <si>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</si>
  <si>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</si>
  <si>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</si>
  <si>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</si>
  <si>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</si>
  <si>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</si>
  <si>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</si>
  <si>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</si>
  <si>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</si>
  <si>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</si>
  <si>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</si>
  <si>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</si>
  <si>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</si>
  <si>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</si>
  <si>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</si>
  <si>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</si>
  <si>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</si>
  <si>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</si>
  <si>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</si>
  <si>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</si>
  <si>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</si>
  <si>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</si>
  <si>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</si>
  <si>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</si>
  <si>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</si>
  <si>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</si>
  <si>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</si>
  <si>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</si>
  <si>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</si>
  <si>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27823351</t>
  </si>
  <si>
    <t>АО "НПП "Вектор"</t>
  </si>
  <si>
    <t>7813182825</t>
  </si>
  <si>
    <t>30-01-2017 00:00:00</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</si>
  <si>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</si>
  <si>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</si>
  <si>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</si>
  <si>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</si>
  <si>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</si>
  <si>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</si>
  <si>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</si>
  <si>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</si>
  <si>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</si>
  <si>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</si>
  <si>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</si>
  <si>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</si>
  <si>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27307314</t>
  </si>
  <si>
    <t>АО "Особые Экономические Зоны"</t>
  </si>
  <si>
    <t>7703591134</t>
  </si>
  <si>
    <t>781943001</t>
  </si>
  <si>
    <t>30-09-2018 00:00:00</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</si>
  <si>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</si>
  <si>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</si>
  <si>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</si>
  <si>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</si>
  <si>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</si>
  <si>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</si>
  <si>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</si>
  <si>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</si>
  <si>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</si>
  <si>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</si>
  <si>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</si>
  <si>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</si>
  <si>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</si>
  <si>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</si>
  <si>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</si>
  <si>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</si>
  <si>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</si>
  <si>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</si>
  <si>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</si>
  <si>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</si>
  <si>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</si>
  <si>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</si>
  <si>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</si>
  <si>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</si>
  <si>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</si>
  <si>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</si>
  <si>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</si>
  <si>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</si>
  <si>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</si>
  <si>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</si>
  <si>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</si>
  <si>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</si>
  <si>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</si>
  <si>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</si>
  <si>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</si>
  <si>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</si>
  <si>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</si>
  <si>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</si>
  <si>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</si>
  <si>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</si>
  <si>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</si>
  <si>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</si>
  <si>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</si>
  <si>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</si>
  <si>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</si>
  <si>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</si>
  <si>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</si>
  <si>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</si>
  <si>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</si>
  <si>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</si>
  <si>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</si>
  <si>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</si>
  <si>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</si>
  <si>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</si>
  <si>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</si>
  <si>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</si>
  <si>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</si>
  <si>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</si>
  <si>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</si>
  <si>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</si>
  <si>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</si>
  <si>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</si>
  <si>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</si>
  <si>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</si>
  <si>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</si>
  <si>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</si>
  <si>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</si>
  <si>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</si>
  <si>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</si>
  <si>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</si>
  <si>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</si>
  <si>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</si>
  <si>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</si>
  <si>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20-12-2020 00:00:00</t>
  </si>
  <si>
    <t>28042511</t>
  </si>
  <si>
    <t>ЗАО "МЕЗОНТЭК"</t>
  </si>
  <si>
    <t>7802154287</t>
  </si>
  <si>
    <t>28794896</t>
  </si>
  <si>
    <t>ЗАО "Невский завод"</t>
  </si>
  <si>
    <t>7806369727</t>
  </si>
  <si>
    <t>27812407</t>
  </si>
  <si>
    <t>ЗАО "ПЕТЕРБУРГЗЕРНОПРОДУКТ"</t>
  </si>
  <si>
    <t>7810480407</t>
  </si>
  <si>
    <t>15-07-2022 00:00:00</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</si>
  <si>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</si>
  <si>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</si>
  <si>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</si>
  <si>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</si>
  <si>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</si>
  <si>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</si>
  <si>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</si>
  <si>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</si>
  <si>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</si>
  <si>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</si>
  <si>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</si>
  <si>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</si>
  <si>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</si>
  <si>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</si>
  <si>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</si>
  <si>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</si>
  <si>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</si>
  <si>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</si>
  <si>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</si>
  <si>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</si>
  <si>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</si>
  <si>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28135540</t>
  </si>
  <si>
    <t>ЗАО "Сокол"</t>
  </si>
  <si>
    <t>7810014646</t>
  </si>
  <si>
    <t>31-12-2016 00:00:00</t>
  </si>
  <si>
    <t>26361116</t>
  </si>
  <si>
    <t>ЗАО "Тепломагистраль"</t>
  </si>
  <si>
    <t>7814302758</t>
  </si>
  <si>
    <t>28042547</t>
  </si>
  <si>
    <t>ЗАО "Трест Ленмостострой"</t>
  </si>
  <si>
    <t>7830002617</t>
  </si>
  <si>
    <t>30-08-2022 00:00:00</t>
  </si>
  <si>
    <t>28943782</t>
  </si>
  <si>
    <t>ЗАО "ЭКСИ-Банк"</t>
  </si>
  <si>
    <t>7831000940</t>
  </si>
  <si>
    <t>783501001</t>
  </si>
  <si>
    <t>26361098</t>
  </si>
  <si>
    <t>ЗАО "ЭЭУК "Авангард-Энерго"</t>
  </si>
  <si>
    <t>7804068178</t>
  </si>
  <si>
    <t>06-09-2021 00:00:00</t>
  </si>
  <si>
    <t>26555694</t>
  </si>
  <si>
    <t>ЗАО "Энергетическая компания "Теплогарант"</t>
  </si>
  <si>
    <t>7814143498</t>
  </si>
  <si>
    <t>783601001</t>
  </si>
  <si>
    <t>11-07-2023 00:00:00</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</si>
  <si>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</si>
  <si>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</si>
  <si>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</si>
  <si>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</si>
  <si>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</si>
  <si>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</si>
  <si>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</si>
  <si>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</si>
  <si>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</si>
  <si>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</si>
  <si>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</si>
  <si>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</si>
  <si>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</si>
  <si>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</si>
  <si>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</si>
  <si>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</si>
  <si>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30-12-2021 00:00:00</t>
  </si>
  <si>
    <t>28453706</t>
  </si>
  <si>
    <t>ОАО "20 АРЗ"</t>
  </si>
  <si>
    <t>7820309254</t>
  </si>
  <si>
    <t>28453728</t>
  </si>
  <si>
    <t>ОАО "61 БТРЗ"</t>
  </si>
  <si>
    <t>7819310752</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</si>
  <si>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</si>
  <si>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</si>
  <si>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</si>
  <si>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</si>
  <si>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</si>
  <si>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</si>
  <si>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</si>
  <si>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</si>
  <si>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</si>
  <si>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</si>
  <si>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</si>
  <si>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</si>
  <si>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</si>
  <si>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</si>
  <si>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</si>
  <si>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13-03-2023 00:00:00</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</si>
  <si>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</si>
  <si>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</si>
  <si>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</si>
  <si>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</si>
  <si>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</si>
  <si>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</si>
  <si>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</si>
  <si>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</si>
  <si>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</si>
  <si>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08-02-2022 00:00:00</t>
  </si>
  <si>
    <t>26422098</t>
  </si>
  <si>
    <t>ОАО "Зеркальный завод"</t>
  </si>
  <si>
    <t>7810301471</t>
  </si>
  <si>
    <t>27665245</t>
  </si>
  <si>
    <t>ОАО "ИНТЕР РАО ЕЭС" (филиал "Северо-Западная ТЭЦ")</t>
  </si>
  <si>
    <t>7830002656</t>
  </si>
  <si>
    <t>26361091</t>
  </si>
  <si>
    <t>ОАО "Компрессор"</t>
  </si>
  <si>
    <t>7802071707</t>
  </si>
  <si>
    <t>28146440</t>
  </si>
  <si>
    <t>ОАО "Конструкторское бюро специального машиностроения"</t>
  </si>
  <si>
    <t>7802205799</t>
  </si>
  <si>
    <t>22-09-2022 00:00:00</t>
  </si>
  <si>
    <t>26647775</t>
  </si>
  <si>
    <t>ОАО "Концерн "Гранит-Электрон"</t>
  </si>
  <si>
    <t>7842335610</t>
  </si>
  <si>
    <t>28042181</t>
  </si>
  <si>
    <t>ОАО "ЛЕНПОЛИГРАФМАШ"</t>
  </si>
  <si>
    <t>7813045025</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</si>
  <si>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</si>
  <si>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</si>
  <si>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</si>
  <si>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</si>
  <si>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</si>
  <si>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</si>
  <si>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</si>
  <si>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</si>
  <si>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</si>
  <si>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</si>
  <si>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</si>
  <si>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</si>
  <si>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</si>
  <si>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</si>
  <si>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</si>
  <si>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</si>
  <si>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</si>
  <si>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</si>
  <si>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</si>
  <si>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</si>
  <si>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</si>
  <si>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</si>
  <si>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26628224</t>
  </si>
  <si>
    <t>ОАО "РЖД" (Дирекция по тепловодоснабжению - СП Октябрьской железной дороги - филиала ОАО "РЖД")</t>
  </si>
  <si>
    <t>7708503727</t>
  </si>
  <si>
    <t>780445002</t>
  </si>
  <si>
    <t>26-11-2010 00:00:00</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</si>
  <si>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</si>
  <si>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</si>
  <si>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</si>
  <si>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</si>
  <si>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</si>
  <si>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</si>
  <si>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</si>
  <si>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</si>
  <si>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</si>
  <si>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</si>
  <si>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</si>
  <si>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</si>
  <si>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</si>
  <si>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</si>
  <si>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</si>
  <si>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</si>
  <si>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</si>
  <si>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</si>
  <si>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</si>
  <si>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</si>
  <si>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</si>
  <si>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</si>
  <si>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</si>
  <si>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</si>
  <si>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</si>
  <si>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</si>
  <si>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</si>
  <si>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</si>
  <si>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</si>
  <si>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</si>
  <si>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</si>
  <si>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</si>
  <si>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</si>
  <si>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</si>
  <si>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</si>
  <si>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</si>
  <si>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</si>
  <si>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</si>
  <si>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</si>
  <si>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</si>
  <si>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</si>
  <si>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</si>
  <si>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</si>
  <si>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</si>
  <si>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</si>
  <si>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</si>
  <si>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</si>
  <si>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</si>
  <si>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28152680</t>
  </si>
  <si>
    <t>ООО "Балтийский завод - Судостроение"</t>
  </si>
  <si>
    <t>7801560631</t>
  </si>
  <si>
    <t>31-08-2018 00:00:00</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</si>
  <si>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</si>
  <si>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</si>
  <si>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</si>
  <si>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</si>
  <si>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</si>
  <si>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</si>
  <si>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</si>
  <si>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</si>
  <si>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</si>
  <si>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</si>
  <si>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</si>
  <si>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</si>
  <si>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</si>
  <si>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</si>
  <si>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</si>
  <si>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</si>
  <si>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</si>
  <si>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</si>
  <si>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</si>
  <si>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</si>
  <si>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</si>
  <si>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</si>
  <si>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</si>
  <si>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</si>
  <si>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</si>
  <si>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</si>
  <si>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</si>
  <si>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</si>
  <si>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</si>
  <si>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</si>
  <si>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28448967</t>
  </si>
  <si>
    <t>ООО "Зеленый дом"</t>
  </si>
  <si>
    <t>7804099257</t>
  </si>
  <si>
    <t>30-12-2020 00:00:00</t>
  </si>
  <si>
    <t>26361092</t>
  </si>
  <si>
    <t>ООО "ИНТЕРМ"</t>
  </si>
  <si>
    <t>7802127477</t>
  </si>
  <si>
    <t>19-07-2023 00:00:00</t>
  </si>
  <si>
    <t>31598749</t>
  </si>
  <si>
    <t>ООО "ИТЭ"</t>
  </si>
  <si>
    <t>7447297114</t>
  </si>
  <si>
    <t>744701001</t>
  </si>
  <si>
    <t>09-10-2020 00:00:00</t>
  </si>
  <si>
    <t>28042497</t>
  </si>
  <si>
    <t>ООО "ИнвестКонсалт"</t>
  </si>
  <si>
    <t>7717662353</t>
  </si>
  <si>
    <t>05-05-2022 00:00:00</t>
  </si>
  <si>
    <t>28134896</t>
  </si>
  <si>
    <t>ООО "Инженерная компания"</t>
  </si>
  <si>
    <t>7806150886</t>
  </si>
  <si>
    <t>09-06-2017 00:00:00</t>
  </si>
  <si>
    <t>28122490</t>
  </si>
  <si>
    <t>ООО "Институт Гипроникель"</t>
  </si>
  <si>
    <t>7804349796</t>
  </si>
  <si>
    <t>26421911</t>
  </si>
  <si>
    <t>ООО "КОСМ "Энерго"</t>
  </si>
  <si>
    <t>7805065476</t>
  </si>
  <si>
    <t>26361093</t>
  </si>
  <si>
    <t>ООО "Квартальная котельная"</t>
  </si>
  <si>
    <t>7802310698</t>
  </si>
  <si>
    <t>31586314</t>
  </si>
  <si>
    <t>ООО "Кожа СПб"</t>
  </si>
  <si>
    <t>7801706143</t>
  </si>
  <si>
    <t>09-11-2021 00:00:00</t>
  </si>
  <si>
    <t>28041958</t>
  </si>
  <si>
    <t>ООО "ЛЕСПРОМ СПб"</t>
  </si>
  <si>
    <t>7817330143</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</si>
  <si>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</si>
  <si>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</si>
  <si>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</si>
  <si>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</si>
  <si>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</si>
  <si>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</si>
  <si>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</si>
  <si>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</si>
  <si>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</si>
  <si>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</si>
  <si>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</si>
  <si>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</si>
  <si>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</si>
  <si>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</si>
  <si>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</si>
  <si>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</si>
  <si>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</si>
  <si>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</si>
  <si>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</si>
  <si>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</si>
  <si>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</si>
  <si>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</si>
  <si>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28954160</t>
  </si>
  <si>
    <t>ООО "Озерная"</t>
  </si>
  <si>
    <t>7802805161</t>
  </si>
  <si>
    <t>15-04-2015 00:00:00</t>
  </si>
  <si>
    <t>19-08-2016 00:00:00</t>
  </si>
  <si>
    <t>28940429</t>
  </si>
  <si>
    <t>ООО "ПРОМ ИМПУЛЬС"</t>
  </si>
  <si>
    <t>7806520632</t>
  </si>
  <si>
    <t>28266783</t>
  </si>
  <si>
    <t>ООО "ПТК-Терминал"</t>
  </si>
  <si>
    <t>7806055343</t>
  </si>
  <si>
    <t>21-10-2021 00:00:00</t>
  </si>
  <si>
    <t>26422005</t>
  </si>
  <si>
    <t>ООО "Петербургская торгово-промышленная компания"</t>
  </si>
  <si>
    <t>7825487243</t>
  </si>
  <si>
    <t>17-01-2020 00:00:00</t>
  </si>
  <si>
    <t>26422017</t>
  </si>
  <si>
    <t>ООО "Петербургтеплоэнерго"</t>
  </si>
  <si>
    <t>7838024362</t>
  </si>
  <si>
    <t>30-11-2018 00:00:00</t>
  </si>
  <si>
    <t>27266270</t>
  </si>
  <si>
    <t>783901001</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</si>
  <si>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</si>
  <si>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</si>
  <si>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</si>
  <si>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</si>
  <si>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</si>
  <si>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</si>
  <si>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</si>
  <si>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</si>
  <si>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</si>
  <si>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</si>
  <si>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</si>
  <si>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</si>
  <si>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18-12-2018 00:00:00</t>
  </si>
  <si>
    <t>26361108</t>
  </si>
  <si>
    <t>ООО "Пулковская ТЭЦ"</t>
  </si>
  <si>
    <t>7810095885</t>
  </si>
  <si>
    <t>02-02-2023 00:00:00</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</si>
  <si>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</si>
  <si>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</si>
  <si>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</si>
  <si>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</si>
  <si>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</si>
  <si>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</si>
  <si>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</si>
  <si>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</si>
  <si>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</si>
  <si>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</si>
  <si>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</si>
  <si>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</si>
  <si>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12-10-2022 00:00:00</t>
  </si>
  <si>
    <t>26422761</t>
  </si>
  <si>
    <t>ООО "Самсон"</t>
  </si>
  <si>
    <t>7810015329</t>
  </si>
  <si>
    <t>28255011</t>
  </si>
  <si>
    <t>ООО "Светлана-Эстейт"</t>
  </si>
  <si>
    <t>7802385950</t>
  </si>
  <si>
    <t>27831333</t>
  </si>
  <si>
    <t>ООО "Системы Безопасности Северо-Запад"</t>
  </si>
  <si>
    <t>7802338277</t>
  </si>
  <si>
    <t>27546295</t>
  </si>
  <si>
    <t>ООО "Софийский бульвар"</t>
  </si>
  <si>
    <t>7813479657</t>
  </si>
  <si>
    <t>30-06-2018 00:00:00</t>
  </si>
  <si>
    <t>28509704</t>
  </si>
  <si>
    <t>ООО "Степан Разин Девелопмент"</t>
  </si>
  <si>
    <t>7805614870</t>
  </si>
  <si>
    <t>26361121</t>
  </si>
  <si>
    <t>ООО "ТВК Лесное"</t>
  </si>
  <si>
    <t>7820029472</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</si>
  <si>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</si>
  <si>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</si>
  <si>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</si>
  <si>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</si>
  <si>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</si>
  <si>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</si>
  <si>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</si>
  <si>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</si>
  <si>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</si>
  <si>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</si>
  <si>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</si>
  <si>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</si>
  <si>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</si>
  <si>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</si>
  <si>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</si>
  <si>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</si>
  <si>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</si>
  <si>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</si>
  <si>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</si>
  <si>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</si>
  <si>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</si>
  <si>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</si>
  <si>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</si>
  <si>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</si>
  <si>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</si>
  <si>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</si>
  <si>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</si>
  <si>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</si>
  <si>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</si>
  <si>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</si>
  <si>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26361135</t>
  </si>
  <si>
    <t>ООО "Теплодар"</t>
  </si>
  <si>
    <t>7841314985</t>
  </si>
  <si>
    <t>31-07-2018 00:00:00</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</si>
  <si>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</si>
  <si>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</si>
  <si>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</si>
  <si>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</si>
  <si>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</si>
  <si>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</si>
  <si>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</si>
  <si>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</si>
  <si>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</si>
  <si>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</si>
  <si>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</si>
  <si>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</si>
  <si>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</si>
  <si>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</si>
  <si>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</si>
  <si>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26-11-2021 00:00:00</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</si>
  <si>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</si>
  <si>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</si>
  <si>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</si>
  <si>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</si>
  <si>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</si>
  <si>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</si>
  <si>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</si>
  <si>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</si>
  <si>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</si>
  <si>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</si>
  <si>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</si>
  <si>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</si>
  <si>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</si>
  <si>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</si>
  <si>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</si>
  <si>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</si>
  <si>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</si>
  <si>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</si>
  <si>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</si>
  <si>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</si>
  <si>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</si>
  <si>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</si>
  <si>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26422092</t>
  </si>
  <si>
    <t>ООО "ЭРМАС"</t>
  </si>
  <si>
    <t>7806007029</t>
  </si>
  <si>
    <t>23-09-2019 00:00:00</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</si>
  <si>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</si>
  <si>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</si>
  <si>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</si>
  <si>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</si>
  <si>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</si>
  <si>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</si>
  <si>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</si>
  <si>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</si>
  <si>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</si>
  <si>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</si>
  <si>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26641597</t>
  </si>
  <si>
    <t>ООО "ЭнергоИнвест" (неактуальный КПП)</t>
  </si>
  <si>
    <t>31-07-2016 00:00:00</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</si>
  <si>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</si>
  <si>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</si>
  <si>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</si>
  <si>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</si>
  <si>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</si>
  <si>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</si>
  <si>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</si>
  <si>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</si>
  <si>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</si>
  <si>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</si>
  <si>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</si>
  <si>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</si>
  <si>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</si>
  <si>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</si>
  <si>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</si>
  <si>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</si>
  <si>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</si>
  <si>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</si>
  <si>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</si>
  <si>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</si>
  <si>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</si>
  <si>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</si>
  <si>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</si>
  <si>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</si>
  <si>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</si>
  <si>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</si>
  <si>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</si>
  <si>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</si>
  <si>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</si>
  <si>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</si>
  <si>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</si>
  <si>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</si>
  <si>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</si>
  <si>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</si>
  <si>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26539356</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</si>
  <si>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</si>
  <si>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</si>
  <si>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</si>
  <si>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</si>
  <si>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</si>
  <si>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</si>
  <si>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</si>
  <si>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</si>
  <si>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</si>
  <si>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</si>
  <si>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</si>
  <si>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</si>
  <si>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</si>
  <si>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</si>
  <si>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</si>
  <si>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26449407</t>
  </si>
  <si>
    <t>Свечинский районный телекоммуникационный узел (РТУ) Кировского филиала ОАО "Волгателеком"</t>
  </si>
  <si>
    <t>5260901817</t>
  </si>
  <si>
    <t>432832002</t>
  </si>
  <si>
    <t>24-06-2011 00:00:00</t>
  </si>
  <si>
    <t>27553231</t>
  </si>
  <si>
    <t>Теплоснабжающие организации, поставляющие тепловую энергию потребителям, расположенным на территории Санкт-Петербурга</t>
  </si>
  <si>
    <t>7826692894</t>
  </si>
  <si>
    <t>780000001</t>
  </si>
  <si>
    <t>01-01-2017 00:00:00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</si>
  <si>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</si>
  <si>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</si>
  <si>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</si>
  <si>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</si>
  <si>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</si>
  <si>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</si>
  <si>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</si>
  <si>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</si>
  <si>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</si>
  <si>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</si>
  <si>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</si>
  <si>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</si>
  <si>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</si>
  <si>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</si>
  <si>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</si>
  <si>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</si>
  <si>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</si>
  <si>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</si>
  <si>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</si>
  <si>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</si>
  <si>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</si>
  <si>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</si>
  <si>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</si>
  <si>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</si>
  <si>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</si>
  <si>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</si>
  <si>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</si>
  <si>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</si>
  <si>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26422476</t>
  </si>
  <si>
    <t>ФГУП "Завод имени М.И.Калинина"</t>
  </si>
  <si>
    <t>7801017746</t>
  </si>
  <si>
    <t>31-01-2012 00:00:00</t>
  </si>
  <si>
    <t>26361099</t>
  </si>
  <si>
    <t>ФГУП "НИИ командных приборов"</t>
  </si>
  <si>
    <t>7805005950</t>
  </si>
  <si>
    <t>26422456</t>
  </si>
  <si>
    <t>ФГУП "Научно-производственное предприятие "Краснознаменец"</t>
  </si>
  <si>
    <t>7806005180</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</si>
  <si>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</si>
  <si>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</si>
  <si>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</si>
  <si>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</si>
  <si>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</si>
  <si>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</si>
  <si>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</si>
  <si>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</si>
  <si>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</si>
  <si>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26784043</t>
  </si>
  <si>
    <t>Энергоснабжающие организации c установленной мощностью до 1 Гкал/ч</t>
  </si>
  <si>
    <t>01-12-2011 00:00:00</t>
  </si>
  <si>
    <t>26422522</t>
  </si>
  <si>
    <t>АО "ГСР Водоканал"</t>
  </si>
  <si>
    <t>7817309159</t>
  </si>
  <si>
    <t>27323158</t>
  </si>
  <si>
    <t>АО "Славянка"</t>
  </si>
  <si>
    <t>7702707386</t>
  </si>
  <si>
    <t>781343001</t>
  </si>
  <si>
    <t>10-02-2021 00:00:00</t>
  </si>
  <si>
    <t>26614854</t>
  </si>
  <si>
    <t>ЗАО "Агентство "Шушары"</t>
  </si>
  <si>
    <t>7820016970</t>
  </si>
  <si>
    <t>28486366</t>
  </si>
  <si>
    <t>ЗАО "ДОЗ № 1"</t>
  </si>
  <si>
    <t>7816061829</t>
  </si>
  <si>
    <t>26380405</t>
  </si>
  <si>
    <t>ОАО "Водотеплоснаб"</t>
  </si>
  <si>
    <t>4703083505</t>
  </si>
  <si>
    <t>470301001</t>
  </si>
  <si>
    <t>22-08-2016 00:00:00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</si>
  <si>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</si>
  <si>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</si>
  <si>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</si>
  <si>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</si>
  <si>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</si>
  <si>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</si>
  <si>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</si>
  <si>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</si>
  <si>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</si>
  <si>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</si>
  <si>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</si>
  <si>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</si>
  <si>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</si>
  <si>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</si>
  <si>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</si>
  <si>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</si>
  <si>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</si>
  <si>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</si>
  <si>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</si>
  <si>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31454891</t>
  </si>
  <si>
    <t>ООО "ЭКСПО-РЕСУРС"</t>
  </si>
  <si>
    <t>7840457814</t>
  </si>
  <si>
    <t>25-02-2022 00:00:00</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</si>
  <si>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</si>
  <si>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</si>
  <si>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</si>
  <si>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</si>
  <si>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</si>
  <si>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</si>
  <si>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</si>
  <si>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</si>
  <si>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</si>
  <si>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</si>
  <si>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</si>
  <si>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</si>
  <si>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</si>
  <si>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</si>
  <si>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</si>
  <si>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</si>
  <si>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</si>
  <si>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</si>
  <si>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</si>
  <si>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</si>
  <si>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</si>
  <si>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</si>
  <si>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</si>
  <si>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</si>
  <si>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</si>
  <si>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</si>
  <si>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</si>
  <si>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</si>
  <si>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</si>
  <si>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</si>
  <si>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</si>
  <si>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</si>
  <si>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</si>
  <si>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</si>
  <si>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</si>
  <si>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</si>
  <si>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</si>
  <si>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</si>
  <si>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</si>
  <si>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</si>
  <si>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</si>
  <si>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</si>
  <si>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</si>
  <si>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</si>
  <si>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</si>
  <si>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</si>
  <si>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</si>
  <si>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</si>
  <si>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</si>
  <si>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</si>
  <si>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</si>
  <si>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</si>
  <si>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</si>
  <si>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</si>
  <si>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</si>
  <si>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</si>
  <si>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</si>
  <si>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</si>
  <si>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</si>
  <si>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</si>
  <si>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</si>
  <si>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</si>
  <si>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</si>
  <si>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</si>
  <si>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</si>
  <si>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</si>
  <si>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</si>
  <si>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</si>
  <si>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</si>
  <si>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</si>
  <si>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</si>
  <si>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</si>
  <si>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</si>
  <si>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Санкт-Петербург</t>
  </si>
  <si>
    <t>40000000</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</si>
  <si>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</si>
  <si>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</si>
  <si>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</si>
  <si>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</si>
  <si>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</si>
  <si>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</si>
  <si>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</si>
  <si>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</si>
  <si>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</si>
  <si>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</si>
  <si>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</si>
  <si>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</si>
  <si>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</si>
  <si>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</si>
  <si>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</si>
  <si>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</si>
  <si>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</si>
  <si>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</si>
  <si>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</si>
  <si>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</si>
  <si>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</si>
  <si>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</si>
  <si>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</si>
  <si>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</si>
  <si>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</si>
  <si>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</si>
  <si>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</si>
  <si>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</si>
  <si>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</si>
  <si>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</si>
  <si>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</si>
  <si>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</si>
  <si>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</si>
  <si>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</si>
  <si>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</si>
  <si>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</si>
  <si>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</si>
  <si>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</si>
  <si>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</si>
  <si>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</si>
  <si>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</si>
  <si>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</si>
  <si>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</si>
  <si>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</si>
  <si>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</si>
  <si>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</si>
  <si>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</si>
  <si>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</si>
  <si>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</si>
  <si>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</si>
  <si>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</si>
  <si>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</si>
  <si>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</si>
  <si>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</si>
  <si>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</si>
  <si>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</si>
  <si>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</si>
  <si>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</si>
  <si>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</si>
  <si>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</si>
  <si>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</si>
  <si>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</si>
  <si>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</si>
  <si>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</si>
  <si>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</si>
  <si>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</si>
  <si>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</si>
  <si>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</si>
  <si>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</si>
  <si>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</si>
  <si>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</si>
  <si>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</si>
  <si>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</si>
  <si>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</si>
  <si>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</si>
  <si>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</si>
  <si>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</si>
  <si>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</si>
  <si>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</si>
  <si>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</si>
  <si>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</si>
  <si>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</si>
  <si>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</si>
  <si>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</si>
  <si>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</si>
  <si>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</si>
  <si>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</si>
  <si>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</si>
  <si>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</si>
  <si>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</si>
  <si>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</si>
  <si>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</si>
  <si>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</si>
  <si>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</si>
  <si>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</si>
  <si>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</si>
  <si>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</si>
  <si>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</si>
  <si>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</si>
  <si>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</si>
  <si>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</si>
  <si>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</si>
  <si>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</si>
  <si>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</si>
  <si>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</si>
  <si>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</si>
  <si>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</si>
  <si>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</si>
  <si>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</si>
  <si>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</si>
  <si>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</si>
  <si>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</si>
  <si>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</si>
  <si>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</si>
  <si>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</si>
  <si>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</si>
  <si>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</si>
  <si>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</si>
  <si>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</si>
  <si>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</si>
  <si>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</si>
  <si>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</si>
  <si>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</si>
  <si>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</si>
  <si>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</si>
  <si>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</si>
  <si>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</si>
  <si>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</si>
  <si>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</si>
  <si>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</si>
  <si>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</si>
  <si>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</si>
  <si>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</si>
  <si>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</si>
  <si>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</si>
  <si>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</si>
  <si>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</si>
  <si>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</si>
  <si>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</si>
  <si>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</si>
  <si>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</si>
  <si>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</si>
  <si>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</si>
  <si>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</si>
  <si>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</si>
  <si>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</si>
  <si>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</si>
  <si>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</si>
  <si>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</si>
  <si>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</si>
  <si>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</si>
  <si>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</si>
  <si>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</si>
  <si>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</si>
  <si>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</si>
  <si>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</si>
  <si>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</si>
  <si>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</si>
  <si>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</si>
  <si>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</si>
  <si>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</si>
  <si>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</si>
  <si>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</si>
  <si>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</si>
  <si>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</si>
  <si>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</si>
  <si>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</si>
  <si>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</si>
  <si>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</si>
  <si>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</si>
  <si>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</si>
  <si>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</si>
  <si>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</si>
  <si>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</si>
  <si>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</si>
  <si>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</si>
  <si>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</si>
  <si>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</si>
  <si>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</si>
  <si>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</si>
  <si>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</si>
  <si>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</si>
  <si>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</si>
  <si>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</si>
  <si>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</si>
  <si>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</si>
  <si>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</si>
  <si>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</si>
  <si>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</si>
  <si>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</si>
  <si>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</si>
  <si>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</si>
  <si>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</si>
  <si>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</si>
  <si>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</si>
  <si>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</si>
  <si>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</si>
  <si>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</si>
  <si>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</si>
  <si>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</si>
  <si>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</si>
  <si>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</si>
  <si>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</si>
  <si>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</si>
  <si>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</si>
  <si>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</si>
  <si>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</si>
  <si>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</si>
  <si>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</si>
  <si>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</si>
  <si>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</si>
  <si>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</si>
  <si>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</si>
  <si>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</si>
  <si>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</si>
  <si>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</si>
  <si>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</si>
  <si>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</si>
  <si>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</si>
  <si>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</si>
  <si>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</si>
  <si>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</si>
  <si>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</si>
  <si>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</si>
  <si>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</si>
  <si>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</si>
  <si>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</si>
  <si>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</si>
  <si>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</si>
  <si>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</si>
  <si>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</si>
  <si>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</si>
  <si>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</si>
  <si>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</si>
  <si>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</si>
  <si>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</si>
  <si>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</si>
  <si>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</si>
  <si>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</si>
  <si>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</si>
  <si>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</si>
  <si>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</si>
  <si>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</si>
  <si>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</si>
  <si>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</si>
  <si>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</si>
  <si>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</si>
  <si>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</si>
  <si>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</si>
  <si>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</si>
  <si>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</si>
  <si>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</si>
  <si>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</si>
  <si>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</si>
  <si>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</si>
  <si>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</si>
  <si>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</si>
  <si>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</si>
  <si>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</si>
  <si>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</si>
  <si>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</si>
  <si>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</si>
  <si>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</si>
  <si>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</si>
  <si>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</si>
  <si>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</si>
  <si>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</si>
  <si>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</si>
  <si>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</si>
  <si>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</si>
  <si>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</si>
  <si>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</si>
  <si>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</si>
  <si>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</si>
  <si>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</si>
  <si>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</si>
  <si>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</si>
  <si>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</si>
  <si>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</si>
  <si>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</si>
  <si>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</si>
  <si>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</si>
  <si>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</si>
  <si>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</si>
  <si>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</si>
  <si>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Инвестиционная программа от 14.12.2018 ПАО "ТГК-1" филиал "Невский" в сфере теплоснабжения по комплексному развитию систем теплоснабжения на 2019-2023 годы</t>
  </si>
  <si>
    <t>4511574488</t>
  </si>
  <si>
    <t>01.01.2019</t>
  </si>
  <si>
    <t>31.12.2023</t>
  </si>
  <si>
    <t>Об утверждении Инвестиционной программы публичного акционерного общества «Территориальная генерирующая компания № 1» на 2019-2023 годы</t>
  </si>
  <si>
    <t>230-р</t>
  </si>
  <si>
    <t>14.12.2018</t>
  </si>
  <si>
    <t>7511726253</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</si>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</sst>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42081">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Klementeva.NA@tgc1.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C20324-B311-0079-FF16-18B95F5F43D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9335" width="5.421875" customWidth="1"/>
    <col min="2" max="2" style="39335" width="9.140625" customWidth="1"/>
    <col min="3" max="3" style="39335" width="16.421875" customWidth="1"/>
    <col min="4" max="25" style="39335" width="6.28125" customWidth="1"/>
    <col min="26" max="28" style="39335" width="11.00390625"/>
  </cols>
  <sheetData>
    <row customHeight="1" ht="15.75">
      <c r="A1" s="2615"/>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7"/>
      <c r="Z1" s="2616"/>
      <c r="AA1" s="2618" t="s">
        <v>0</v>
      </c>
      <c r="AB1" s="2616"/>
    </row>
    <row customHeight="1" ht="17.25">
      <c r="A2" s="2616"/>
      <c r="B2" s="2903" t="s">
        <v>1</v>
      </c>
      <c r="C2" s="2903"/>
      <c r="D2" s="2903"/>
      <c r="E2" s="2903"/>
      <c r="F2" s="2903"/>
      <c r="G2" s="2903"/>
      <c r="H2" s="2903"/>
      <c r="I2" s="2903"/>
      <c r="J2" s="2903"/>
      <c r="K2" s="2903"/>
      <c r="L2" s="2903"/>
      <c r="M2" s="2903"/>
      <c r="N2" s="2903"/>
      <c r="O2" s="2903"/>
      <c r="P2" s="2903"/>
      <c r="Q2" s="2620"/>
      <c r="R2" s="2620"/>
      <c r="S2" s="2620"/>
      <c r="T2" s="2620"/>
      <c r="U2" s="2620"/>
      <c r="V2" s="2621"/>
      <c r="W2" s="2620"/>
      <c r="X2" s="2620"/>
      <c r="Y2" s="2617"/>
      <c r="Z2" s="2616"/>
      <c r="AA2" s="2618"/>
      <c r="AB2" s="2616"/>
    </row>
    <row customHeight="1" ht="15.75">
      <c r="A3" s="2616"/>
      <c r="B3" s="2904" t="s">
        <v>2</v>
      </c>
      <c r="C3" s="2904"/>
      <c r="D3" s="2904"/>
      <c r="E3" s="2904"/>
      <c r="F3" s="2904"/>
      <c r="G3" s="2904"/>
      <c r="H3" s="2904"/>
      <c r="I3" s="2904"/>
      <c r="J3" s="2904"/>
      <c r="K3" s="2904"/>
      <c r="L3" s="2904"/>
      <c r="M3" s="2904"/>
      <c r="N3" s="2904"/>
      <c r="O3" s="2904"/>
      <c r="P3" s="2904"/>
      <c r="Q3" s="2621"/>
      <c r="R3" s="2621"/>
      <c r="S3" s="2620"/>
      <c r="T3" s="2620"/>
      <c r="U3" s="2620"/>
      <c r="V3" s="2621"/>
      <c r="W3" s="2621"/>
      <c r="X3" s="2621"/>
      <c r="Y3" s="2621"/>
      <c r="Z3" s="2616"/>
      <c r="AA3" s="2618"/>
      <c r="AB3" s="2616"/>
    </row>
    <row customHeight="1" ht="17.25">
      <c r="A4" s="2616"/>
      <c r="B4" s="2622"/>
      <c r="C4" s="2616"/>
      <c r="D4" s="2621"/>
      <c r="E4" s="2621"/>
      <c r="F4" s="2621"/>
      <c r="G4" s="2621"/>
      <c r="H4" s="2621"/>
      <c r="I4" s="2621"/>
      <c r="J4" s="2621"/>
      <c r="K4" s="2621"/>
      <c r="L4" s="2621"/>
      <c r="M4" s="2621"/>
      <c r="N4" s="2621"/>
      <c r="O4" s="2621"/>
      <c r="P4" s="2621"/>
      <c r="Q4" s="2621"/>
      <c r="R4" s="2621"/>
      <c r="S4" s="2621"/>
      <c r="T4" s="2621"/>
      <c r="U4" s="2621"/>
      <c r="V4" s="2621"/>
      <c r="W4" s="2621"/>
      <c r="X4" s="2621"/>
      <c r="Y4" s="2621"/>
      <c r="Z4" s="2616"/>
      <c r="AA4" s="2618"/>
      <c r="AB4" s="2616"/>
    </row>
    <row customHeight="1" ht="22.5">
      <c r="A5" s="2623"/>
      <c r="B5" s="2905"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906"/>
      <c r="D5" s="2906"/>
      <c r="E5" s="2906"/>
      <c r="F5" s="2906"/>
      <c r="G5" s="2906"/>
      <c r="H5" s="2906"/>
      <c r="I5" s="2906"/>
      <c r="J5" s="2906"/>
      <c r="K5" s="2906"/>
      <c r="L5" s="2906"/>
      <c r="M5" s="2906"/>
      <c r="N5" s="2906"/>
      <c r="O5" s="2906"/>
      <c r="P5" s="2906"/>
      <c r="Q5" s="2906"/>
      <c r="R5" s="2906"/>
      <c r="S5" s="2906"/>
      <c r="T5" s="2906"/>
      <c r="U5" s="2906"/>
      <c r="V5" s="2906"/>
      <c r="W5" s="2906"/>
      <c r="X5" s="2906"/>
      <c r="Y5" s="2907"/>
      <c r="Z5" s="2623"/>
      <c r="AA5" s="2618"/>
      <c r="AB5" s="2623"/>
    </row>
    <row customHeight="1" ht="15">
      <c r="A6" s="2624"/>
      <c r="B6" s="2908" t="s">
        <v>3</v>
      </c>
      <c r="C6" s="2909"/>
      <c r="D6" s="2625"/>
      <c r="E6" s="2625"/>
      <c r="F6" s="2625"/>
      <c r="G6" s="2625"/>
      <c r="H6" s="2625"/>
      <c r="I6" s="2625"/>
      <c r="J6" s="2625"/>
      <c r="K6" s="2625"/>
      <c r="L6" s="2625"/>
      <c r="M6" s="2625"/>
      <c r="N6" s="2625"/>
      <c r="O6" s="2625"/>
      <c r="P6" s="2625"/>
      <c r="Q6" s="2625"/>
      <c r="R6" s="2625"/>
      <c r="S6" s="2625"/>
      <c r="T6" s="2625"/>
      <c r="U6" s="2625"/>
      <c r="V6" s="2625"/>
      <c r="W6" s="2625"/>
      <c r="X6" s="2625"/>
      <c r="Y6" s="2626"/>
      <c r="Z6" s="2627"/>
      <c r="AA6" s="2628"/>
      <c r="AB6" s="2628"/>
    </row>
    <row customHeight="1" ht="15">
      <c r="A7" s="2624"/>
      <c r="B7" s="2908"/>
      <c r="C7" s="2909"/>
      <c r="D7" s="2625"/>
      <c r="E7" s="2625"/>
      <c r="F7" s="2629"/>
      <c r="G7" s="2629"/>
      <c r="H7" s="2629"/>
      <c r="I7" s="2629"/>
      <c r="J7" s="2629"/>
      <c r="K7" s="2629"/>
      <c r="L7" s="2629"/>
      <c r="M7" s="2629"/>
      <c r="N7" s="2629"/>
      <c r="O7" s="2625"/>
      <c r="P7" s="2629"/>
      <c r="Q7" s="2629"/>
      <c r="R7" s="2629"/>
      <c r="S7" s="2629"/>
      <c r="T7" s="2629"/>
      <c r="U7" s="2629"/>
      <c r="V7" s="2629"/>
      <c r="W7" s="2629"/>
      <c r="X7" s="2629"/>
      <c r="Y7" s="2626"/>
      <c r="Z7" s="2627"/>
      <c r="AA7" s="2628"/>
      <c r="AB7" s="2628"/>
    </row>
    <row customHeight="1" ht="15">
      <c r="A8" s="2624"/>
      <c r="B8" s="2908"/>
      <c r="C8" s="2909"/>
      <c r="D8" s="2630"/>
      <c r="E8" s="2631" t="s">
        <v>4</v>
      </c>
      <c r="F8" s="2911" t="s">
        <v>5</v>
      </c>
      <c r="G8" s="2912"/>
      <c r="H8" s="2912"/>
      <c r="I8" s="2912"/>
      <c r="J8" s="2912"/>
      <c r="K8" s="2912"/>
      <c r="L8" s="2912"/>
      <c r="M8" s="2912"/>
      <c r="N8" s="2630"/>
      <c r="O8" s="2632" t="s">
        <v>4</v>
      </c>
      <c r="P8" s="2913" t="s">
        <v>6</v>
      </c>
      <c r="Q8" s="2914"/>
      <c r="R8" s="2914"/>
      <c r="S8" s="2914"/>
      <c r="T8" s="2914"/>
      <c r="U8" s="2914"/>
      <c r="V8" s="2914"/>
      <c r="W8" s="2914"/>
      <c r="X8" s="2914"/>
      <c r="Y8" s="2626"/>
      <c r="Z8" s="2627"/>
      <c r="AA8" s="2628"/>
      <c r="AB8" s="2628"/>
    </row>
    <row customHeight="1" ht="15">
      <c r="A9" s="2624"/>
      <c r="B9" s="2908"/>
      <c r="C9" s="2909"/>
      <c r="D9" s="2630"/>
      <c r="E9" s="2633" t="s">
        <v>4</v>
      </c>
      <c r="F9" s="2911" t="s">
        <v>7</v>
      </c>
      <c r="G9" s="2912"/>
      <c r="H9" s="2912"/>
      <c r="I9" s="2912"/>
      <c r="J9" s="2912"/>
      <c r="K9" s="2912"/>
      <c r="L9" s="2912"/>
      <c r="M9" s="2912"/>
      <c r="N9" s="2630"/>
      <c r="O9" s="2634" t="s">
        <v>4</v>
      </c>
      <c r="P9" s="2913" t="s">
        <v>8</v>
      </c>
      <c r="Q9" s="2914"/>
      <c r="R9" s="2914"/>
      <c r="S9" s="2914"/>
      <c r="T9" s="2914"/>
      <c r="U9" s="2914"/>
      <c r="V9" s="2914"/>
      <c r="W9" s="2914"/>
      <c r="X9" s="2914"/>
      <c r="Y9" s="2626"/>
      <c r="Z9" s="2627"/>
      <c r="AA9" s="2628"/>
      <c r="AB9" s="2628"/>
    </row>
    <row customHeight="1" ht="30">
      <c r="A10" s="2624"/>
      <c r="B10" s="2908"/>
      <c r="C10" s="2910"/>
      <c r="D10" s="2635"/>
      <c r="E10" s="2636"/>
      <c r="F10" s="2629"/>
      <c r="G10" s="2629"/>
      <c r="H10" s="2629"/>
      <c r="I10" s="2629"/>
      <c r="J10" s="2629"/>
      <c r="K10" s="2629"/>
      <c r="L10" s="2629"/>
      <c r="M10" s="2629"/>
      <c r="N10" s="2629"/>
      <c r="O10" s="2636"/>
      <c r="P10" s="2629"/>
      <c r="Q10" s="2629"/>
      <c r="R10" s="2629"/>
      <c r="S10" s="2629"/>
      <c r="T10" s="2629"/>
      <c r="U10" s="2629"/>
      <c r="V10" s="2629"/>
      <c r="W10" s="2629"/>
      <c r="X10" s="2629"/>
      <c r="Y10" s="2626"/>
      <c r="Z10" s="2627"/>
      <c r="AA10" s="2628"/>
      <c r="AB10" s="2628"/>
    </row>
    <row customHeight="1" ht="19.5">
      <c r="A11" s="2624"/>
      <c r="B11" s="2915" t="s">
        <v>9</v>
      </c>
      <c r="C11" s="2916"/>
      <c r="D11" s="2630"/>
      <c r="E11" s="2637"/>
      <c r="F11" s="2637"/>
      <c r="G11" s="2637"/>
      <c r="H11" s="2637"/>
      <c r="I11" s="2637"/>
      <c r="J11" s="2637"/>
      <c r="K11" s="2637"/>
      <c r="L11" s="2637"/>
      <c r="M11" s="2637"/>
      <c r="N11" s="2637"/>
      <c r="O11" s="2637"/>
      <c r="P11" s="2637"/>
      <c r="Q11" s="2637"/>
      <c r="R11" s="2637"/>
      <c r="S11" s="2637"/>
      <c r="T11" s="2637"/>
      <c r="U11" s="2637"/>
      <c r="V11" s="2637"/>
      <c r="W11" s="2637"/>
      <c r="X11" s="2637"/>
      <c r="Y11" s="2626"/>
      <c r="Z11" s="2627"/>
      <c r="AA11" s="2628"/>
      <c r="AB11" s="2628"/>
    </row>
    <row customHeight="1" ht="69">
      <c r="A12" s="2624"/>
      <c r="B12" s="2908"/>
      <c r="C12" s="2910"/>
      <c r="D12" s="2638"/>
      <c r="E12" s="2912" t="s">
        <v>10</v>
      </c>
      <c r="F12" s="2912"/>
      <c r="G12" s="2912"/>
      <c r="H12" s="2912"/>
      <c r="I12" s="2912"/>
      <c r="J12" s="2912"/>
      <c r="K12" s="2912"/>
      <c r="L12" s="2912"/>
      <c r="M12" s="2912"/>
      <c r="N12" s="2912"/>
      <c r="O12" s="2912"/>
      <c r="P12" s="2912"/>
      <c r="Q12" s="2912"/>
      <c r="R12" s="2912"/>
      <c r="S12" s="2912"/>
      <c r="T12" s="2912"/>
      <c r="U12" s="2912"/>
      <c r="V12" s="2912"/>
      <c r="W12" s="2912"/>
      <c r="X12" s="2912"/>
      <c r="Y12" s="2626"/>
      <c r="Z12" s="2627"/>
      <c r="AA12" s="2628"/>
      <c r="AB12" s="2628"/>
    </row>
    <row customHeight="1" ht="15">
      <c r="A13" s="2624"/>
      <c r="B13" s="2915" t="s">
        <v>11</v>
      </c>
      <c r="C13" s="2916"/>
      <c r="D13" s="2625"/>
      <c r="E13" s="2637"/>
      <c r="F13" s="2637"/>
      <c r="G13" s="2637"/>
      <c r="H13" s="2637"/>
      <c r="I13" s="2637"/>
      <c r="J13" s="2637"/>
      <c r="K13" s="2637"/>
      <c r="L13" s="2637"/>
      <c r="M13" s="2637"/>
      <c r="N13" s="2637"/>
      <c r="O13" s="2637"/>
      <c r="P13" s="2637"/>
      <c r="Q13" s="2637"/>
      <c r="R13" s="2637"/>
      <c r="S13" s="2637"/>
      <c r="T13" s="2637"/>
      <c r="U13" s="2637"/>
      <c r="V13" s="2637"/>
      <c r="W13" s="2637"/>
      <c r="X13" s="2637"/>
      <c r="Y13" s="2626"/>
      <c r="Z13" s="2627"/>
      <c r="AA13" s="2628"/>
      <c r="AB13" s="2628"/>
    </row>
    <row customHeight="1" ht="57">
      <c r="A14" s="2624"/>
      <c r="B14" s="2908"/>
      <c r="C14" s="2909"/>
      <c r="D14" s="2630"/>
      <c r="E14" s="2919" t="s">
        <v>12</v>
      </c>
      <c r="F14" s="2919"/>
      <c r="G14" s="2919"/>
      <c r="H14" s="2919"/>
      <c r="I14" s="2919"/>
      <c r="J14" s="2919"/>
      <c r="K14" s="2919"/>
      <c r="L14" s="2919"/>
      <c r="M14" s="2919"/>
      <c r="N14" s="2919"/>
      <c r="O14" s="2919"/>
      <c r="P14" s="2919"/>
      <c r="Q14" s="2919"/>
      <c r="R14" s="2919"/>
      <c r="S14" s="2919"/>
      <c r="T14" s="2919"/>
      <c r="U14" s="2919"/>
      <c r="V14" s="2919"/>
      <c r="W14" s="2919"/>
      <c r="X14" s="2919"/>
      <c r="Y14" s="2626"/>
      <c r="Z14" s="2627"/>
      <c r="AA14" s="2628"/>
      <c r="AB14" s="2628"/>
    </row>
    <row customHeight="1" ht="16.5">
      <c r="A15" s="2624"/>
      <c r="B15" s="2917"/>
      <c r="C15" s="2918"/>
      <c r="D15" s="2639"/>
      <c r="E15" s="2640"/>
      <c r="F15" s="2640"/>
      <c r="G15" s="2640"/>
      <c r="H15" s="2640"/>
      <c r="I15" s="2640"/>
      <c r="J15" s="2640"/>
      <c r="K15" s="2640"/>
      <c r="L15" s="2640"/>
      <c r="M15" s="2640"/>
      <c r="N15" s="2640"/>
      <c r="O15" s="2640"/>
      <c r="P15" s="2640"/>
      <c r="Q15" s="2640"/>
      <c r="R15" s="2640"/>
      <c r="S15" s="2640"/>
      <c r="T15" s="2640"/>
      <c r="U15" s="2640"/>
      <c r="V15" s="2640"/>
      <c r="W15" s="2640"/>
      <c r="X15" s="2640"/>
      <c r="Y15" s="2641"/>
      <c r="Z15" s="2627"/>
      <c r="AA15" s="2642"/>
      <c r="AB15" s="2628"/>
    </row>
    <row customHeight="1" ht="95.25">
      <c r="A16" s="2616"/>
      <c r="B16" s="2919"/>
      <c r="C16" s="2920"/>
      <c r="D16" s="2920"/>
      <c r="E16" s="2920"/>
      <c r="F16" s="2920"/>
      <c r="G16" s="2920"/>
      <c r="H16" s="2920"/>
      <c r="I16" s="2920"/>
      <c r="J16" s="2920"/>
      <c r="K16" s="2920"/>
      <c r="L16" s="2920"/>
      <c r="M16" s="2920"/>
      <c r="N16" s="2920"/>
      <c r="O16" s="2920"/>
      <c r="P16" s="2920"/>
      <c r="Q16" s="2920"/>
      <c r="R16" s="2920"/>
      <c r="S16" s="2920"/>
      <c r="T16" s="2920"/>
      <c r="U16" s="2920"/>
      <c r="V16" s="2920"/>
      <c r="W16" s="2920"/>
      <c r="X16" s="2920"/>
      <c r="Y16" s="2920"/>
      <c r="Z16" s="2616"/>
      <c r="AA16" s="2618"/>
      <c r="AB16" s="2616"/>
    </row>
    <row customHeight="1" ht="14.25">
      <c r="A17" s="2616"/>
      <c r="B17" s="2616"/>
      <c r="C17" s="2616"/>
      <c r="D17" s="2616"/>
      <c r="E17" s="2616"/>
      <c r="F17" s="2616"/>
      <c r="G17" s="2616"/>
      <c r="H17" s="2616"/>
      <c r="I17" s="2616"/>
      <c r="J17" s="2616"/>
      <c r="K17" s="2616"/>
      <c r="L17" s="2616"/>
      <c r="M17" s="2616"/>
      <c r="N17" s="2616"/>
      <c r="O17" s="2616"/>
      <c r="P17" s="2616"/>
      <c r="Q17" s="2616"/>
      <c r="R17" s="2616"/>
      <c r="S17" s="2616"/>
      <c r="T17" s="2616"/>
      <c r="U17" s="2616"/>
      <c r="V17" s="2616"/>
      <c r="W17" s="2616"/>
      <c r="X17" s="2616"/>
      <c r="Y17" s="2617"/>
      <c r="Z17" s="2616"/>
      <c r="AA17" s="2618"/>
      <c r="AB17" s="2616"/>
    </row>
    <row customHeight="1" ht="14.25">
      <c r="A18" s="2616"/>
      <c r="B18" s="2616"/>
      <c r="C18" s="2616"/>
      <c r="D18" s="2616"/>
      <c r="E18" s="2616"/>
      <c r="F18" s="2616"/>
      <c r="G18" s="2616"/>
      <c r="H18" s="2616"/>
      <c r="I18" s="2616"/>
      <c r="J18" s="2616"/>
      <c r="K18" s="2616"/>
      <c r="L18" s="2616"/>
      <c r="M18" s="2616"/>
      <c r="N18" s="2616"/>
      <c r="O18" s="2616"/>
      <c r="P18" s="2616"/>
      <c r="Q18" s="2616"/>
      <c r="R18" s="2616"/>
      <c r="S18" s="2616"/>
      <c r="T18" s="2616"/>
      <c r="U18" s="2616"/>
      <c r="V18" s="2616"/>
      <c r="W18" s="2616"/>
      <c r="X18" s="2616"/>
      <c r="Y18" s="2617"/>
      <c r="Z18" s="2616"/>
      <c r="AA18" s="2618"/>
      <c r="AB18" s="2616"/>
    </row>
    <row customHeight="1" ht="14.25">
      <c r="A19" s="2616"/>
      <c r="B19" s="2616"/>
      <c r="C19" s="2616"/>
      <c r="D19" s="2616"/>
      <c r="E19" s="2616"/>
      <c r="F19" s="2616"/>
      <c r="G19" s="2616"/>
      <c r="H19" s="2616"/>
      <c r="I19" s="2616"/>
      <c r="J19" s="2616"/>
      <c r="K19" s="2616"/>
      <c r="L19" s="2616"/>
      <c r="M19" s="2616"/>
      <c r="N19" s="2616"/>
      <c r="O19" s="2616"/>
      <c r="P19" s="2616"/>
      <c r="Q19" s="2616"/>
      <c r="R19" s="2616"/>
      <c r="S19" s="2616"/>
      <c r="T19" s="2616"/>
      <c r="U19" s="2616"/>
      <c r="V19" s="2616"/>
      <c r="W19" s="2616"/>
      <c r="X19" s="2616"/>
      <c r="Y19" s="2617"/>
      <c r="Z19" s="2616"/>
      <c r="AA19" s="2618"/>
      <c r="AB19" s="2616"/>
    </row>
    <row customHeight="1" ht="14.25">
      <c r="A20" s="2616"/>
      <c r="B20" s="2616"/>
      <c r="C20" s="2616"/>
      <c r="D20" s="2616"/>
      <c r="E20" s="2616"/>
      <c r="F20" s="2616"/>
      <c r="G20" s="2616"/>
      <c r="H20" s="2616"/>
      <c r="I20" s="2616"/>
      <c r="J20" s="2616"/>
      <c r="K20" s="2616"/>
      <c r="L20" s="2616"/>
      <c r="M20" s="2616"/>
      <c r="N20" s="2616"/>
      <c r="O20" s="2616"/>
      <c r="P20" s="2616"/>
      <c r="Q20" s="2616"/>
      <c r="R20" s="2616"/>
      <c r="S20" s="2616"/>
      <c r="T20" s="2616"/>
      <c r="U20" s="2616"/>
      <c r="V20" s="2616"/>
      <c r="W20" s="2616"/>
      <c r="X20" s="2616"/>
      <c r="Y20" s="2617"/>
      <c r="Z20" s="2616"/>
      <c r="AA20" s="2618"/>
      <c r="AB20" s="2616"/>
    </row>
    <row customHeight="1" ht="14.25">
      <c r="A21" s="2616"/>
      <c r="B21" s="2616"/>
      <c r="C21" s="2616"/>
      <c r="D21" s="2616"/>
      <c r="E21" s="2616"/>
      <c r="F21" s="2616"/>
      <c r="G21" s="2616"/>
      <c r="H21" s="2616"/>
      <c r="I21" s="2616"/>
      <c r="J21" s="2616"/>
      <c r="K21" s="2616"/>
      <c r="L21" s="2616"/>
      <c r="M21" s="2616"/>
      <c r="N21" s="2616"/>
      <c r="O21" s="2616"/>
      <c r="P21" s="2616"/>
      <c r="Q21" s="2616"/>
      <c r="R21" s="2616"/>
      <c r="S21" s="2616"/>
      <c r="T21" s="2616"/>
      <c r="U21" s="2616"/>
      <c r="V21" s="2616"/>
      <c r="W21" s="2616"/>
      <c r="X21" s="2616"/>
      <c r="Y21" s="2617"/>
      <c r="Z21" s="2616"/>
      <c r="AA21" s="2618"/>
      <c r="AB21" s="261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3CF65-FE8B-782D-27BF-493AEF41ED0A}"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39981" width="9.140625" hidden="1" customWidth="1"/>
    <col min="2" max="2" style="39982" width="9.140625" hidden="1" customWidth="1"/>
    <col min="3" max="3" style="39538" width="9.140625" hidden="1" customWidth="1"/>
    <col min="4" max="4" style="39983" width="3.7109375" customWidth="1"/>
    <col min="5" max="5" style="39982" width="6.28125" customWidth="1"/>
    <col min="6" max="6" style="39538" width="1.7109375" hidden="1" customWidth="1"/>
    <col min="7" max="8" style="39982" width="30.7109375" customWidth="1"/>
    <col min="9" max="9" style="39982" width="9.00390625" customWidth="1"/>
    <col min="10" max="10" style="39982" width="12.140625" customWidth="1"/>
    <col min="11" max="11" style="39982" width="46.7109375" customWidth="1"/>
    <col min="12" max="12" style="39982" width="100.28125" customWidth="1"/>
    <col min="13" max="13" style="39985" width="7.57421875" customWidth="1"/>
    <col min="14" max="22" style="39982" width="10.57421875"/>
  </cols>
  <sheetData>
    <row s="39986" customFormat="1" customHeight="1" ht="5.25" hidden="1">
      <c r="C1" s="1423"/>
      <c r="D1" s="1406"/>
      <c r="F1" s="1423"/>
      <c r="G1" s="1401" t="s">
        <v>79</v>
      </c>
      <c r="H1" s="1401" t="s">
        <v>80</v>
      </c>
      <c r="I1" s="1401" t="s">
        <v>81</v>
      </c>
      <c r="P1" s="1401" t="s">
        <v>79</v>
      </c>
      <c r="Q1" s="1401" t="s">
        <v>80</v>
      </c>
      <c r="R1" s="1401" t="s">
        <v>81</v>
      </c>
    </row>
    <row s="39986" customFormat="1" customHeight="1" ht="5.25" hidden="1">
      <c r="C2" s="1423"/>
      <c r="D2" s="1406"/>
      <c r="F2" s="1423"/>
    </row>
    <row s="39931" customFormat="1" customHeight="1" ht="6">
      <c r="A3" s="1391"/>
      <c r="D3" s="1398"/>
      <c r="E3" s="1393"/>
      <c r="F3" s="1393"/>
      <c r="G3" s="1393"/>
      <c r="H3" s="1393"/>
      <c r="I3" s="1394"/>
      <c r="J3" s="1395"/>
      <c r="K3" s="1395"/>
      <c r="L3" s="1395"/>
    </row>
    <row customHeight="1" ht="22.5">
      <c r="D4" s="1362"/>
      <c r="E4" s="3062" t="s">
        <v>379</v>
      </c>
      <c r="F4" s="3062"/>
      <c r="G4" s="3063"/>
      <c r="H4" s="3063"/>
      <c r="I4" s="3064"/>
      <c r="J4" s="1403"/>
      <c r="K4" s="1365"/>
      <c r="L4" s="1365"/>
    </row>
    <row s="39538" customFormat="1" customHeight="1" ht="17.25">
      <c r="A5" s="1671"/>
      <c r="D5" s="1734"/>
      <c r="E5" s="3038" t="str">
        <f>IF(org=0,"Не определено",org)</f>
        <v>ПАО "ТГК-1" филиал "Невский"</v>
      </c>
      <c r="F5" s="3038"/>
      <c r="G5" s="3039"/>
      <c r="H5" s="3039"/>
      <c r="I5" s="3040"/>
      <c r="J5" s="1403"/>
      <c r="K5" s="1365"/>
      <c r="L5" s="1365"/>
      <c r="M5" s="1419"/>
    </row>
    <row s="39931" customFormat="1" customHeight="1" ht="11.25">
      <c r="A6" s="1391"/>
      <c r="D6" s="1398"/>
      <c r="E6" s="1393"/>
      <c r="F6" s="1393"/>
      <c r="G6" s="1396"/>
      <c r="H6" s="1396"/>
      <c r="I6" s="1397"/>
      <c r="J6" s="1397"/>
      <c r="K6" s="1664"/>
      <c r="L6" s="1397"/>
    </row>
    <row customHeight="1" ht="14.25">
      <c r="D7" s="1362"/>
      <c r="E7" s="3032" t="s">
        <v>291</v>
      </c>
      <c r="F7" s="3032"/>
      <c r="G7" s="3033"/>
      <c r="H7" s="3033"/>
      <c r="I7" s="3033"/>
      <c r="J7" s="3033"/>
      <c r="K7" s="3033"/>
      <c r="L7" s="3047" t="s">
        <v>292</v>
      </c>
    </row>
    <row customHeight="1" ht="45">
      <c r="D8" s="1362"/>
      <c r="E8" s="1385" t="s">
        <v>84</v>
      </c>
      <c r="F8" s="1735"/>
      <c r="G8" s="1377" t="s">
        <v>82</v>
      </c>
      <c r="H8" s="1377" t="s">
        <v>83</v>
      </c>
      <c r="I8" s="1326" t="s">
        <v>81</v>
      </c>
      <c r="J8" s="1326" t="s">
        <v>380</v>
      </c>
      <c r="K8" s="1326" t="s">
        <v>381</v>
      </c>
      <c r="L8" s="3047"/>
    </row>
    <row customHeight="1" ht="12" hidden="1">
      <c r="D9" s="1399"/>
      <c r="E9" s="1405"/>
      <c r="F9" s="1742"/>
      <c r="G9" s="1405"/>
      <c r="H9" s="1405"/>
      <c r="I9" s="1405"/>
      <c r="J9" s="1405"/>
      <c r="K9" s="1405"/>
      <c r="L9" s="1405"/>
      <c r="M9" s="1359"/>
    </row>
    <row customHeight="1" ht="14.25" hidden="1">
      <c r="A10" s="1417"/>
      <c r="B10" s="1417"/>
      <c r="D10" s="1418"/>
      <c r="E10" s="1424">
        <v>0</v>
      </c>
      <c r="F10" s="1733"/>
      <c r="G10" s="1420"/>
      <c r="H10" s="1420"/>
      <c r="I10" s="1420"/>
      <c r="J10" s="1420"/>
      <c r="K10" s="1420"/>
      <c r="L10" s="3045" t="s">
        <v>382</v>
      </c>
      <c r="M10" s="1419"/>
      <c r="N10" s="1417"/>
      <c r="O10" s="1417"/>
      <c r="P10" s="1417"/>
      <c r="Q10" s="1417"/>
      <c r="R10" s="1417"/>
      <c r="S10" s="1417"/>
      <c r="T10" s="1417"/>
      <c r="U10" s="1417"/>
      <c r="V10" s="1417"/>
    </row>
    <row customHeight="1" ht="15" hidden="1">
      <c r="A11" s="2925"/>
      <c r="B11" s="1416"/>
      <c r="C11" s="1416"/>
      <c r="D11" s="1777"/>
      <c r="E11" s="1425"/>
      <c r="F11" s="1425"/>
      <c r="G11" s="1425"/>
      <c r="H11" s="1425"/>
      <c r="I11" s="1426"/>
      <c r="J11" s="1427"/>
      <c r="K11" s="1625"/>
      <c r="L11" s="3065"/>
      <c r="M11" s="1423"/>
      <c r="N11" s="1423"/>
      <c r="O11" s="1423"/>
      <c r="P11" s="1428"/>
      <c r="Q11" s="1428"/>
      <c r="R11" s="1429"/>
      <c r="S11" s="1423"/>
      <c r="T11" s="1423"/>
      <c r="U11" s="1423"/>
      <c r="V11" s="1423"/>
    </row>
    <row s="39931" customFormat="1" customHeight="1" ht="14.25">
      <c r="A12" s="2925"/>
      <c r="B12" s="1416"/>
      <c r="C12" s="1416"/>
      <c r="D12" s="1778"/>
      <c r="E12" s="1735">
        <v>1</v>
      </c>
      <c r="F12" s="1776">
        <v>23</v>
      </c>
      <c r="G12" s="1775"/>
      <c r="H12" s="1705"/>
      <c r="I12" s="1703"/>
      <c r="J12" s="1432" t="s">
        <v>62</v>
      </c>
      <c r="K12" s="2078" t="s">
        <v>18</v>
      </c>
      <c r="L12" s="3065"/>
      <c r="M12" s="1423"/>
      <c r="N12" s="1423"/>
      <c r="O12" s="1423"/>
      <c r="P12" s="1428" t="s">
        <v>383</v>
      </c>
      <c r="Q12" s="1428" t="s">
        <v>384</v>
      </c>
      <c r="R12" s="1429" t="s">
        <v>385</v>
      </c>
      <c r="S12" s="1423" t="s">
        <v>386</v>
      </c>
      <c r="T12" s="1423"/>
      <c r="U12" s="1423"/>
      <c r="V12" s="1423"/>
    </row>
    <row customHeight="1" ht="15">
      <c r="A13" s="2925"/>
      <c r="B13" s="1417"/>
      <c r="D13" s="1418"/>
      <c r="E13" s="1317"/>
      <c r="F13" s="1441"/>
      <c r="G13" s="1328" t="s">
        <v>95</v>
      </c>
      <c r="H13" s="1316"/>
      <c r="I13" s="1316"/>
      <c r="J13" s="1316"/>
      <c r="K13" s="1315"/>
      <c r="L13" s="3046"/>
      <c r="M13" s="1421"/>
      <c r="N13" s="1417"/>
      <c r="O13" s="1417"/>
      <c r="P13" s="1417"/>
      <c r="Q13" s="1417"/>
      <c r="R13" s="1417"/>
      <c r="S13" s="1417"/>
      <c r="T13" s="1417"/>
      <c r="U13" s="1417"/>
      <c r="V13" s="1417"/>
    </row>
    <row customHeight="1" ht="11.25">
      <c r="A14" s="1391"/>
      <c r="B14" s="1392"/>
      <c r="C14" s="1392"/>
      <c r="D14" s="1407"/>
      <c r="E14" s="1392"/>
      <c r="F14" s="1392"/>
      <c r="G14" s="1392"/>
      <c r="H14" s="1392"/>
      <c r="I14" s="1392"/>
      <c r="J14" s="1392"/>
      <c r="K14" s="1392"/>
      <c r="L14" s="1392"/>
      <c r="M14" s="1392"/>
      <c r="N14" s="1392"/>
      <c r="O14" s="1392"/>
      <c r="P14" s="1392"/>
      <c r="Q14" s="1392"/>
      <c r="R14" s="1392"/>
      <c r="S14" s="1392"/>
      <c r="T14" s="1392"/>
      <c r="U14" s="1392"/>
      <c r="V14" s="1392"/>
    </row>
    <row customHeight="1" ht="14.25">
      <c r="D15" s="1378"/>
      <c r="E15" s="1248"/>
      <c r="F15" s="1248"/>
      <c r="G15" s="15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378"/>
      <c r="I15" s="1378"/>
      <c r="J15" s="1378"/>
      <c r="K15" s="1378"/>
      <c r="L15" s="1378"/>
    </row>
    <row r="18" customHeight="1" ht="14.25">
      <c r="G18" s="1417"/>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036F32-FB16-5137-6B94-DE26E754C934}"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12" width="3.7109375" customWidth="1"/>
    <col min="17" max="18" style="40213" width="3.7109375" customWidth="1"/>
    <col min="19" max="19" style="40214" width="12.7109375" customWidth="1"/>
    <col min="20" max="20" style="40215" width="35.7109375" customWidth="1"/>
    <col min="21" max="21" style="40215" width="0.140625" customWidth="1"/>
    <col min="22" max="22" style="40215" width="24.7109375" hidden="1" customWidth="1"/>
    <col min="23" max="23" style="40215" width="0.140625" hidden="1" customWidth="1"/>
    <col min="24" max="25" style="40215" width="24.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24.7109375" customWidth="1"/>
    <col min="31" max="31" style="40215" width="0.140625" customWidth="1"/>
    <col min="32" max="33" style="40215" width="24.710937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24">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19"/>
      <c r="Q3" s="1264"/>
      <c r="R3" s="1265"/>
      <c r="S3" s="2224">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2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2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20"/>
      <c r="R6" s="1268"/>
      <c r="S6" s="222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2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2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21"/>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20"/>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0110"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P17" s="2226"/>
      <c r="AD17" s="2275"/>
      <c r="AE17" s="2275"/>
      <c r="AF17" s="2275"/>
      <c r="AG17" s="2276"/>
      <c r="AH17" s="3091"/>
      <c r="AI17" s="3092" t="s">
        <v>62</v>
      </c>
      <c r="AJ17" s="3091"/>
      <c r="AK17" s="3092" t="s">
        <v>62</v>
      </c>
    </row>
    <row customHeight="1" ht="14.25" hidden="1">
      <c r="P18" s="2226"/>
      <c r="AD18" s="2275"/>
      <c r="AE18" s="2275"/>
      <c r="AF18" s="2275"/>
      <c r="AG18" s="1240" t="str">
        <f>AH17&amp;"-"&amp;AJ17</f>
        <v>-</v>
      </c>
      <c r="AH18" s="3092"/>
      <c r="AI18" s="3092"/>
      <c r="AJ18" s="3092"/>
      <c r="AK18" s="3092"/>
    </row>
    <row customHeight="1" ht="14.25" hidden="1">
      <c r="P19" s="2226"/>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c r="P23" s="2226"/>
    </row>
    <row customHeight="1" ht="14.25" hidden="1">
      <c r="O24" s="2279"/>
      <c r="P24" s="2226"/>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P33" s="2243"/>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133"/>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427</v>
      </c>
      <c r="AA40" s="3093"/>
      <c r="AB40" s="3087"/>
      <c r="AC40" s="3102"/>
      <c r="AD40" s="3084" t="s">
        <v>424</v>
      </c>
      <c r="AE40" s="3107" t="s">
        <v>425</v>
      </c>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135" t="s">
        <v>437</v>
      </c>
      <c r="AA41" s="3094" t="s">
        <v>438</v>
      </c>
      <c r="AB41" s="3095"/>
      <c r="AC41" s="3103"/>
      <c r="AD41" s="3085"/>
      <c r="AE41" s="3108"/>
      <c r="AF41" s="2136" t="s">
        <v>435</v>
      </c>
      <c r="AG41" s="2136" t="s">
        <v>436</v>
      </c>
      <c r="AH41" s="2228" t="s">
        <v>437</v>
      </c>
      <c r="AI41" s="3094" t="s">
        <v>438</v>
      </c>
      <c r="AJ41" s="3095"/>
      <c r="AK41" s="3103"/>
      <c r="AL41" s="3106"/>
      <c r="AM41" s="2953"/>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170">
        <f>OFFSET(V42,0,-1)+1</f>
        <v>3</v>
      </c>
      <c r="W42" s="2170"/>
      <c r="X42" s="2170">
        <f>OFFSET(X42,0,-1)+1</f>
        <v>1</v>
      </c>
      <c r="Y42" s="2170">
        <f>OFFSET(Y42,0,-1)+1</f>
        <v>2</v>
      </c>
      <c r="Z42" s="2170">
        <f>OFFSET(Z42,0,-1)+1</f>
        <v>3</v>
      </c>
      <c r="AA42" s="3096">
        <f>OFFSET(AA42,0,-1)+1</f>
        <v>4</v>
      </c>
      <c r="AB42" s="3096"/>
      <c r="AC42" s="2170">
        <f>OFFSET(AC42,0,-2)+1</f>
        <v>5</v>
      </c>
      <c r="AD42" s="2227">
        <f>OFFSET(AD42,0,-1)+1</f>
        <v>6</v>
      </c>
      <c r="AE42" s="2227"/>
      <c r="AF42" s="2227">
        <f>OFFSET(AF42,0,-1)+1</f>
        <v>1</v>
      </c>
      <c r="AG42" s="2227">
        <f>OFFSET(AG42,0,-1)+1</f>
        <v>2</v>
      </c>
      <c r="AH42" s="2227">
        <f>OFFSET(AH42,0,-1)+1</f>
        <v>3</v>
      </c>
      <c r="AI42" s="3096">
        <f>OFFSET(AI42,0,-1)+1</f>
        <v>4</v>
      </c>
      <c r="AJ42" s="3096"/>
      <c r="AK42" s="2227">
        <f>OFFSET(AK42,0,-2)+1</f>
        <v>5</v>
      </c>
      <c r="AL42" s="2159">
        <f>OFFSET(AL42,0,-1)</f>
        <v>5</v>
      </c>
      <c r="AM42" s="2170">
        <f>OFFSET(AM42,0,-1)+1</f>
        <v>6</v>
      </c>
      <c r="AN42" s="1423"/>
      <c r="AO42" s="1423"/>
      <c r="AP42" s="1423"/>
      <c r="AQ42" s="1423"/>
      <c r="AR42" s="1423"/>
    </row>
    <row customHeight="1" ht="23.25">
      <c r="A43" s="2278" t="s">
        <v>149</v>
      </c>
      <c r="B43" s="2278"/>
      <c r="C43" s="2278"/>
      <c r="D43" s="2278"/>
      <c r="E43" s="3082">
        <v>1</v>
      </c>
      <c r="F43" s="2278"/>
      <c r="G43" s="2278"/>
      <c r="H43" s="2278"/>
      <c r="I43" s="2278"/>
      <c r="J43" s="2278"/>
      <c r="K43" s="2278"/>
      <c r="L43" s="2279"/>
      <c r="M43" s="2280"/>
      <c r="N43" s="2280"/>
      <c r="O43" s="2280"/>
      <c r="P43" s="1273"/>
      <c r="Q43" s="1272"/>
      <c r="R43" s="1267"/>
      <c r="S43" s="2138">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3.25">
      <c r="A44" s="2278" t="s">
        <v>149</v>
      </c>
      <c r="B44" s="2278" t="s">
        <v>150</v>
      </c>
      <c r="C44" s="2278"/>
      <c r="D44" s="2278"/>
      <c r="E44" s="3083"/>
      <c r="F44" s="3082">
        <v>1</v>
      </c>
      <c r="G44" s="2278"/>
      <c r="H44" s="2278"/>
      <c r="I44" s="2278"/>
      <c r="J44" s="2278"/>
      <c r="K44" s="2278"/>
      <c r="L44" s="2279"/>
      <c r="M44" s="2280"/>
      <c r="N44" s="2280"/>
      <c r="O44" s="2280"/>
      <c r="P44" s="1434"/>
      <c r="Q44" s="1264"/>
      <c r="R44" s="1265"/>
      <c r="S44" s="2138"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149</v>
      </c>
      <c r="B45" s="2278" t="s">
        <v>150</v>
      </c>
      <c r="C45" s="2278" t="s">
        <v>151</v>
      </c>
      <c r="D45" s="2278"/>
      <c r="E45" s="3083"/>
      <c r="F45" s="3083"/>
      <c r="G45" s="3082">
        <v>1</v>
      </c>
      <c r="H45" s="2278"/>
      <c r="I45" s="2278"/>
      <c r="J45" s="2278"/>
      <c r="K45" s="2278"/>
      <c r="L45" s="2279"/>
      <c r="M45" s="2280"/>
      <c r="N45" s="2280"/>
      <c r="O45" s="2280"/>
      <c r="P45" s="1266"/>
      <c r="Q45" s="1264"/>
      <c r="R45" s="1265"/>
      <c r="S45" s="2138"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3.25">
      <c r="A46" s="2278" t="s">
        <v>149</v>
      </c>
      <c r="B46" s="2278" t="s">
        <v>150</v>
      </c>
      <c r="C46" s="2278" t="s">
        <v>151</v>
      </c>
      <c r="D46" s="2278" t="s">
        <v>152</v>
      </c>
      <c r="E46" s="3083"/>
      <c r="F46" s="3083"/>
      <c r="G46" s="3083"/>
      <c r="H46" s="3082">
        <v>1</v>
      </c>
      <c r="I46" s="2278"/>
      <c r="J46" s="2278"/>
      <c r="K46" s="2278"/>
      <c r="L46" s="2279"/>
      <c r="M46" s="2280"/>
      <c r="N46" s="2280"/>
      <c r="O46" s="2280"/>
      <c r="P46" s="1266"/>
      <c r="Q46" s="1264"/>
      <c r="R46" s="1265"/>
      <c r="S46" s="2138"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149</v>
      </c>
      <c r="B47" s="2278" t="s">
        <v>150</v>
      </c>
      <c r="C47" s="2278" t="s">
        <v>151</v>
      </c>
      <c r="D47" s="2278" t="s">
        <v>152</v>
      </c>
      <c r="E47" s="3083"/>
      <c r="F47" s="3083"/>
      <c r="G47" s="3083"/>
      <c r="H47" s="3083"/>
      <c r="I47" s="3080" t="str">
        <f>S46&amp;".1"</f>
        <v>....1</v>
      </c>
      <c r="J47" s="2278"/>
      <c r="K47" s="2278"/>
      <c r="L47" s="2279" t="s">
        <v>394</v>
      </c>
      <c r="P47" s="3081">
        <v>1</v>
      </c>
      <c r="Q47" s="2134"/>
      <c r="R47" s="1268"/>
      <c r="S47" s="2138"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3.25">
      <c r="A48" s="2278" t="s">
        <v>149</v>
      </c>
      <c r="B48" s="2278" t="s">
        <v>150</v>
      </c>
      <c r="C48" s="2278" t="s">
        <v>151</v>
      </c>
      <c r="D48" s="2278" t="s">
        <v>152</v>
      </c>
      <c r="E48" s="3083"/>
      <c r="F48" s="3083"/>
      <c r="G48" s="3083"/>
      <c r="H48" s="3083"/>
      <c r="I48" s="3110"/>
      <c r="J48" s="3080" t="str">
        <f>I47&amp;".1"</f>
        <v>....1.1</v>
      </c>
      <c r="K48" s="2278"/>
      <c r="L48" s="2279" t="s">
        <v>397</v>
      </c>
      <c r="P48" s="3081"/>
      <c r="Q48" s="3081">
        <v>1</v>
      </c>
      <c r="R48" s="1269"/>
      <c r="S48" s="2138"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3.25">
      <c r="A49" s="2278" t="s">
        <v>149</v>
      </c>
      <c r="B49" s="2278" t="s">
        <v>150</v>
      </c>
      <c r="C49" s="2278" t="s">
        <v>151</v>
      </c>
      <c r="D49" s="2278" t="s">
        <v>152</v>
      </c>
      <c r="E49" s="3083"/>
      <c r="F49" s="3083"/>
      <c r="G49" s="3083"/>
      <c r="H49" s="3083"/>
      <c r="I49" s="3110"/>
      <c r="J49" s="3110"/>
      <c r="K49" s="3080" t="str">
        <f>J48&amp;".1"</f>
        <v>....1.1.1</v>
      </c>
      <c r="L49" s="2279" t="s">
        <v>400</v>
      </c>
      <c r="P49" s="3081"/>
      <c r="Q49" s="3081"/>
      <c r="R49" s="1269">
        <v>1</v>
      </c>
      <c r="S49" s="2138"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1423">
        <f>STRCHECKDATE(V50:AL50)</f>
      </c>
      <c r="AO49" s="1412"/>
      <c r="AP49" s="1412" t="str">
        <f>IF(T49="","",T49)</f>
        <v/>
      </c>
      <c r="AQ49" s="1412"/>
      <c r="AR49" s="1412"/>
    </row>
    <row customHeight="1" ht="0.75">
      <c r="A50" s="2278" t="s">
        <v>149</v>
      </c>
      <c r="B50" s="2278" t="s">
        <v>150</v>
      </c>
      <c r="C50" s="2278" t="s">
        <v>151</v>
      </c>
      <c r="D50" s="2278" t="s">
        <v>152</v>
      </c>
      <c r="E50" s="3083"/>
      <c r="F50" s="3083"/>
      <c r="G50" s="3083"/>
      <c r="H50" s="3083"/>
      <c r="I50" s="3110"/>
      <c r="J50" s="3110"/>
      <c r="K50" s="3080"/>
      <c r="L50" s="2279"/>
      <c r="P50" s="3081"/>
      <c r="Q50" s="3081"/>
      <c r="R50" s="1269"/>
      <c r="S50" s="213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149</v>
      </c>
      <c r="B51" s="2278" t="s">
        <v>150</v>
      </c>
      <c r="C51" s="2278" t="s">
        <v>151</v>
      </c>
      <c r="D51" s="2278" t="s">
        <v>152</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149</v>
      </c>
      <c r="B52" s="2278" t="s">
        <v>150</v>
      </c>
      <c r="C52" s="2278" t="s">
        <v>151</v>
      </c>
      <c r="D52" s="2278" t="s">
        <v>152</v>
      </c>
      <c r="E52" s="3083"/>
      <c r="F52" s="3083"/>
      <c r="G52" s="3083"/>
      <c r="H52" s="3083"/>
      <c r="I52" s="3080"/>
      <c r="J52" s="2278"/>
      <c r="K52" s="2278"/>
      <c r="L52" s="2279"/>
      <c r="P52" s="3081"/>
      <c r="Q52" s="2134"/>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149</v>
      </c>
      <c r="B53" s="2278" t="s">
        <v>150</v>
      </c>
      <c r="C53" s="2278" t="s">
        <v>151</v>
      </c>
      <c r="D53" s="2278" t="s">
        <v>152</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0110" customFormat="1" customHeight="1" ht="0.75">
      <c r="A54" s="2258" t="s">
        <v>149</v>
      </c>
      <c r="B54" s="2258" t="s">
        <v>150</v>
      </c>
      <c r="C54" s="2258" t="s">
        <v>151</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75">
      <c r="A55" s="2258" t="s">
        <v>149</v>
      </c>
      <c r="B55" s="2258" t="s">
        <v>150</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75">
      <c r="A56" s="2258" t="s">
        <v>149</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4.5">
      <c r="O60" s="1449"/>
      <c r="P60" s="2218"/>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P62" s="2243"/>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P63" s="2243"/>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P64" s="2243"/>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DB40DD-B008-EF23-5628-EC1F221F0E63}"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23" width="3.7109375" customWidth="1"/>
    <col min="17" max="18" style="40213" width="3.7109375" customWidth="1"/>
    <col min="19" max="19" style="40214" width="12.7109375" customWidth="1"/>
    <col min="20" max="20" style="40215" width="32.00390625" customWidth="1"/>
    <col min="21" max="21" style="40215" width="0.140625" customWidth="1"/>
    <col min="22" max="22" style="40215" width="24.7109375" hidden="1" customWidth="1"/>
    <col min="23" max="23" style="40215" width="0.140625" hidden="1" customWidth="1"/>
    <col min="24" max="25" style="40215" width="24.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24.7109375" customWidth="1"/>
    <col min="31" max="31" style="40215" width="0.140625" customWidth="1"/>
    <col min="32" max="33" style="40215" width="24.710937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46"/>
      <c r="R6" s="1268"/>
      <c r="S6" s="2251">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0110"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155</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155</v>
      </c>
      <c r="B44" s="2278" t="s">
        <v>156</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155</v>
      </c>
      <c r="B45" s="2278" t="s">
        <v>156</v>
      </c>
      <c r="C45" s="2278" t="s">
        <v>157</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155</v>
      </c>
      <c r="B46" s="2278" t="s">
        <v>156</v>
      </c>
      <c r="C46" s="2278" t="s">
        <v>157</v>
      </c>
      <c r="D46" s="2278" t="s">
        <v>158</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155</v>
      </c>
      <c r="B47" s="2278" t="s">
        <v>156</v>
      </c>
      <c r="C47" s="2278" t="s">
        <v>157</v>
      </c>
      <c r="D47" s="2278" t="s">
        <v>158</v>
      </c>
      <c r="E47" s="3083"/>
      <c r="F47" s="3083"/>
      <c r="G47" s="3083"/>
      <c r="H47" s="3083"/>
      <c r="I47" s="3080" t="str">
        <f>S46&amp;".1"</f>
        <v>....1</v>
      </c>
      <c r="J47" s="2278"/>
      <c r="K47" s="2278"/>
      <c r="L47" s="2279" t="s">
        <v>394</v>
      </c>
      <c r="P47" s="3081">
        <v>1</v>
      </c>
      <c r="Q47" s="2246"/>
      <c r="R47" s="1268"/>
      <c r="S47" s="2251"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78" t="s">
        <v>155</v>
      </c>
      <c r="B48" s="2278" t="s">
        <v>156</v>
      </c>
      <c r="C48" s="2278" t="s">
        <v>157</v>
      </c>
      <c r="D48" s="2278" t="s">
        <v>158</v>
      </c>
      <c r="E48" s="3083"/>
      <c r="F48" s="3083"/>
      <c r="G48" s="3083"/>
      <c r="H48" s="3083"/>
      <c r="I48" s="3110"/>
      <c r="J48" s="3080" t="str">
        <f>I47&amp;".1"</f>
        <v>....1.1</v>
      </c>
      <c r="K48" s="2278"/>
      <c r="L48" s="2279" t="s">
        <v>397</v>
      </c>
      <c r="P48" s="3081"/>
      <c r="Q48" s="3081">
        <v>1</v>
      </c>
      <c r="R48" s="1269"/>
      <c r="S48" s="2251"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155</v>
      </c>
      <c r="B49" s="2278" t="s">
        <v>156</v>
      </c>
      <c r="C49" s="2278" t="s">
        <v>157</v>
      </c>
      <c r="D49" s="2278" t="s">
        <v>158</v>
      </c>
      <c r="E49" s="3083"/>
      <c r="F49" s="3083"/>
      <c r="G49" s="3083"/>
      <c r="H49" s="3083"/>
      <c r="I49" s="3110"/>
      <c r="J49" s="3110"/>
      <c r="K49" s="3080" t="str">
        <f>J48&amp;".1"</f>
        <v>....1.1.1</v>
      </c>
      <c r="L49" s="2279" t="s">
        <v>400</v>
      </c>
      <c r="P49" s="3081"/>
      <c r="Q49" s="3081"/>
      <c r="R49" s="1269">
        <v>1</v>
      </c>
      <c r="S49" s="2251"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1423">
        <f>STRCHECKDATE(V50:AL50)</f>
      </c>
      <c r="AO49" s="1412"/>
      <c r="AP49" s="1412" t="str">
        <f>IF(T49="","",T49)</f>
        <v/>
      </c>
      <c r="AQ49" s="1412"/>
      <c r="AR49" s="1412"/>
    </row>
    <row customHeight="1" ht="0.75">
      <c r="A50" s="2278" t="s">
        <v>155</v>
      </c>
      <c r="B50" s="2278" t="s">
        <v>156</v>
      </c>
      <c r="C50" s="2278" t="s">
        <v>157</v>
      </c>
      <c r="D50" s="2278" t="s">
        <v>158</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155</v>
      </c>
      <c r="B51" s="2278" t="s">
        <v>156</v>
      </c>
      <c r="C51" s="2278" t="s">
        <v>157</v>
      </c>
      <c r="D51" s="2278" t="s">
        <v>158</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155</v>
      </c>
      <c r="B52" s="2278" t="s">
        <v>156</v>
      </c>
      <c r="C52" s="2278" t="s">
        <v>157</v>
      </c>
      <c r="D52" s="2278" t="s">
        <v>158</v>
      </c>
      <c r="E52" s="3083"/>
      <c r="F52" s="3083"/>
      <c r="G52" s="3083"/>
      <c r="H52" s="3083"/>
      <c r="I52" s="3080"/>
      <c r="J52" s="2278"/>
      <c r="K52" s="2278"/>
      <c r="L52" s="2279"/>
      <c r="P52" s="3081"/>
      <c r="Q52" s="2246"/>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155</v>
      </c>
      <c r="B53" s="2278" t="s">
        <v>156</v>
      </c>
      <c r="C53" s="2278" t="s">
        <v>157</v>
      </c>
      <c r="D53" s="2278" t="s">
        <v>158</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0110" customFormat="1" customHeight="1" ht="0.75">
      <c r="A54" s="2258" t="s">
        <v>155</v>
      </c>
      <c r="B54" s="2258" t="s">
        <v>156</v>
      </c>
      <c r="C54" s="2258" t="s">
        <v>157</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75">
      <c r="A55" s="2258" t="s">
        <v>155</v>
      </c>
      <c r="B55" s="2258" t="s">
        <v>156</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75">
      <c r="A56" s="2258" t="s">
        <v>155</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EFEEEE-4281-7CA9-2F19-169B4E9A0551}"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0257" width="10.57421875" hidden="1"/>
    <col min="2" max="2" style="40257" width="11.00390625" hidden="1" customWidth="1"/>
    <col min="3" max="3" style="40257" width="10.57421875" hidden="1"/>
    <col min="4" max="4" style="40257" width="11.8515625" hidden="1" customWidth="1"/>
    <col min="5" max="5" style="40257" width="10.00390625" hidden="1" customWidth="1"/>
    <col min="6" max="6" style="40257" width="8.7109375" hidden="1" customWidth="1"/>
    <col min="7" max="7" style="40257" width="7.57421875" hidden="1" customWidth="1"/>
    <col min="8" max="8" style="40257" width="11.421875" hidden="1" customWidth="1"/>
    <col min="9" max="9" style="40257" width="12.00390625" hidden="1" customWidth="1"/>
    <col min="10" max="10" style="40257" width="9.8515625" hidden="1" customWidth="1"/>
    <col min="11" max="11" style="40257" width="11.421875" hidden="1" customWidth="1"/>
    <col min="12" max="12" style="40258" width="19.140625" hidden="1" customWidth="1"/>
    <col min="13" max="14" style="40259" width="12.28125" hidden="1" customWidth="1"/>
    <col min="15" max="15" style="40259" width="23.421875" hidden="1" customWidth="1"/>
    <col min="16" max="16" style="40259" width="3.7109375" customWidth="1"/>
    <col min="17" max="18" style="40213" width="3.7109375" customWidth="1"/>
    <col min="19" max="19" style="40214" width="12.7109375" customWidth="1"/>
    <col min="20" max="20" style="40257" width="32.00390625" customWidth="1"/>
    <col min="21" max="21" style="40257" width="0.140625" customWidth="1"/>
    <col min="22" max="22" style="40257" width="24.7109375" hidden="1" customWidth="1"/>
    <col min="23" max="23" style="40257" width="0.140625" hidden="1" customWidth="1"/>
    <col min="24" max="25" style="40257" width="24.7109375" hidden="1" customWidth="1"/>
    <col min="26" max="26" style="40257" width="11.7109375" hidden="1" customWidth="1"/>
    <col min="27" max="27" style="40257" width="3.7109375" hidden="1" customWidth="1"/>
    <col min="28" max="28" style="40257" width="11.7109375" hidden="1" customWidth="1"/>
    <col min="29" max="29" style="40257" width="8.57421875" hidden="1" customWidth="1"/>
    <col min="30" max="30" style="40257" width="24.7109375" customWidth="1"/>
    <col min="31" max="31" style="40257" width="0.140625" customWidth="1"/>
    <col min="32" max="33" style="40257" width="24.7109375" customWidth="1"/>
    <col min="34" max="34" style="40257" width="11.7109375" customWidth="1"/>
    <col min="35" max="35" style="40257" width="3.7109375" customWidth="1"/>
    <col min="36" max="36" style="40257" width="11.7109375" customWidth="1"/>
    <col min="37" max="37" style="40257" width="8.57421875" hidden="1" customWidth="1"/>
    <col min="38" max="38" style="40257" width="4.7109375" customWidth="1"/>
    <col min="39" max="39" style="40257" width="115.7109375" customWidth="1"/>
    <col min="40" max="41" style="40255" width="10.57421875"/>
    <col min="42" max="42" style="40255" width="11.140625" customWidth="1"/>
    <col min="43" max="44" style="40255" width="10.57421875"/>
  </cols>
  <sheetData>
    <row customHeight="1" ht="14.25" hidden="1"/>
    <row customHeight="1" ht="21" hidden="1">
      <c r="A2" s="2182"/>
      <c r="B2" s="2182"/>
      <c r="C2" s="2182"/>
      <c r="D2" s="2182"/>
      <c r="E2" s="3113">
        <v>1</v>
      </c>
      <c r="F2" s="2182"/>
      <c r="G2" s="2182"/>
      <c r="H2" s="2182"/>
      <c r="I2" s="2182"/>
      <c r="J2" s="2182"/>
      <c r="K2" s="2182"/>
      <c r="L2" s="2225"/>
      <c r="M2" s="2525"/>
      <c r="N2" s="2525"/>
      <c r="O2" s="2525"/>
      <c r="P2" s="2505"/>
      <c r="Q2" s="1272"/>
      <c r="R2" s="1267"/>
      <c r="S2" s="2874">
        <f>INDEX(PT_DIFFERENTIATION_NUM_NTAR,MATCH(A2,PT_DIFFERENTIATION_NTAR_ID,0))</f>
      </c>
      <c r="T2" s="244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2539"/>
      <c r="AP2" s="2539" t="str">
        <f>IF(T2="","",T2)</f>
        <v>Наименование тарифа</v>
      </c>
      <c r="AQ2" s="2539"/>
      <c r="AR2" s="2539"/>
    </row>
    <row customHeight="1" ht="21" hidden="1">
      <c r="A3" s="2182"/>
      <c r="B3" s="2182"/>
      <c r="C3" s="2182"/>
      <c r="D3" s="2182"/>
      <c r="E3" s="3114"/>
      <c r="F3" s="3113">
        <v>1</v>
      </c>
      <c r="G3" s="2182"/>
      <c r="H3" s="2182"/>
      <c r="I3" s="2182"/>
      <c r="J3" s="2182"/>
      <c r="K3" s="2182"/>
      <c r="L3" s="2225"/>
      <c r="M3" s="2525"/>
      <c r="N3" s="2525"/>
      <c r="O3" s="2525"/>
      <c r="P3" s="2856"/>
      <c r="Q3" s="1264"/>
      <c r="R3" s="1265"/>
      <c r="S3" s="2874">
        <f>INDEX(PT_DIFFERENTIATION_NUM_TER,MATCH(B3,PT_DIFFERENTIATION_TER_ID,0))</f>
      </c>
      <c r="T3" s="2437"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2539"/>
      <c r="AP3" s="2539" t="str">
        <f>IF(T3="","",T3)</f>
        <v>Территория действия тарифа</v>
      </c>
      <c r="AQ3" s="2539"/>
      <c r="AR3" s="2539"/>
    </row>
    <row customHeight="1" ht="23.25" hidden="1">
      <c r="A4" s="2182"/>
      <c r="B4" s="2182"/>
      <c r="C4" s="2182"/>
      <c r="D4" s="2182"/>
      <c r="E4" s="3114"/>
      <c r="F4" s="3114"/>
      <c r="G4" s="3113">
        <v>1</v>
      </c>
      <c r="H4" s="2182"/>
      <c r="I4" s="2182"/>
      <c r="J4" s="2182"/>
      <c r="K4" s="2182"/>
      <c r="L4" s="2225"/>
      <c r="M4" s="2525"/>
      <c r="N4" s="2525"/>
      <c r="O4" s="2525"/>
      <c r="P4" s="1266"/>
      <c r="Q4" s="1264"/>
      <c r="R4" s="1265"/>
      <c r="S4" s="287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2539"/>
      <c r="AP4" s="2539" t="str">
        <f>IF(T4="","",T4)</f>
        <v>Наименование системы теплоснабжения </v>
      </c>
      <c r="AQ4" s="2539"/>
      <c r="AR4" s="2539"/>
    </row>
    <row customHeight="1" ht="21" hidden="1">
      <c r="A5" s="2182"/>
      <c r="B5" s="2182"/>
      <c r="C5" s="2182"/>
      <c r="D5" s="2182"/>
      <c r="E5" s="3114"/>
      <c r="F5" s="3114"/>
      <c r="G5" s="3114"/>
      <c r="H5" s="3113">
        <v>1</v>
      </c>
      <c r="I5" s="2182"/>
      <c r="J5" s="2182"/>
      <c r="K5" s="2182"/>
      <c r="L5" s="2225"/>
      <c r="M5" s="2525"/>
      <c r="N5" s="2525"/>
      <c r="O5" s="2525"/>
      <c r="P5" s="1266"/>
      <c r="Q5" s="1264"/>
      <c r="R5" s="1265"/>
      <c r="S5" s="287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2539"/>
      <c r="AP5" s="2539" t="str">
        <f>IF(T5="","",T5)</f>
        <v>Источник тепловой энергии  </v>
      </c>
      <c r="AQ5" s="2539"/>
      <c r="AR5" s="2539"/>
    </row>
    <row customHeight="1" ht="47.25" hidden="1">
      <c r="A6" s="2182"/>
      <c r="B6" s="2182"/>
      <c r="C6" s="2182"/>
      <c r="D6" s="2182"/>
      <c r="E6" s="3114"/>
      <c r="F6" s="3114"/>
      <c r="G6" s="3114"/>
      <c r="H6" s="3114"/>
      <c r="I6" s="2953">
        <f>S5&amp;".1"</f>
      </c>
      <c r="J6" s="2182"/>
      <c r="K6" s="2182"/>
      <c r="L6" s="2225" t="s">
        <v>394</v>
      </c>
      <c r="M6" s="2550"/>
      <c r="P6" s="3081">
        <v>1</v>
      </c>
      <c r="Q6" s="2870"/>
      <c r="R6" s="1268"/>
      <c r="S6" s="287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2539"/>
      <c r="AP6" s="2539" t="str">
        <f>IF(T6="","",T6)</f>
        <v>Схема подключения теплопотребляющей установки к коллектору источника тепловой энергии</v>
      </c>
      <c r="AQ6" s="2539"/>
      <c r="AR6" s="2539"/>
    </row>
    <row customHeight="1" ht="21" hidden="1">
      <c r="A7" s="2182"/>
      <c r="B7" s="2182"/>
      <c r="C7" s="2182"/>
      <c r="D7" s="2182"/>
      <c r="E7" s="3114"/>
      <c r="F7" s="3114"/>
      <c r="G7" s="3114"/>
      <c r="H7" s="3114"/>
      <c r="I7" s="2927"/>
      <c r="J7" s="2953">
        <f>I6&amp;".1"</f>
      </c>
      <c r="K7" s="2182"/>
      <c r="L7" s="2225" t="s">
        <v>397</v>
      </c>
      <c r="M7" s="2550"/>
      <c r="N7" s="2546"/>
      <c r="P7" s="3081"/>
      <c r="Q7" s="3081">
        <v>1</v>
      </c>
      <c r="R7" s="1269"/>
      <c r="S7" s="287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2539"/>
      <c r="AP7" s="2539" t="str">
        <f>IF(T7="","",T7)</f>
        <v>Группа потребителей</v>
      </c>
      <c r="AQ7" s="2539"/>
      <c r="AR7" s="2539"/>
    </row>
    <row customHeight="1" ht="21" hidden="1">
      <c r="A8" s="2182"/>
      <c r="B8" s="2182"/>
      <c r="C8" s="2182"/>
      <c r="D8" s="2182"/>
      <c r="E8" s="3114"/>
      <c r="F8" s="3114"/>
      <c r="G8" s="3114"/>
      <c r="H8" s="3114"/>
      <c r="I8" s="2927"/>
      <c r="J8" s="2927"/>
      <c r="K8" s="2953">
        <f>J7&amp;".1"</f>
      </c>
      <c r="L8" s="2225" t="s">
        <v>400</v>
      </c>
      <c r="M8" s="2550"/>
      <c r="N8" s="2546"/>
      <c r="O8" s="2546"/>
      <c r="P8" s="3081"/>
      <c r="Q8" s="3081"/>
      <c r="R8" s="1269">
        <v>1</v>
      </c>
      <c r="S8" s="287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2551">
        <f>STRCHECKDATE(V9:AL9)</f>
      </c>
      <c r="AO8" s="2539"/>
      <c r="AP8" s="2539" t="str">
        <f>IF(T8="","",T8)</f>
        <v/>
      </c>
      <c r="AQ8" s="2539"/>
      <c r="AR8" s="2539"/>
    </row>
    <row customHeight="1" ht="0.75" hidden="1">
      <c r="A9" s="2182"/>
      <c r="B9" s="2182"/>
      <c r="C9" s="2182"/>
      <c r="D9" s="2182"/>
      <c r="E9" s="3114"/>
      <c r="F9" s="3114"/>
      <c r="G9" s="3114"/>
      <c r="H9" s="3114"/>
      <c r="I9" s="2927"/>
      <c r="J9" s="2927"/>
      <c r="K9" s="2953"/>
      <c r="L9" s="2225"/>
      <c r="M9" s="2550"/>
      <c r="N9" s="2546"/>
      <c r="O9" s="2546"/>
      <c r="P9" s="3081"/>
      <c r="Q9" s="3081"/>
      <c r="R9" s="1269"/>
      <c r="S9" s="2883"/>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2539"/>
      <c r="AP9" s="2539" t="str">
        <f>IF(T9="","",T9)</f>
        <v/>
      </c>
      <c r="AQ9" s="2539"/>
      <c r="AR9" s="2539"/>
    </row>
    <row customHeight="1" ht="15" hidden="1">
      <c r="A10" s="2182"/>
      <c r="B10" s="2182"/>
      <c r="C10" s="2182"/>
      <c r="D10" s="2182"/>
      <c r="E10" s="3114"/>
      <c r="F10" s="3114"/>
      <c r="G10" s="3114"/>
      <c r="H10" s="3114"/>
      <c r="I10" s="2927"/>
      <c r="J10" s="2953"/>
      <c r="K10" s="2182"/>
      <c r="L10" s="2225"/>
      <c r="M10" s="2550"/>
      <c r="N10" s="2546"/>
      <c r="P10" s="3081"/>
      <c r="Q10" s="3081"/>
      <c r="R10" s="1268"/>
      <c r="S10" s="2193"/>
      <c r="T10" s="1200" t="s">
        <v>402</v>
      </c>
      <c r="U10" s="1512"/>
      <c r="V10" s="1512"/>
      <c r="W10" s="1512"/>
      <c r="X10" s="1512"/>
      <c r="Y10" s="1512"/>
      <c r="Z10" s="1512"/>
      <c r="AA10" s="1512"/>
      <c r="AB10" s="1512"/>
      <c r="AC10" s="1512"/>
      <c r="AD10" s="1512"/>
      <c r="AE10" s="1512"/>
      <c r="AF10" s="1512"/>
      <c r="AG10" s="1512"/>
      <c r="AH10" s="1512"/>
      <c r="AI10" s="1512"/>
      <c r="AJ10" s="1512"/>
      <c r="AK10" s="1512"/>
      <c r="AL10" s="1236"/>
      <c r="AM10" s="3079"/>
      <c r="AO10" s="2539"/>
      <c r="AP10" s="2539" t="str">
        <f>IF(T10="","",T10)</f>
        <v>Добавить вид теплоносителя (параметры теплоносителя)</v>
      </c>
      <c r="AQ10" s="2539"/>
      <c r="AR10" s="2539"/>
    </row>
    <row customHeight="1" ht="15" hidden="1">
      <c r="A11" s="2182"/>
      <c r="B11" s="2182"/>
      <c r="C11" s="2182"/>
      <c r="D11" s="2182"/>
      <c r="E11" s="3114"/>
      <c r="F11" s="3114"/>
      <c r="G11" s="3114"/>
      <c r="H11" s="3114"/>
      <c r="I11" s="2953"/>
      <c r="J11" s="2182"/>
      <c r="K11" s="2182"/>
      <c r="L11" s="2225"/>
      <c r="M11" s="2550"/>
      <c r="P11" s="3081"/>
      <c r="Q11" s="2870"/>
      <c r="R11" s="1268"/>
      <c r="S11" s="2193"/>
      <c r="T11" s="1199" t="s">
        <v>403</v>
      </c>
      <c r="U11" s="1512"/>
      <c r="V11" s="1512"/>
      <c r="W11" s="1512"/>
      <c r="X11" s="1512"/>
      <c r="Y11" s="1512"/>
      <c r="Z11" s="1512"/>
      <c r="AA11" s="1512"/>
      <c r="AB11" s="1512"/>
      <c r="AC11" s="1278"/>
      <c r="AD11" s="1512"/>
      <c r="AE11" s="1512"/>
      <c r="AF11" s="1512"/>
      <c r="AG11" s="1512"/>
      <c r="AH11" s="1512"/>
      <c r="AI11" s="1512"/>
      <c r="AJ11" s="1512"/>
      <c r="AK11" s="1278"/>
      <c r="AL11" s="1512"/>
      <c r="AM11" s="1215"/>
      <c r="AO11" s="2539"/>
      <c r="AP11" s="2539" t="str">
        <f>IF(T11="","",T11)</f>
        <v>Добавить группу потребителей</v>
      </c>
      <c r="AQ11" s="2539"/>
      <c r="AR11" s="2539"/>
    </row>
    <row customHeight="1" ht="14.25" hidden="1">
      <c r="A12" s="2182"/>
      <c r="B12" s="2182"/>
      <c r="C12" s="2182"/>
      <c r="D12" s="2182"/>
      <c r="E12" s="3114"/>
      <c r="F12" s="3114"/>
      <c r="G12" s="3114"/>
      <c r="H12" s="3113"/>
      <c r="I12" s="2182"/>
      <c r="J12" s="2182"/>
      <c r="K12" s="2182"/>
      <c r="L12" s="2225"/>
      <c r="M12" s="2525"/>
      <c r="N12" s="2525"/>
      <c r="O12" s="2550"/>
      <c r="P12" s="1272"/>
      <c r="Q12" s="1287"/>
      <c r="R12" s="1267"/>
      <c r="S12" s="2193"/>
      <c r="T12" s="1277" t="s">
        <v>404</v>
      </c>
      <c r="U12" s="1512"/>
      <c r="V12" s="1512"/>
      <c r="W12" s="1512"/>
      <c r="X12" s="1512"/>
      <c r="Y12" s="1512"/>
      <c r="Z12" s="1512"/>
      <c r="AA12" s="1512"/>
      <c r="AB12" s="1512"/>
      <c r="AC12" s="1278"/>
      <c r="AD12" s="1512"/>
      <c r="AE12" s="1512"/>
      <c r="AF12" s="1512"/>
      <c r="AG12" s="1512"/>
      <c r="AH12" s="1512"/>
      <c r="AI12" s="1512"/>
      <c r="AJ12" s="1512"/>
      <c r="AK12" s="1278"/>
      <c r="AL12" s="1512"/>
      <c r="AM12" s="1215"/>
      <c r="AO12" s="2539"/>
      <c r="AP12" s="2539" t="str">
        <f>IF(T12="","",T12)</f>
        <v>Добавить схему подключения</v>
      </c>
      <c r="AQ12" s="2539"/>
      <c r="AR12" s="2539"/>
    </row>
    <row s="40235" customFormat="1" customHeight="1" ht="0.75" hidden="1">
      <c r="A13" s="2289"/>
      <c r="B13" s="2289"/>
      <c r="C13" s="2289"/>
      <c r="D13" s="2289"/>
      <c r="E13" s="3114"/>
      <c r="F13" s="3114"/>
      <c r="G13" s="3113"/>
      <c r="H13" s="2289"/>
      <c r="I13" s="2289"/>
      <c r="J13" s="2289"/>
      <c r="K13" s="2289"/>
      <c r="L13" s="2292"/>
      <c r="M13" s="2293"/>
      <c r="N13" s="2293"/>
      <c r="O13" s="1263"/>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2165"/>
      <c r="AP13" s="2165" t="str">
        <f>IF(T13="","",T13)</f>
        <v>Добавить источник для дифференциации</v>
      </c>
      <c r="AQ13" s="2165"/>
      <c r="AR13" s="2165"/>
    </row>
    <row s="40235" customFormat="1" customHeight="1" ht="0.75" hidden="1">
      <c r="A14" s="2289"/>
      <c r="B14" s="2289"/>
      <c r="C14" s="2289"/>
      <c r="D14" s="2289"/>
      <c r="E14" s="3114"/>
      <c r="F14" s="3113"/>
      <c r="G14" s="2289"/>
      <c r="H14" s="2289"/>
      <c r="I14" s="2289"/>
      <c r="J14" s="2289"/>
      <c r="K14" s="2289"/>
      <c r="L14" s="2292"/>
      <c r="M14" s="2294"/>
      <c r="N14" s="2294"/>
      <c r="O14" s="1263"/>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2165"/>
      <c r="AP14" s="2165" t="str">
        <f>IF(T14="","",T14)</f>
        <v>Добавить централизованную систему для дифференциации</v>
      </c>
      <c r="AQ14" s="2165"/>
      <c r="AR14" s="2165"/>
    </row>
    <row s="40235" customFormat="1" customHeight="1" ht="0.75" hidden="1">
      <c r="A15" s="2289"/>
      <c r="B15" s="2289"/>
      <c r="C15" s="2289"/>
      <c r="D15" s="2289"/>
      <c r="E15" s="3113"/>
      <c r="F15" s="2289"/>
      <c r="G15" s="2289"/>
      <c r="H15" s="2289"/>
      <c r="I15" s="2289"/>
      <c r="J15" s="2289"/>
      <c r="K15" s="2289"/>
      <c r="L15" s="2292"/>
      <c r="M15" s="2294"/>
      <c r="N15" s="2294"/>
      <c r="O15" s="1263"/>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2165"/>
      <c r="AP15" s="2165" t="str">
        <f>IF(T15="","",T15)</f>
        <v>Добавить территорию для дифференциации</v>
      </c>
      <c r="AQ15" s="2165"/>
      <c r="AR15" s="2165"/>
    </row>
    <row customHeight="1" ht="14.25" hidden="1"/>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row s="40242" customFormat="1" customHeight="1" ht="14.25" hidden="1">
      <c r="A20" s="2546"/>
      <c r="B20" s="2546"/>
      <c r="C20" s="2546"/>
      <c r="D20" s="2546"/>
      <c r="E20" s="2546"/>
      <c r="F20" s="2546"/>
      <c r="G20" s="2546"/>
      <c r="H20" s="2546"/>
      <c r="I20" s="2546"/>
      <c r="J20" s="2546"/>
      <c r="K20" s="2546"/>
      <c r="L20" s="2855"/>
      <c r="M20" s="2881"/>
      <c r="N20" s="2881"/>
      <c r="O20" s="2260" t="s">
        <v>408</v>
      </c>
      <c r="P20" s="2277"/>
      <c r="Q20" s="2286"/>
      <c r="R20" s="2286"/>
      <c r="S20" s="1641"/>
      <c r="Z20" s="2282"/>
      <c r="AB20" s="2282"/>
      <c r="AH20" s="2282"/>
      <c r="AJ20" s="2282"/>
      <c r="AN20" s="2551"/>
      <c r="AO20" s="2551"/>
      <c r="AP20" s="2551"/>
      <c r="AQ20" s="2551"/>
      <c r="AR20" s="2551"/>
    </row>
    <row s="40242" customFormat="1" customHeight="1" ht="14.25" hidden="1">
      <c r="A21" s="2546"/>
      <c r="B21" s="2546"/>
      <c r="C21" s="2546"/>
      <c r="D21" s="2546"/>
      <c r="E21" s="2546"/>
      <c r="F21" s="2546"/>
      <c r="G21" s="2546"/>
      <c r="H21" s="2546"/>
      <c r="I21" s="2546"/>
      <c r="J21" s="2546"/>
      <c r="K21" s="2546"/>
      <c r="L21" s="2855"/>
      <c r="M21" s="2881"/>
      <c r="N21" s="2881"/>
      <c r="O21" s="2881"/>
      <c r="P21" s="2277"/>
      <c r="Q21" s="2286"/>
      <c r="R21" s="2286"/>
      <c r="S21" s="1641"/>
      <c r="AN21" s="2551"/>
      <c r="AO21" s="2551"/>
      <c r="AP21" s="2551"/>
      <c r="AQ21" s="2551"/>
      <c r="AR21" s="2551"/>
    </row>
    <row s="40242" customFormat="1" customHeight="1" ht="14.25" hidden="1">
      <c r="A22" s="2546"/>
      <c r="B22" s="2546"/>
      <c r="C22" s="2546"/>
      <c r="D22" s="2546"/>
      <c r="E22" s="2546"/>
      <c r="F22" s="2546"/>
      <c r="G22" s="2546"/>
      <c r="H22" s="2546"/>
      <c r="I22" s="2546"/>
      <c r="J22" s="2546"/>
      <c r="K22" s="2546"/>
      <c r="L22" s="2855"/>
      <c r="M22" s="2881"/>
      <c r="N22" s="2881"/>
      <c r="O22" s="2225" t="s">
        <v>409</v>
      </c>
      <c r="P22" s="2277"/>
      <c r="Q22" s="2286"/>
      <c r="R22" s="2286"/>
      <c r="S22" s="1641"/>
      <c r="T22" s="2281" t="s">
        <v>410</v>
      </c>
      <c r="AA22" s="1507" t="s">
        <v>411</v>
      </c>
      <c r="AC22" s="1507" t="s">
        <v>412</v>
      </c>
      <c r="AD22" s="2281" t="s">
        <v>410</v>
      </c>
      <c r="AI22" s="1507" t="s">
        <v>413</v>
      </c>
      <c r="AK22" s="1507" t="s">
        <v>412</v>
      </c>
      <c r="AN22" s="2551"/>
      <c r="AO22" s="2551"/>
      <c r="AP22" s="2551"/>
      <c r="AQ22" s="2551"/>
      <c r="AR22" s="2551"/>
    </row>
    <row customHeight="1" ht="14.25" hidden="1">
      <c r="O23" s="2225"/>
    </row>
    <row customHeight="1" ht="14.25" hidden="1">
      <c r="O24" s="2225"/>
    </row>
    <row customHeight="1" ht="14.25">
      <c r="Q25" s="1288"/>
      <c r="R25" s="1288"/>
      <c r="S25" s="2190"/>
      <c r="T25" s="1369"/>
      <c r="U25" s="1369"/>
      <c r="V25" s="2550"/>
      <c r="W25" s="2550"/>
      <c r="X25" s="2550"/>
      <c r="Y25" s="2550"/>
      <c r="Z25" s="2550"/>
      <c r="AA25" s="2550"/>
      <c r="AB25" s="2550"/>
      <c r="AC25" s="2550"/>
      <c r="AD25" s="2550"/>
      <c r="AE25" s="2550"/>
      <c r="AF25" s="2550"/>
      <c r="AG25" s="2550"/>
      <c r="AH25" s="2550"/>
      <c r="AI25" s="2550"/>
      <c r="AJ25" s="2550"/>
      <c r="AK25" s="2550"/>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369"/>
      <c r="U28" s="1369"/>
      <c r="V28" s="1234"/>
      <c r="W28" s="1234"/>
      <c r="X28" s="1234"/>
      <c r="Y28" s="1234"/>
      <c r="Z28" s="1234"/>
      <c r="AA28" s="1234"/>
      <c r="AB28" s="1234"/>
      <c r="AC28" s="1234"/>
      <c r="AD28" s="1234"/>
      <c r="AE28" s="1234"/>
      <c r="AF28" s="1234"/>
      <c r="AG28" s="1234"/>
      <c r="AH28" s="1234"/>
      <c r="AI28" s="1234"/>
      <c r="AJ28" s="1234"/>
      <c r="AK28" s="1234"/>
      <c r="AL28" s="2550"/>
    </row>
    <row s="40143" customFormat="1" customHeight="1" ht="25.5" hidden="1">
      <c r="A29" s="2162"/>
      <c r="B29" s="2162"/>
      <c r="C29" s="2162"/>
      <c r="D29" s="2162"/>
      <c r="E29" s="2162"/>
      <c r="F29" s="2162"/>
      <c r="G29" s="2162"/>
      <c r="H29" s="2162"/>
      <c r="I29" s="2162"/>
      <c r="J29" s="2162"/>
      <c r="K29" s="2162"/>
      <c r="L29" s="2295"/>
      <c r="M29" s="2162"/>
      <c r="N29" s="2162"/>
      <c r="O29" s="2162"/>
      <c r="S29" s="3074" t="s">
        <v>37</v>
      </c>
      <c r="T29" s="3074"/>
      <c r="U29" s="2287"/>
      <c r="V29" s="3075" t="str">
        <f>IF(TITLE_NAME_OR_PR_CHANGE="",IF(TITLE_NAME_OR_PR="","",TITLE_NAME_OR_PR),TITLE_NAME_OR_PR_CHANGE)</f>
        <v/>
      </c>
      <c r="W29" s="3075"/>
      <c r="X29" s="3075"/>
      <c r="Y29" s="3075"/>
      <c r="Z29" s="3075"/>
      <c r="AA29" s="3075"/>
      <c r="AB29" s="3075"/>
      <c r="AC29" s="2550"/>
      <c r="AD29" s="3075" t="str">
        <f>IF(TITLE_NAME_OR_PR_CHANGE="",IF(TITLE_NAME_OR_PR="","",TITLE_NAME_OR_PR),TITLE_NAME_OR_PR_CHANGE)</f>
        <v/>
      </c>
      <c r="AE29" s="3075"/>
      <c r="AF29" s="3075"/>
      <c r="AG29" s="3075"/>
      <c r="AH29" s="3075"/>
      <c r="AI29" s="3075"/>
      <c r="AJ29" s="3075"/>
      <c r="AK29" s="2550"/>
      <c r="AL29" s="2550"/>
      <c r="AM29" s="1192"/>
      <c r="AN29" s="1280"/>
      <c r="AO29" s="1280"/>
      <c r="AP29" s="1280"/>
      <c r="AQ29" s="1280"/>
      <c r="AR29" s="1280"/>
    </row>
    <row s="40143" customFormat="1" customHeight="1" ht="18.75" hidden="1">
      <c r="A30" s="2162"/>
      <c r="B30" s="2162"/>
      <c r="C30" s="2162"/>
      <c r="D30" s="2162"/>
      <c r="E30" s="2162"/>
      <c r="F30" s="2162"/>
      <c r="G30" s="2162"/>
      <c r="H30" s="2162"/>
      <c r="I30" s="2162"/>
      <c r="J30" s="2162"/>
      <c r="K30" s="2162"/>
      <c r="L30" s="2295"/>
      <c r="M30" s="2162"/>
      <c r="N30" s="2162"/>
      <c r="O30" s="2162"/>
      <c r="S30" s="3074" t="s">
        <v>414</v>
      </c>
      <c r="T30" s="3074"/>
      <c r="U30" s="2287"/>
      <c r="V30" s="3088" t="str">
        <f>IF(TITLE_DATE_PR_CHANGE="",IF(TITLE_DATE_PR="","",TITLE_DATE_PR),TITLE_DATE_PR_CHANGE)</f>
        <v/>
      </c>
      <c r="W30" s="3088"/>
      <c r="X30" s="3088"/>
      <c r="Y30" s="3088"/>
      <c r="Z30" s="3088"/>
      <c r="AA30" s="3088"/>
      <c r="AB30" s="3088"/>
      <c r="AC30" s="2550"/>
      <c r="AD30" s="3088" t="str">
        <f>IF(TITLE_DATE_PR_CHANGE="",IF(TITLE_DATE_PR="","",TITLE_DATE_PR),TITLE_DATE_PR_CHANGE)</f>
        <v/>
      </c>
      <c r="AE30" s="3088"/>
      <c r="AF30" s="3088"/>
      <c r="AG30" s="3088"/>
      <c r="AH30" s="3088"/>
      <c r="AI30" s="3088"/>
      <c r="AJ30" s="3088"/>
      <c r="AK30" s="2550"/>
      <c r="AL30" s="2550"/>
      <c r="AM30" s="1192"/>
      <c r="AN30" s="1280"/>
      <c r="AO30" s="1280"/>
      <c r="AP30" s="1280"/>
      <c r="AQ30" s="1280"/>
      <c r="AR30" s="1280"/>
    </row>
    <row s="40143" customFormat="1" customHeight="1" ht="18.75" hidden="1">
      <c r="A31" s="2162"/>
      <c r="B31" s="2162"/>
      <c r="C31" s="2162"/>
      <c r="D31" s="2162"/>
      <c r="E31" s="2162"/>
      <c r="F31" s="2162"/>
      <c r="G31" s="2162"/>
      <c r="H31" s="2162"/>
      <c r="I31" s="2162"/>
      <c r="J31" s="2162"/>
      <c r="K31" s="2162"/>
      <c r="L31" s="2295"/>
      <c r="M31" s="2162"/>
      <c r="N31" s="2162"/>
      <c r="O31" s="2162"/>
      <c r="S31" s="3074" t="s">
        <v>415</v>
      </c>
      <c r="T31" s="3074"/>
      <c r="U31" s="2287"/>
      <c r="V31" s="3075" t="str">
        <f>IF(TITLE_NUMBER_PR_CHANGE="",IF(TITLE_NUMBER_PR="","",TITLE_NUMBER_PR),TITLE_NUMBER_PR_CHANGE)</f>
        <v/>
      </c>
      <c r="W31" s="3075"/>
      <c r="X31" s="3075"/>
      <c r="Y31" s="3075"/>
      <c r="Z31" s="3075"/>
      <c r="AA31" s="3075"/>
      <c r="AB31" s="3075"/>
      <c r="AC31" s="2550"/>
      <c r="AD31" s="3075" t="str">
        <f>IF(TITLE_NUMBER_PR_CHANGE="",IF(TITLE_NUMBER_PR="","",TITLE_NUMBER_PR),TITLE_NUMBER_PR_CHANGE)</f>
        <v/>
      </c>
      <c r="AE31" s="3075"/>
      <c r="AF31" s="3075"/>
      <c r="AG31" s="3075"/>
      <c r="AH31" s="3075"/>
      <c r="AI31" s="3075"/>
      <c r="AJ31" s="3075"/>
      <c r="AK31" s="2550"/>
      <c r="AL31" s="2550"/>
      <c r="AM31" s="1192"/>
      <c r="AN31" s="1280"/>
      <c r="AO31" s="1280"/>
      <c r="AP31" s="1280"/>
      <c r="AQ31" s="1280"/>
      <c r="AR31" s="1280"/>
    </row>
    <row s="40143" customFormat="1" customHeight="1" ht="18.75" hidden="1">
      <c r="A32" s="2162"/>
      <c r="B32" s="2162"/>
      <c r="C32" s="2162"/>
      <c r="D32" s="2162"/>
      <c r="E32" s="2162"/>
      <c r="F32" s="2162"/>
      <c r="G32" s="2162"/>
      <c r="H32" s="2162"/>
      <c r="I32" s="2162"/>
      <c r="J32" s="2162"/>
      <c r="K32" s="2162"/>
      <c r="L32" s="2295"/>
      <c r="M32" s="2162"/>
      <c r="N32" s="2162"/>
      <c r="O32" s="2162"/>
      <c r="S32" s="3074" t="s">
        <v>38</v>
      </c>
      <c r="T32" s="3074"/>
      <c r="U32" s="2287"/>
      <c r="V32" s="3075" t="str">
        <f>IF(TITLE_IST_PUB_CHANGE="",IF(TITLE_IST_PUB="","",TITLE_IST_PUB),TITLE_IST_PUB_CHANGE)</f>
        <v/>
      </c>
      <c r="W32" s="3075"/>
      <c r="X32" s="3075"/>
      <c r="Y32" s="3075"/>
      <c r="Z32" s="3075"/>
      <c r="AA32" s="3075"/>
      <c r="AB32" s="3075"/>
      <c r="AC32" s="2550"/>
      <c r="AD32" s="3075" t="str">
        <f>IF(TITLE_IST_PUB_CHANGE="",IF(TITLE_IST_PUB="","",TITLE_IST_PUB),TITLE_IST_PUB_CHANGE)</f>
        <v/>
      </c>
      <c r="AE32" s="3075"/>
      <c r="AF32" s="3075"/>
      <c r="AG32" s="3075"/>
      <c r="AH32" s="3075"/>
      <c r="AI32" s="3075"/>
      <c r="AJ32" s="3075"/>
      <c r="AK32" s="2550"/>
      <c r="AL32" s="2550"/>
      <c r="AM32" s="1192"/>
      <c r="AN32" s="1280"/>
      <c r="AO32" s="1280"/>
      <c r="AP32" s="1280"/>
      <c r="AQ32" s="1280"/>
      <c r="AR32" s="1280"/>
    </row>
    <row customHeight="1" ht="14.25" hidden="1">
      <c r="Q33" s="1288"/>
      <c r="R33" s="1288"/>
      <c r="S33" s="2190"/>
      <c r="T33" s="1369"/>
      <c r="U33" s="1369"/>
      <c r="V33" s="1234"/>
      <c r="W33" s="1234"/>
      <c r="X33" s="1234"/>
      <c r="Y33" s="1234"/>
      <c r="Z33" s="1234"/>
      <c r="AA33" s="1234"/>
      <c r="AB33" s="1234"/>
      <c r="AC33" s="1234"/>
      <c r="AD33" s="1234"/>
      <c r="AE33" s="1234"/>
      <c r="AF33" s="1234"/>
      <c r="AG33" s="1234"/>
      <c r="AH33" s="1234"/>
      <c r="AI33" s="1234"/>
      <c r="AJ33" s="1234"/>
      <c r="AK33" s="1234"/>
      <c r="AL33" s="2550"/>
    </row>
    <row s="40143" customFormat="1" customHeight="1" ht="18.75" hidden="1">
      <c r="A34" s="2162"/>
      <c r="B34" s="2162"/>
      <c r="C34" s="2162"/>
      <c r="D34" s="2162"/>
      <c r="E34" s="2162"/>
      <c r="F34" s="2162"/>
      <c r="G34" s="2162"/>
      <c r="H34" s="2162"/>
      <c r="I34" s="2162"/>
      <c r="J34" s="2162"/>
      <c r="K34" s="2162"/>
      <c r="L34" s="2295"/>
      <c r="M34" s="2162"/>
      <c r="N34" s="2162"/>
      <c r="O34" s="2162"/>
      <c r="S34" s="3074" t="s">
        <v>416</v>
      </c>
      <c r="T34" s="3074"/>
      <c r="U34" s="2287"/>
      <c r="V34" s="3088" t="str">
        <f>IF(TITLE_DATE_PR_CHANGE="",IF(TITLE_DATE_PR="","",TITLE_DATE_PR),TITLE_DATE_PR_CHANGE)</f>
        <v/>
      </c>
      <c r="W34" s="3088"/>
      <c r="X34" s="3088"/>
      <c r="Y34" s="3088"/>
      <c r="Z34" s="3088"/>
      <c r="AA34" s="3088"/>
      <c r="AB34" s="3088"/>
      <c r="AC34" s="2550"/>
      <c r="AD34" s="3088" t="str">
        <f>IF(TITLE_DATE_PR_CHANGE="",IF(TITLE_DATE_PR="","",TITLE_DATE_PR),TITLE_DATE_PR_CHANGE)</f>
        <v/>
      </c>
      <c r="AE34" s="3088"/>
      <c r="AF34" s="3088"/>
      <c r="AG34" s="3088"/>
      <c r="AH34" s="3088"/>
      <c r="AI34" s="3088"/>
      <c r="AJ34" s="3088"/>
      <c r="AK34" s="2550"/>
      <c r="AL34" s="2550"/>
      <c r="AM34" s="1192"/>
      <c r="AN34" s="1280"/>
      <c r="AO34" s="1280"/>
      <c r="AP34" s="1280"/>
      <c r="AQ34" s="1280"/>
      <c r="AR34" s="1280"/>
    </row>
    <row s="40143" customFormat="1" customHeight="1" ht="18.75" hidden="1">
      <c r="A35" s="2162"/>
      <c r="B35" s="2162"/>
      <c r="C35" s="2162"/>
      <c r="D35" s="2162"/>
      <c r="E35" s="2162"/>
      <c r="F35" s="2162"/>
      <c r="G35" s="2162"/>
      <c r="H35" s="2162"/>
      <c r="I35" s="2162"/>
      <c r="J35" s="2162"/>
      <c r="K35" s="2162"/>
      <c r="L35" s="2295"/>
      <c r="M35" s="2162"/>
      <c r="N35" s="2162"/>
      <c r="O35" s="2162"/>
      <c r="S35" s="3074" t="s">
        <v>417</v>
      </c>
      <c r="T35" s="3074"/>
      <c r="U35" s="2287"/>
      <c r="V35" s="3075" t="str">
        <f>IF(TITLE_NUMBER_PR_CHANGE="",IF(TITLE_NUMBER_PR="","",TITLE_NUMBER_PR),TITLE_NUMBER_PR_CHANGE)</f>
        <v/>
      </c>
      <c r="W35" s="3075"/>
      <c r="X35" s="3075"/>
      <c r="Y35" s="3075"/>
      <c r="Z35" s="3075"/>
      <c r="AA35" s="3075"/>
      <c r="AB35" s="3075"/>
      <c r="AC35" s="2550"/>
      <c r="AD35" s="3075" t="str">
        <f>IF(TITLE_NUMBER_PR_CHANGE="",IF(TITLE_NUMBER_PR="","",TITLE_NUMBER_PR),TITLE_NUMBER_PR_CHANGE)</f>
        <v/>
      </c>
      <c r="AE35" s="3075"/>
      <c r="AF35" s="3075"/>
      <c r="AG35" s="3075"/>
      <c r="AH35" s="3075"/>
      <c r="AI35" s="3075"/>
      <c r="AJ35" s="3075"/>
      <c r="AK35" s="2550"/>
      <c r="AL35" s="2550"/>
      <c r="AM35" s="1192"/>
      <c r="AN35" s="1280"/>
      <c r="AO35" s="1280"/>
      <c r="AP35" s="1280"/>
      <c r="AQ35" s="1280"/>
      <c r="AR35" s="1280"/>
    </row>
    <row s="40143" customFormat="1" customHeight="1" ht="0">
      <c r="A36" s="2162"/>
      <c r="B36" s="2162"/>
      <c r="C36" s="2162"/>
      <c r="D36" s="2162"/>
      <c r="E36" s="2162"/>
      <c r="F36" s="2162"/>
      <c r="G36" s="2162"/>
      <c r="H36" s="2162"/>
      <c r="I36" s="2162"/>
      <c r="J36" s="2162"/>
      <c r="K36" s="2162"/>
      <c r="L36" s="2295"/>
      <c r="M36" s="2162"/>
      <c r="N36" s="2162"/>
      <c r="O36" s="2162"/>
      <c r="S36" s="2550"/>
      <c r="T36" s="2550"/>
      <c r="U36" s="2886"/>
      <c r="V36" s="2550"/>
      <c r="W36" s="2550"/>
      <c r="X36" s="2550"/>
      <c r="Y36" s="2550"/>
      <c r="Z36" s="2550"/>
      <c r="AA36" s="2550"/>
      <c r="AB36" s="2550"/>
      <c r="AC36" s="2557" t="s">
        <v>418</v>
      </c>
      <c r="AD36" s="2550"/>
      <c r="AE36" s="2550"/>
      <c r="AF36" s="2550"/>
      <c r="AG36" s="2550"/>
      <c r="AH36" s="2550"/>
      <c r="AI36" s="2550"/>
      <c r="AJ36" s="2550"/>
      <c r="AK36" s="2557" t="s">
        <v>418</v>
      </c>
      <c r="AN36" s="1280"/>
      <c r="AO36" s="1280"/>
      <c r="AP36" s="1280"/>
      <c r="AQ36" s="1280"/>
      <c r="AR36" s="1280"/>
    </row>
    <row customHeight="1" ht="14.25">
      <c r="Q37" s="1288"/>
      <c r="R37" s="1288"/>
      <c r="S37" s="2190"/>
      <c r="T37" s="1369"/>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49"/>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181"/>
      <c r="B41" s="2181" t="s">
        <v>128</v>
      </c>
      <c r="C41" s="2181" t="s">
        <v>129</v>
      </c>
      <c r="D41" s="2181" t="s">
        <v>130</v>
      </c>
      <c r="E41" s="2225" t="s">
        <v>428</v>
      </c>
      <c r="F41" s="2225" t="s">
        <v>429</v>
      </c>
      <c r="G41" s="2225" t="s">
        <v>430</v>
      </c>
      <c r="H41" s="2225" t="s">
        <v>431</v>
      </c>
      <c r="I41" s="2225" t="s">
        <v>432</v>
      </c>
      <c r="J41" s="2225" t="s">
        <v>433</v>
      </c>
      <c r="K41" s="2225" t="s">
        <v>434</v>
      </c>
      <c r="L41" s="2225" t="s">
        <v>409</v>
      </c>
      <c r="Q41" s="1288"/>
      <c r="R41" s="1288"/>
      <c r="S41" s="3097"/>
      <c r="T41" s="3033"/>
      <c r="U41" s="1214"/>
      <c r="V41" s="3085"/>
      <c r="W41" s="3108"/>
      <c r="X41" s="2854" t="s">
        <v>435</v>
      </c>
      <c r="Y41" s="2854" t="s">
        <v>436</v>
      </c>
      <c r="Z41" s="2854" t="s">
        <v>437</v>
      </c>
      <c r="AA41" s="3094" t="s">
        <v>438</v>
      </c>
      <c r="AB41" s="3095"/>
      <c r="AC41" s="3103"/>
      <c r="AD41" s="3085"/>
      <c r="AE41" s="3108"/>
      <c r="AF41" s="2854" t="s">
        <v>435</v>
      </c>
      <c r="AG41" s="2854" t="s">
        <v>436</v>
      </c>
      <c r="AH41" s="2854" t="s">
        <v>437</v>
      </c>
      <c r="AI41" s="3094" t="s">
        <v>438</v>
      </c>
      <c r="AJ41" s="3095"/>
      <c r="AK41" s="3103"/>
      <c r="AL41" s="3106"/>
      <c r="AM41" s="2953"/>
    </row>
    <row s="40252" customFormat="1" customHeight="1" ht="11.25" hidden="1">
      <c r="A42" s="2181"/>
      <c r="B42" s="2181"/>
      <c r="C42" s="2181"/>
      <c r="D42" s="2181"/>
      <c r="E42" s="2181"/>
      <c r="F42" s="2181"/>
      <c r="G42" s="2181"/>
      <c r="H42" s="2181"/>
      <c r="I42" s="2181"/>
      <c r="J42" s="2181"/>
      <c r="K42" s="2181"/>
      <c r="L42" s="2225"/>
      <c r="M42" s="2881"/>
      <c r="N42" s="2881"/>
      <c r="O42" s="2881"/>
      <c r="P42" s="2160"/>
      <c r="Q42" s="2161"/>
      <c r="R42" s="2168">
        <v>1</v>
      </c>
      <c r="S42" s="2192" t="s">
        <v>102</v>
      </c>
      <c r="T42" s="2169" t="s">
        <v>103</v>
      </c>
      <c r="U42" s="2159" t="str">
        <f>OFFSET(U42,0,-1)</f>
        <v>2</v>
      </c>
      <c r="V42" s="2872">
        <f>OFFSET(V42,0,-1)+1</f>
        <v>3</v>
      </c>
      <c r="W42" s="2872"/>
      <c r="X42" s="2872">
        <f>OFFSET(X42,0,-1)+1</f>
        <v>1</v>
      </c>
      <c r="Y42" s="2872">
        <f>OFFSET(Y42,0,-1)+1</f>
        <v>2</v>
      </c>
      <c r="Z42" s="2872">
        <f>OFFSET(Z42,0,-1)+1</f>
        <v>3</v>
      </c>
      <c r="AA42" s="3096">
        <f>OFFSET(AA42,0,-1)+1</f>
        <v>4</v>
      </c>
      <c r="AB42" s="3096"/>
      <c r="AC42" s="2872">
        <f>OFFSET(AC42,0,-2)+1</f>
        <v>5</v>
      </c>
      <c r="AD42" s="2872">
        <f>OFFSET(AD42,0,-1)+1</f>
        <v>6</v>
      </c>
      <c r="AE42" s="2872"/>
      <c r="AF42" s="2872">
        <f>OFFSET(AF42,0,-1)+1</f>
        <v>1</v>
      </c>
      <c r="AG42" s="2872">
        <f>OFFSET(AG42,0,-1)+1</f>
        <v>2</v>
      </c>
      <c r="AH42" s="2872">
        <f>OFFSET(AH42,0,-1)+1</f>
        <v>3</v>
      </c>
      <c r="AI42" s="3096">
        <f>OFFSET(AI42,0,-1)+1</f>
        <v>4</v>
      </c>
      <c r="AJ42" s="3096"/>
      <c r="AK42" s="2872">
        <f>OFFSET(AK42,0,-2)+1</f>
        <v>5</v>
      </c>
      <c r="AL42" s="2159">
        <f>OFFSET(AL42,0,-1)</f>
        <v>5</v>
      </c>
      <c r="AM42" s="2872">
        <f>OFFSET(AM42,0,-1)+1</f>
        <v>6</v>
      </c>
      <c r="AN42" s="2551"/>
      <c r="AO42" s="2551"/>
      <c r="AP42" s="2551"/>
      <c r="AQ42" s="2551"/>
      <c r="AR42" s="2551"/>
    </row>
    <row customHeight="1" ht="21">
      <c r="A43" s="2182" t="s">
        <v>203</v>
      </c>
      <c r="B43" s="2182"/>
      <c r="C43" s="2182"/>
      <c r="D43" s="2182"/>
      <c r="E43" s="3113">
        <v>1</v>
      </c>
      <c r="F43" s="2182"/>
      <c r="G43" s="2182"/>
      <c r="H43" s="2182"/>
      <c r="I43" s="2182"/>
      <c r="J43" s="2182"/>
      <c r="K43" s="2182"/>
      <c r="L43" s="2225"/>
      <c r="M43" s="2525"/>
      <c r="N43" s="2525"/>
      <c r="O43" s="2525"/>
      <c r="P43" s="2505"/>
      <c r="Q43" s="1272"/>
      <c r="R43" s="1267"/>
      <c r="S43" s="2874">
        <f>INDEX(PT_DIFFERENTIATION_NUM_NTAR,MATCH(A43,PT_DIFFERENTIATION_NTAR_ID,0))</f>
        <v>0</v>
      </c>
      <c r="T43" s="244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39"/>
      <c r="AP43" s="2539" t="str">
        <f>IF(T43="","",T43)</f>
        <v>Наименование тарифа</v>
      </c>
      <c r="AQ43" s="2539"/>
      <c r="AR43" s="2539"/>
    </row>
    <row customHeight="1" ht="21">
      <c r="A44" s="2182" t="s">
        <v>203</v>
      </c>
      <c r="B44" s="2182" t="s">
        <v>204</v>
      </c>
      <c r="C44" s="2182"/>
      <c r="D44" s="2182"/>
      <c r="E44" s="3114"/>
      <c r="F44" s="3113">
        <v>1</v>
      </c>
      <c r="G44" s="2182"/>
      <c r="H44" s="2182"/>
      <c r="I44" s="2182"/>
      <c r="J44" s="2182"/>
      <c r="K44" s="2182"/>
      <c r="L44" s="2225"/>
      <c r="M44" s="2525"/>
      <c r="N44" s="2525"/>
      <c r="O44" s="2525"/>
      <c r="P44" s="2856"/>
      <c r="Q44" s="1264"/>
      <c r="R44" s="1265"/>
      <c r="S44" s="2874" t="str">
        <f>INDEX(PT_DIFFERENTIATION_NUM_TER,MATCH(B44,PT_DIFFERENTIATION_TER_ID,0))</f>
        <v>.</v>
      </c>
      <c r="T44" s="2437"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2539"/>
      <c r="AP44" s="2539" t="str">
        <f>IF(T44="","",T44)</f>
        <v>Территория действия тарифа</v>
      </c>
      <c r="AQ44" s="2539"/>
      <c r="AR44" s="2539"/>
    </row>
    <row customHeight="1" ht="23.25">
      <c r="A45" s="2182" t="s">
        <v>203</v>
      </c>
      <c r="B45" s="2182" t="s">
        <v>204</v>
      </c>
      <c r="C45" s="2182" t="s">
        <v>205</v>
      </c>
      <c r="D45" s="2182"/>
      <c r="E45" s="3114"/>
      <c r="F45" s="3114"/>
      <c r="G45" s="3113">
        <v>1</v>
      </c>
      <c r="H45" s="2182"/>
      <c r="I45" s="2182"/>
      <c r="J45" s="2182"/>
      <c r="K45" s="2182"/>
      <c r="L45" s="2225"/>
      <c r="M45" s="2525"/>
      <c r="N45" s="2525"/>
      <c r="O45" s="2525"/>
      <c r="P45" s="1266"/>
      <c r="Q45" s="1264"/>
      <c r="R45" s="1265"/>
      <c r="S45" s="2874"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2539"/>
      <c r="AP45" s="2539" t="str">
        <f>IF(T45="","",T45)</f>
        <v>Наименование системы теплоснабжения </v>
      </c>
      <c r="AQ45" s="2539"/>
      <c r="AR45" s="2539"/>
    </row>
    <row customHeight="1" ht="21">
      <c r="A46" s="2182" t="s">
        <v>203</v>
      </c>
      <c r="B46" s="2182" t="s">
        <v>204</v>
      </c>
      <c r="C46" s="2182" t="s">
        <v>205</v>
      </c>
      <c r="D46" s="2182" t="s">
        <v>206</v>
      </c>
      <c r="E46" s="3114"/>
      <c r="F46" s="3114"/>
      <c r="G46" s="3114"/>
      <c r="H46" s="3113">
        <v>1</v>
      </c>
      <c r="I46" s="2182"/>
      <c r="J46" s="2182"/>
      <c r="K46" s="2182"/>
      <c r="L46" s="2225"/>
      <c r="M46" s="2525"/>
      <c r="N46" s="2525"/>
      <c r="O46" s="2525"/>
      <c r="P46" s="1266"/>
      <c r="Q46" s="1264"/>
      <c r="R46" s="1265"/>
      <c r="S46" s="2874"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2539"/>
      <c r="AP46" s="2539" t="str">
        <f>IF(T46="","",T46)</f>
        <v>Источник тепловой энергии  </v>
      </c>
      <c r="AQ46" s="2539"/>
      <c r="AR46" s="2539"/>
    </row>
    <row customHeight="1" ht="47.25">
      <c r="A47" s="2182" t="s">
        <v>203</v>
      </c>
      <c r="B47" s="2182" t="s">
        <v>204</v>
      </c>
      <c r="C47" s="2182" t="s">
        <v>205</v>
      </c>
      <c r="D47" s="2182" t="s">
        <v>206</v>
      </c>
      <c r="E47" s="3114"/>
      <c r="F47" s="3114"/>
      <c r="G47" s="3114"/>
      <c r="H47" s="3114"/>
      <c r="I47" s="2953" t="str">
        <f>S46&amp;".1"</f>
        <v>....1</v>
      </c>
      <c r="J47" s="2182"/>
      <c r="K47" s="2182"/>
      <c r="L47" s="2225" t="s">
        <v>394</v>
      </c>
      <c r="P47" s="3081">
        <v>1</v>
      </c>
      <c r="Q47" s="2870"/>
      <c r="R47" s="1268"/>
      <c r="S47" s="2874"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2539"/>
      <c r="AP47" s="2539" t="str">
        <f>IF(T47="","",T47)</f>
        <v>Схема подключения теплопотребляющей установки к коллектору источника тепловой энергии</v>
      </c>
      <c r="AQ47" s="2539"/>
      <c r="AR47" s="2539"/>
    </row>
    <row customHeight="1" ht="21">
      <c r="A48" s="2182" t="s">
        <v>203</v>
      </c>
      <c r="B48" s="2182" t="s">
        <v>204</v>
      </c>
      <c r="C48" s="2182" t="s">
        <v>205</v>
      </c>
      <c r="D48" s="2182" t="s">
        <v>206</v>
      </c>
      <c r="E48" s="3114"/>
      <c r="F48" s="3114"/>
      <c r="G48" s="3114"/>
      <c r="H48" s="3114"/>
      <c r="I48" s="2927"/>
      <c r="J48" s="2953" t="str">
        <f>I47&amp;".1"</f>
        <v>....1.1</v>
      </c>
      <c r="K48" s="2182"/>
      <c r="L48" s="2225" t="s">
        <v>397</v>
      </c>
      <c r="P48" s="3081"/>
      <c r="Q48" s="3081">
        <v>1</v>
      </c>
      <c r="R48" s="1269"/>
      <c r="S48" s="2874"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2539"/>
      <c r="AP48" s="2539" t="str">
        <f>IF(T48="","",T48)</f>
        <v>Группа потребителей</v>
      </c>
      <c r="AQ48" s="2539"/>
      <c r="AR48" s="2539"/>
    </row>
    <row customHeight="1" ht="21">
      <c r="A49" s="2182" t="s">
        <v>203</v>
      </c>
      <c r="B49" s="2182" t="s">
        <v>204</v>
      </c>
      <c r="C49" s="2182" t="s">
        <v>205</v>
      </c>
      <c r="D49" s="2182" t="s">
        <v>206</v>
      </c>
      <c r="E49" s="3114"/>
      <c r="F49" s="3114"/>
      <c r="G49" s="3114"/>
      <c r="H49" s="3114"/>
      <c r="I49" s="2927"/>
      <c r="J49" s="2927"/>
      <c r="K49" s="2953" t="str">
        <f>J48&amp;".1"</f>
        <v>....1.1.1</v>
      </c>
      <c r="L49" s="2225" t="s">
        <v>400</v>
      </c>
      <c r="P49" s="3081"/>
      <c r="Q49" s="3081"/>
      <c r="R49" s="1269">
        <v>1</v>
      </c>
      <c r="S49" s="2874"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2551">
        <f>STRCHECKDATE(V50:AL50)</f>
      </c>
      <c r="AO49" s="2539"/>
      <c r="AP49" s="2539" t="str">
        <f>IF(T49="","",T49)</f>
        <v/>
      </c>
      <c r="AQ49" s="2539"/>
      <c r="AR49" s="2539"/>
    </row>
    <row customHeight="1" ht="0.75">
      <c r="A50" s="2182" t="s">
        <v>203</v>
      </c>
      <c r="B50" s="2182" t="s">
        <v>204</v>
      </c>
      <c r="C50" s="2182" t="s">
        <v>205</v>
      </c>
      <c r="D50" s="2182" t="s">
        <v>206</v>
      </c>
      <c r="E50" s="3114"/>
      <c r="F50" s="3114"/>
      <c r="G50" s="3114"/>
      <c r="H50" s="3114"/>
      <c r="I50" s="2927"/>
      <c r="J50" s="2927"/>
      <c r="K50" s="2953"/>
      <c r="L50" s="2225"/>
      <c r="P50" s="3081"/>
      <c r="Q50" s="3081"/>
      <c r="R50" s="1269"/>
      <c r="S50" s="2883"/>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2539"/>
      <c r="AP50" s="2539" t="str">
        <f>IF(T50="","",T50)</f>
        <v/>
      </c>
      <c r="AQ50" s="2539"/>
      <c r="AR50" s="2539"/>
    </row>
    <row customHeight="1" ht="11.25">
      <c r="A51" s="2182" t="s">
        <v>203</v>
      </c>
      <c r="B51" s="2182" t="s">
        <v>204</v>
      </c>
      <c r="C51" s="2182" t="s">
        <v>205</v>
      </c>
      <c r="D51" s="2182" t="s">
        <v>206</v>
      </c>
      <c r="E51" s="3114"/>
      <c r="F51" s="3114"/>
      <c r="G51" s="3114"/>
      <c r="H51" s="3114"/>
      <c r="I51" s="2927"/>
      <c r="J51" s="2953"/>
      <c r="K51" s="2182"/>
      <c r="L51" s="2225"/>
      <c r="P51" s="3081"/>
      <c r="Q51" s="3081"/>
      <c r="R51" s="1268"/>
      <c r="S51" s="2193"/>
      <c r="T51" s="1200" t="s">
        <v>402</v>
      </c>
      <c r="U51" s="1512"/>
      <c r="V51" s="1512"/>
      <c r="W51" s="1512"/>
      <c r="X51" s="1512"/>
      <c r="Y51" s="1512"/>
      <c r="Z51" s="1512"/>
      <c r="AA51" s="1512"/>
      <c r="AB51" s="1512"/>
      <c r="AC51" s="1512"/>
      <c r="AD51" s="1512"/>
      <c r="AE51" s="1512"/>
      <c r="AF51" s="1512"/>
      <c r="AG51" s="1512"/>
      <c r="AH51" s="1512"/>
      <c r="AI51" s="1512"/>
      <c r="AJ51" s="1512"/>
      <c r="AK51" s="1512"/>
      <c r="AL51" s="1236"/>
      <c r="AM51" s="3079"/>
      <c r="AO51" s="2539"/>
      <c r="AP51" s="2539" t="str">
        <f>IF(T51="","",T51)</f>
        <v>Добавить вид теплоносителя (параметры теплоносителя)</v>
      </c>
      <c r="AQ51" s="2539"/>
      <c r="AR51" s="2539"/>
    </row>
    <row customHeight="1" ht="11.25">
      <c r="A52" s="2182" t="s">
        <v>203</v>
      </c>
      <c r="B52" s="2182" t="s">
        <v>204</v>
      </c>
      <c r="C52" s="2182" t="s">
        <v>205</v>
      </c>
      <c r="D52" s="2182" t="s">
        <v>206</v>
      </c>
      <c r="E52" s="3114"/>
      <c r="F52" s="3114"/>
      <c r="G52" s="3114"/>
      <c r="H52" s="3114"/>
      <c r="I52" s="2953"/>
      <c r="J52" s="2182"/>
      <c r="K52" s="2182"/>
      <c r="L52" s="2225"/>
      <c r="P52" s="3081"/>
      <c r="Q52" s="2870"/>
      <c r="R52" s="1268"/>
      <c r="S52" s="2193"/>
      <c r="T52" s="1199" t="s">
        <v>403</v>
      </c>
      <c r="U52" s="1512"/>
      <c r="V52" s="1512"/>
      <c r="W52" s="1512"/>
      <c r="X52" s="1512"/>
      <c r="Y52" s="1512"/>
      <c r="Z52" s="1512"/>
      <c r="AA52" s="1512"/>
      <c r="AB52" s="1512"/>
      <c r="AC52" s="1278"/>
      <c r="AD52" s="1512"/>
      <c r="AE52" s="1512"/>
      <c r="AF52" s="1512"/>
      <c r="AG52" s="1512"/>
      <c r="AH52" s="1512"/>
      <c r="AI52" s="1512"/>
      <c r="AJ52" s="1512"/>
      <c r="AK52" s="1278"/>
      <c r="AL52" s="1512"/>
      <c r="AM52" s="1215"/>
      <c r="AO52" s="2539"/>
      <c r="AP52" s="2539" t="str">
        <f>IF(T52="","",T52)</f>
        <v>Добавить группу потребителей</v>
      </c>
      <c r="AQ52" s="2539"/>
      <c r="AR52" s="2539"/>
    </row>
    <row customHeight="1" ht="14.25">
      <c r="A53" s="2182" t="s">
        <v>203</v>
      </c>
      <c r="B53" s="2182" t="s">
        <v>204</v>
      </c>
      <c r="C53" s="2182" t="s">
        <v>205</v>
      </c>
      <c r="D53" s="2182" t="s">
        <v>206</v>
      </c>
      <c r="E53" s="3114"/>
      <c r="F53" s="3114"/>
      <c r="G53" s="3114"/>
      <c r="H53" s="3113"/>
      <c r="I53" s="2182"/>
      <c r="J53" s="2182"/>
      <c r="K53" s="2182"/>
      <c r="L53" s="2225"/>
      <c r="M53" s="2525"/>
      <c r="N53" s="2525"/>
      <c r="O53" s="2550"/>
      <c r="P53" s="1272"/>
      <c r="Q53" s="1287"/>
      <c r="R53" s="1267"/>
      <c r="S53" s="2193"/>
      <c r="T53" s="1277" t="s">
        <v>404</v>
      </c>
      <c r="U53" s="1512"/>
      <c r="V53" s="1512"/>
      <c r="W53" s="1512"/>
      <c r="X53" s="1512"/>
      <c r="Y53" s="1512"/>
      <c r="Z53" s="1512"/>
      <c r="AA53" s="1512"/>
      <c r="AB53" s="1512"/>
      <c r="AC53" s="1278"/>
      <c r="AD53" s="1512"/>
      <c r="AE53" s="1512"/>
      <c r="AF53" s="1512"/>
      <c r="AG53" s="1512"/>
      <c r="AH53" s="1512"/>
      <c r="AI53" s="1512"/>
      <c r="AJ53" s="1512"/>
      <c r="AK53" s="1278"/>
      <c r="AL53" s="1512"/>
      <c r="AM53" s="1215"/>
      <c r="AO53" s="2539"/>
      <c r="AP53" s="2539" t="str">
        <f>IF(T53="","",T53)</f>
        <v>Добавить схему подключения</v>
      </c>
      <c r="AQ53" s="2539"/>
      <c r="AR53" s="2539"/>
    </row>
    <row s="40235" customFormat="1" customHeight="1" ht="0.75">
      <c r="A54" s="2290" t="s">
        <v>203</v>
      </c>
      <c r="B54" s="2290" t="s">
        <v>204</v>
      </c>
      <c r="C54" s="2290" t="s">
        <v>205</v>
      </c>
      <c r="D54" s="2289"/>
      <c r="E54" s="3114"/>
      <c r="F54" s="3114"/>
      <c r="G54" s="3113"/>
      <c r="H54" s="2289"/>
      <c r="I54" s="2289"/>
      <c r="J54" s="2289"/>
      <c r="K54" s="2289"/>
      <c r="L54" s="2292"/>
      <c r="M54" s="2293"/>
      <c r="N54" s="2293"/>
      <c r="O54" s="1263"/>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2165"/>
      <c r="AP54" s="2165" t="str">
        <f>IF(T54="","",T54)</f>
        <v>Добавить источник для дифференциации</v>
      </c>
      <c r="AQ54" s="2165"/>
      <c r="AR54" s="2165"/>
    </row>
    <row s="40235" customFormat="1" customHeight="1" ht="0.75">
      <c r="A55" s="2290" t="s">
        <v>203</v>
      </c>
      <c r="B55" s="2290" t="s">
        <v>204</v>
      </c>
      <c r="C55" s="2289"/>
      <c r="D55" s="2289"/>
      <c r="E55" s="3114"/>
      <c r="F55" s="3113"/>
      <c r="G55" s="2289"/>
      <c r="H55" s="2289"/>
      <c r="I55" s="2289"/>
      <c r="J55" s="2289"/>
      <c r="K55" s="2289"/>
      <c r="L55" s="2292"/>
      <c r="M55" s="2294"/>
      <c r="N55" s="2294"/>
      <c r="O55" s="1263"/>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2165"/>
      <c r="AP55" s="2165" t="str">
        <f>IF(T55="","",T55)</f>
        <v>Добавить централизованную систему для дифференциации</v>
      </c>
      <c r="AQ55" s="2165"/>
      <c r="AR55" s="2165"/>
    </row>
    <row s="40255" customFormat="1" customHeight="1" ht="0.75">
      <c r="A56" s="2290" t="s">
        <v>203</v>
      </c>
      <c r="B56" s="2290"/>
      <c r="C56" s="2290"/>
      <c r="D56" s="2290"/>
      <c r="E56" s="3113"/>
      <c r="F56" s="2290"/>
      <c r="G56" s="2290"/>
      <c r="H56" s="2290"/>
      <c r="I56" s="2290"/>
      <c r="J56" s="2290"/>
      <c r="K56" s="2290"/>
      <c r="L56" s="2296"/>
      <c r="M56" s="2294"/>
      <c r="N56" s="2294"/>
      <c r="O56" s="1263"/>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2539"/>
      <c r="AP56" s="2539" t="str">
        <f>IF(T56="","",T56)</f>
        <v>Добавить территорию для дифференциации</v>
      </c>
      <c r="AQ56" s="2539"/>
      <c r="AR56" s="2539"/>
    </row>
    <row s="40235" customFormat="1" customHeight="1" ht="0.75">
      <c r="A57" s="2289"/>
      <c r="B57" s="2289"/>
      <c r="C57" s="2289"/>
      <c r="D57" s="2289"/>
      <c r="E57" s="2290"/>
      <c r="F57" s="2289"/>
      <c r="G57" s="2289"/>
      <c r="H57" s="2289"/>
      <c r="I57" s="2289"/>
      <c r="J57" s="2289"/>
      <c r="K57" s="2289"/>
      <c r="L57" s="2292"/>
      <c r="M57" s="2294"/>
      <c r="N57" s="2294"/>
      <c r="O57" s="1263"/>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2165"/>
      <c r="AP57" s="2165" t="str">
        <f>IF(T57="","",T57)</f>
        <v>Добавить наименование тарифа</v>
      </c>
      <c r="AQ57" s="2165"/>
      <c r="AR57" s="2165"/>
    </row>
    <row customHeight="1" ht="11.25">
      <c r="M58" s="2546"/>
      <c r="N58" s="2546"/>
      <c r="O58" s="2550"/>
      <c r="P58" s="2546"/>
      <c r="Q58" s="2546"/>
      <c r="R58" s="2546"/>
      <c r="S58" s="2546"/>
      <c r="AN58" s="2546"/>
      <c r="AO58" s="2546"/>
      <c r="AP58" s="2546"/>
      <c r="AQ58" s="2546"/>
      <c r="AR58" s="2546"/>
    </row>
    <row customHeight="1" ht="27">
      <c r="O59" s="2550"/>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2550"/>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2550"/>
    </row>
    <row customHeight="1" ht="18">
      <c r="O62" s="2550"/>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2550"/>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2550"/>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45FF98-8435-2E2C-426C-83D1E9ADACF6}"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0257" width="10.57421875" hidden="1"/>
    <col min="2" max="2" style="40257" width="11.00390625" hidden="1" customWidth="1"/>
    <col min="3" max="3" style="40257" width="10.57421875" hidden="1"/>
    <col min="4" max="4" style="40257" width="11.8515625" hidden="1" customWidth="1"/>
    <col min="5" max="5" style="40257" width="10.00390625" hidden="1" customWidth="1"/>
    <col min="6" max="6" style="40257" width="8.7109375" hidden="1" customWidth="1"/>
    <col min="7" max="7" style="40257" width="7.57421875" hidden="1" customWidth="1"/>
    <col min="8" max="8" style="40257" width="11.421875" hidden="1" customWidth="1"/>
    <col min="9" max="9" style="40257" width="12.00390625" hidden="1" customWidth="1"/>
    <col min="10" max="10" style="40257" width="9.8515625" hidden="1" customWidth="1"/>
    <col min="11" max="11" style="40257" width="11.421875" hidden="1" customWidth="1"/>
    <col min="12" max="12" style="40258" width="19.140625" hidden="1" customWidth="1"/>
    <col min="13" max="14" style="40259" width="12.28125" hidden="1" customWidth="1"/>
    <col min="15" max="15" style="40259" width="23.421875" hidden="1" customWidth="1"/>
    <col min="16" max="16" style="40259" width="3.7109375" customWidth="1"/>
    <col min="17" max="18" style="40213" width="3.7109375" customWidth="1"/>
    <col min="19" max="19" style="40214" width="12.7109375" customWidth="1"/>
    <col min="20" max="20" style="40257" width="32.00390625" customWidth="1"/>
    <col min="21" max="21" style="40257" width="0.140625" customWidth="1"/>
    <col min="22" max="22" style="40257" width="24.7109375" hidden="1" customWidth="1"/>
    <col min="23" max="23" style="40257" width="0.140625" hidden="1" customWidth="1"/>
    <col min="24" max="25" style="40257" width="24.7109375" hidden="1" customWidth="1"/>
    <col min="26" max="26" style="40257" width="11.7109375" hidden="1" customWidth="1"/>
    <col min="27" max="27" style="40257" width="3.7109375" hidden="1" customWidth="1"/>
    <col min="28" max="28" style="40257" width="11.7109375" hidden="1" customWidth="1"/>
    <col min="29" max="29" style="40257" width="8.57421875" hidden="1" customWidth="1"/>
    <col min="30" max="30" style="40257" width="24.7109375" customWidth="1"/>
    <col min="31" max="31" style="40257" width="0.140625" customWidth="1"/>
    <col min="32" max="33" style="40257" width="24.7109375" customWidth="1"/>
    <col min="34" max="34" style="40257" width="11.7109375" customWidth="1"/>
    <col min="35" max="35" style="40257" width="3.7109375" customWidth="1"/>
    <col min="36" max="36" style="40257" width="11.7109375" customWidth="1"/>
    <col min="37" max="37" style="40257" width="8.57421875" hidden="1" customWidth="1"/>
    <col min="38" max="38" style="40257" width="4.7109375" customWidth="1"/>
    <col min="39" max="39" style="40257" width="115.7109375" customWidth="1"/>
    <col min="40" max="41" style="40255" width="10.57421875"/>
    <col min="42" max="42" style="40255" width="11.140625" customWidth="1"/>
    <col min="43" max="44" style="40255" width="10.57421875"/>
  </cols>
  <sheetData>
    <row customHeight="1" ht="14.25" hidden="1"/>
    <row customHeight="1" ht="21" hidden="1">
      <c r="A2" s="2182"/>
      <c r="B2" s="2182"/>
      <c r="C2" s="2182"/>
      <c r="D2" s="2182"/>
      <c r="E2" s="3113">
        <v>1</v>
      </c>
      <c r="F2" s="2182"/>
      <c r="G2" s="2182"/>
      <c r="H2" s="2182"/>
      <c r="I2" s="2182"/>
      <c r="J2" s="2182"/>
      <c r="K2" s="2182"/>
      <c r="L2" s="2225"/>
      <c r="M2" s="2525"/>
      <c r="N2" s="2525"/>
      <c r="O2" s="2525"/>
      <c r="P2" s="2505"/>
      <c r="Q2" s="1272"/>
      <c r="R2" s="1267"/>
      <c r="S2" s="2874">
        <f>INDEX(PT_DIFFERENTIATION_NUM_NTAR,MATCH(A2,PT_DIFFERENTIATION_NTAR_ID,0))</f>
      </c>
      <c r="T2" s="244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2539"/>
      <c r="AP2" s="2539" t="str">
        <f>IF(T2="","",T2)</f>
        <v>Наименование тарифа</v>
      </c>
      <c r="AQ2" s="2539"/>
      <c r="AR2" s="2539"/>
    </row>
    <row customHeight="1" ht="21" hidden="1">
      <c r="A3" s="2182"/>
      <c r="B3" s="2182"/>
      <c r="C3" s="2182"/>
      <c r="D3" s="2182"/>
      <c r="E3" s="3114"/>
      <c r="F3" s="3113">
        <v>1</v>
      </c>
      <c r="G3" s="2182"/>
      <c r="H3" s="2182"/>
      <c r="I3" s="2182"/>
      <c r="J3" s="2182"/>
      <c r="K3" s="2182"/>
      <c r="L3" s="2225"/>
      <c r="M3" s="2525"/>
      <c r="N3" s="2525"/>
      <c r="O3" s="2525"/>
      <c r="P3" s="2856"/>
      <c r="Q3" s="1264"/>
      <c r="R3" s="1265"/>
      <c r="S3" s="2874">
        <f>INDEX(PT_DIFFERENTIATION_NUM_TER,MATCH(B3,PT_DIFFERENTIATION_TER_ID,0))</f>
      </c>
      <c r="T3" s="2437"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2539"/>
      <c r="AP3" s="2539" t="str">
        <f>IF(T3="","",T3)</f>
        <v>Территория действия тарифа</v>
      </c>
      <c r="AQ3" s="2539"/>
      <c r="AR3" s="2539"/>
    </row>
    <row customHeight="1" ht="23.25" hidden="1">
      <c r="A4" s="2182"/>
      <c r="B4" s="2182"/>
      <c r="C4" s="2182"/>
      <c r="D4" s="2182"/>
      <c r="E4" s="3114"/>
      <c r="F4" s="3114"/>
      <c r="G4" s="3113">
        <v>1</v>
      </c>
      <c r="H4" s="2182"/>
      <c r="I4" s="2182"/>
      <c r="J4" s="2182"/>
      <c r="K4" s="2182"/>
      <c r="L4" s="2225"/>
      <c r="M4" s="2525"/>
      <c r="N4" s="2525"/>
      <c r="O4" s="2525"/>
      <c r="P4" s="1266"/>
      <c r="Q4" s="1264"/>
      <c r="R4" s="1265"/>
      <c r="S4" s="287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2539"/>
      <c r="AP4" s="2539" t="str">
        <f>IF(T4="","",T4)</f>
        <v>Наименование системы теплоснабжения </v>
      </c>
      <c r="AQ4" s="2539"/>
      <c r="AR4" s="2539"/>
    </row>
    <row customHeight="1" ht="21" hidden="1">
      <c r="A5" s="2182"/>
      <c r="B5" s="2182"/>
      <c r="C5" s="2182"/>
      <c r="D5" s="2182"/>
      <c r="E5" s="3114"/>
      <c r="F5" s="3114"/>
      <c r="G5" s="3114"/>
      <c r="H5" s="3113">
        <v>1</v>
      </c>
      <c r="I5" s="2182"/>
      <c r="J5" s="2182"/>
      <c r="K5" s="2182"/>
      <c r="L5" s="2225"/>
      <c r="M5" s="2525"/>
      <c r="N5" s="2525"/>
      <c r="O5" s="2525"/>
      <c r="P5" s="1266"/>
      <c r="Q5" s="1264"/>
      <c r="R5" s="1265"/>
      <c r="S5" s="287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2539"/>
      <c r="AP5" s="2539" t="str">
        <f>IF(T5="","",T5)</f>
        <v>Источник тепловой энергии  </v>
      </c>
      <c r="AQ5" s="2539"/>
      <c r="AR5" s="2539"/>
    </row>
    <row customHeight="1" ht="47.25" hidden="1">
      <c r="A6" s="2182"/>
      <c r="B6" s="2182"/>
      <c r="C6" s="2182"/>
      <c r="D6" s="2182"/>
      <c r="E6" s="3114"/>
      <c r="F6" s="3114"/>
      <c r="G6" s="3114"/>
      <c r="H6" s="3114"/>
      <c r="I6" s="2953">
        <f>S5&amp;".1"</f>
      </c>
      <c r="J6" s="2182"/>
      <c r="K6" s="2182"/>
      <c r="L6" s="2225" t="s">
        <v>394</v>
      </c>
      <c r="M6" s="2550"/>
      <c r="P6" s="3081">
        <v>1</v>
      </c>
      <c r="Q6" s="2870"/>
      <c r="R6" s="1268"/>
      <c r="S6" s="287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2539"/>
      <c r="AP6" s="2539" t="str">
        <f>IF(T6="","",T6)</f>
        <v>Схема подключения теплопотребляющей установки к коллектору источника тепловой энергии</v>
      </c>
      <c r="AQ6" s="2539"/>
      <c r="AR6" s="2539"/>
    </row>
    <row customHeight="1" ht="21" hidden="1">
      <c r="A7" s="2182"/>
      <c r="B7" s="2182"/>
      <c r="C7" s="2182"/>
      <c r="D7" s="2182"/>
      <c r="E7" s="3114"/>
      <c r="F7" s="3114"/>
      <c r="G7" s="3114"/>
      <c r="H7" s="3114"/>
      <c r="I7" s="2927"/>
      <c r="J7" s="2953">
        <f>I6&amp;".1"</f>
      </c>
      <c r="K7" s="2182"/>
      <c r="L7" s="2225" t="s">
        <v>397</v>
      </c>
      <c r="M7" s="2550"/>
      <c r="N7" s="2546"/>
      <c r="P7" s="3081"/>
      <c r="Q7" s="3081">
        <v>1</v>
      </c>
      <c r="R7" s="1269"/>
      <c r="S7" s="287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2539"/>
      <c r="AP7" s="2539" t="str">
        <f>IF(T7="","",T7)</f>
        <v>Группа потребителей</v>
      </c>
      <c r="AQ7" s="2539"/>
      <c r="AR7" s="2539"/>
    </row>
    <row customHeight="1" ht="21" hidden="1">
      <c r="A8" s="2182"/>
      <c r="B8" s="2182"/>
      <c r="C8" s="2182"/>
      <c r="D8" s="2182"/>
      <c r="E8" s="3114"/>
      <c r="F8" s="3114"/>
      <c r="G8" s="3114"/>
      <c r="H8" s="3114"/>
      <c r="I8" s="2927"/>
      <c r="J8" s="2927"/>
      <c r="K8" s="2953">
        <f>J7&amp;".1"</f>
      </c>
      <c r="L8" s="2225" t="s">
        <v>400</v>
      </c>
      <c r="M8" s="2550"/>
      <c r="N8" s="2546"/>
      <c r="O8" s="2546"/>
      <c r="P8" s="3081"/>
      <c r="Q8" s="3081"/>
      <c r="R8" s="1269">
        <v>1</v>
      </c>
      <c r="S8" s="287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2551">
        <f>STRCHECKDATE(V9:AL9)</f>
      </c>
      <c r="AO8" s="2539"/>
      <c r="AP8" s="2539" t="str">
        <f>IF(T8="","",T8)</f>
        <v/>
      </c>
      <c r="AQ8" s="2539"/>
      <c r="AR8" s="2539"/>
    </row>
    <row customHeight="1" ht="0.75" hidden="1">
      <c r="A9" s="2182"/>
      <c r="B9" s="2182"/>
      <c r="C9" s="2182"/>
      <c r="D9" s="2182"/>
      <c r="E9" s="3114"/>
      <c r="F9" s="3114"/>
      <c r="G9" s="3114"/>
      <c r="H9" s="3114"/>
      <c r="I9" s="2927"/>
      <c r="J9" s="2927"/>
      <c r="K9" s="2953"/>
      <c r="L9" s="2225"/>
      <c r="M9" s="2550"/>
      <c r="N9" s="2546"/>
      <c r="O9" s="2546"/>
      <c r="P9" s="3081"/>
      <c r="Q9" s="3081"/>
      <c r="R9" s="1269"/>
      <c r="S9" s="2883"/>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2539"/>
      <c r="AP9" s="2539" t="str">
        <f>IF(T9="","",T9)</f>
        <v/>
      </c>
      <c r="AQ9" s="2539"/>
      <c r="AR9" s="2539"/>
    </row>
    <row customHeight="1" ht="15" hidden="1">
      <c r="A10" s="2182"/>
      <c r="B10" s="2182"/>
      <c r="C10" s="2182"/>
      <c r="D10" s="2182"/>
      <c r="E10" s="3114"/>
      <c r="F10" s="3114"/>
      <c r="G10" s="3114"/>
      <c r="H10" s="3114"/>
      <c r="I10" s="2927"/>
      <c r="J10" s="2953"/>
      <c r="K10" s="2182"/>
      <c r="L10" s="2225"/>
      <c r="M10" s="2550"/>
      <c r="N10" s="2546"/>
      <c r="P10" s="3081"/>
      <c r="Q10" s="3081"/>
      <c r="R10" s="1268"/>
      <c r="S10" s="2193"/>
      <c r="T10" s="1200" t="s">
        <v>402</v>
      </c>
      <c r="U10" s="1512"/>
      <c r="V10" s="1512"/>
      <c r="W10" s="1512"/>
      <c r="X10" s="1512"/>
      <c r="Y10" s="1512"/>
      <c r="Z10" s="1512"/>
      <c r="AA10" s="1512"/>
      <c r="AB10" s="1512"/>
      <c r="AC10" s="1512"/>
      <c r="AD10" s="1512"/>
      <c r="AE10" s="1512"/>
      <c r="AF10" s="1512"/>
      <c r="AG10" s="1512"/>
      <c r="AH10" s="1512"/>
      <c r="AI10" s="1512"/>
      <c r="AJ10" s="1512"/>
      <c r="AK10" s="1512"/>
      <c r="AL10" s="1236"/>
      <c r="AM10" s="3079"/>
      <c r="AO10" s="2539"/>
      <c r="AP10" s="2539" t="str">
        <f>IF(T10="","",T10)</f>
        <v>Добавить вид теплоносителя (параметры теплоносителя)</v>
      </c>
      <c r="AQ10" s="2539"/>
      <c r="AR10" s="2539"/>
    </row>
    <row customHeight="1" ht="15" hidden="1">
      <c r="A11" s="2182"/>
      <c r="B11" s="2182"/>
      <c r="C11" s="2182"/>
      <c r="D11" s="2182"/>
      <c r="E11" s="3114"/>
      <c r="F11" s="3114"/>
      <c r="G11" s="3114"/>
      <c r="H11" s="3114"/>
      <c r="I11" s="2953"/>
      <c r="J11" s="2182"/>
      <c r="K11" s="2182"/>
      <c r="L11" s="2225"/>
      <c r="M11" s="2550"/>
      <c r="P11" s="3081"/>
      <c r="Q11" s="2870"/>
      <c r="R11" s="1268"/>
      <c r="S11" s="2193"/>
      <c r="T11" s="1199" t="s">
        <v>403</v>
      </c>
      <c r="U11" s="1512"/>
      <c r="V11" s="1512"/>
      <c r="W11" s="1512"/>
      <c r="X11" s="1512"/>
      <c r="Y11" s="1512"/>
      <c r="Z11" s="1512"/>
      <c r="AA11" s="1512"/>
      <c r="AB11" s="1512"/>
      <c r="AC11" s="1278"/>
      <c r="AD11" s="1512"/>
      <c r="AE11" s="1512"/>
      <c r="AF11" s="1512"/>
      <c r="AG11" s="1512"/>
      <c r="AH11" s="1512"/>
      <c r="AI11" s="1512"/>
      <c r="AJ11" s="1512"/>
      <c r="AK11" s="1278"/>
      <c r="AL11" s="1512"/>
      <c r="AM11" s="1215"/>
      <c r="AO11" s="2539"/>
      <c r="AP11" s="2539" t="str">
        <f>IF(T11="","",T11)</f>
        <v>Добавить группу потребителей</v>
      </c>
      <c r="AQ11" s="2539"/>
      <c r="AR11" s="2539"/>
    </row>
    <row customHeight="1" ht="14.25" hidden="1">
      <c r="A12" s="2182"/>
      <c r="B12" s="2182"/>
      <c r="C12" s="2182"/>
      <c r="D12" s="2182"/>
      <c r="E12" s="3114"/>
      <c r="F12" s="3114"/>
      <c r="G12" s="3114"/>
      <c r="H12" s="3113"/>
      <c r="I12" s="2182"/>
      <c r="J12" s="2182"/>
      <c r="K12" s="2182"/>
      <c r="L12" s="2225"/>
      <c r="M12" s="2525"/>
      <c r="N12" s="2525"/>
      <c r="O12" s="2550"/>
      <c r="P12" s="1272"/>
      <c r="Q12" s="1287"/>
      <c r="R12" s="1267"/>
      <c r="S12" s="2193"/>
      <c r="T12" s="1277" t="s">
        <v>404</v>
      </c>
      <c r="U12" s="1512"/>
      <c r="V12" s="1512"/>
      <c r="W12" s="1512"/>
      <c r="X12" s="1512"/>
      <c r="Y12" s="1512"/>
      <c r="Z12" s="1512"/>
      <c r="AA12" s="1512"/>
      <c r="AB12" s="1512"/>
      <c r="AC12" s="1278"/>
      <c r="AD12" s="1512"/>
      <c r="AE12" s="1512"/>
      <c r="AF12" s="1512"/>
      <c r="AG12" s="1512"/>
      <c r="AH12" s="1512"/>
      <c r="AI12" s="1512"/>
      <c r="AJ12" s="1512"/>
      <c r="AK12" s="1278"/>
      <c r="AL12" s="1512"/>
      <c r="AM12" s="1215"/>
      <c r="AO12" s="2539"/>
      <c r="AP12" s="2539" t="str">
        <f>IF(T12="","",T12)</f>
        <v>Добавить схему подключения</v>
      </c>
      <c r="AQ12" s="2539"/>
      <c r="AR12" s="2539"/>
    </row>
    <row s="40235" customFormat="1" customHeight="1" ht="0.75" hidden="1">
      <c r="A13" s="2891"/>
      <c r="B13" s="2891"/>
      <c r="C13" s="2891"/>
      <c r="D13" s="2891"/>
      <c r="E13" s="3114"/>
      <c r="F13" s="3114"/>
      <c r="G13" s="3113"/>
      <c r="H13" s="2891"/>
      <c r="I13" s="2891"/>
      <c r="J13" s="2891"/>
      <c r="K13" s="2891"/>
      <c r="L13" s="2295"/>
      <c r="M13" s="2525"/>
      <c r="N13" s="2525"/>
      <c r="O13" s="255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2165"/>
      <c r="AP13" s="2165" t="str">
        <f>IF(T13="","",T13)</f>
        <v>Добавить источник для дифференциации</v>
      </c>
      <c r="AQ13" s="2165"/>
      <c r="AR13" s="2165"/>
    </row>
    <row s="40235" customFormat="1" customHeight="1" ht="0.75" hidden="1">
      <c r="A14" s="2891"/>
      <c r="B14" s="2891"/>
      <c r="C14" s="2891"/>
      <c r="D14" s="2891"/>
      <c r="E14" s="3114"/>
      <c r="F14" s="3113"/>
      <c r="G14" s="2891"/>
      <c r="H14" s="2891"/>
      <c r="I14" s="2891"/>
      <c r="J14" s="2891"/>
      <c r="K14" s="2891"/>
      <c r="L14" s="2295"/>
      <c r="M14" s="2892"/>
      <c r="N14" s="2892"/>
      <c r="O14" s="2550"/>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2165"/>
      <c r="AP14" s="2165" t="str">
        <f>IF(T14="","",T14)</f>
        <v>Добавить централизованную систему для дифференциации</v>
      </c>
      <c r="AQ14" s="2165"/>
      <c r="AR14" s="2165"/>
    </row>
    <row s="40235" customFormat="1" customHeight="1" ht="0.75" hidden="1">
      <c r="A15" s="2891"/>
      <c r="B15" s="2891"/>
      <c r="C15" s="2891"/>
      <c r="D15" s="2891"/>
      <c r="E15" s="3113"/>
      <c r="F15" s="2891"/>
      <c r="G15" s="2891"/>
      <c r="H15" s="2891"/>
      <c r="I15" s="2891"/>
      <c r="J15" s="2891"/>
      <c r="K15" s="2891"/>
      <c r="L15" s="2295"/>
      <c r="M15" s="2892"/>
      <c r="N15" s="2892"/>
      <c r="O15" s="2550"/>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2165"/>
      <c r="AP15" s="2165" t="str">
        <f>IF(T15="","",T15)</f>
        <v>Добавить территорию для дифференциации</v>
      </c>
      <c r="AQ15" s="2165"/>
      <c r="AR15" s="2165"/>
    </row>
    <row customHeight="1" ht="14.25" hidden="1"/>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row s="40242" customFormat="1" customHeight="1" ht="14.25" hidden="1">
      <c r="A20" s="2546"/>
      <c r="B20" s="2546"/>
      <c r="C20" s="2546"/>
      <c r="D20" s="2546"/>
      <c r="E20" s="2546"/>
      <c r="F20" s="2546"/>
      <c r="G20" s="2546"/>
      <c r="H20" s="2546"/>
      <c r="I20" s="2546"/>
      <c r="J20" s="2546"/>
      <c r="K20" s="2546"/>
      <c r="L20" s="2855"/>
      <c r="M20" s="2881"/>
      <c r="N20" s="2881"/>
      <c r="O20" s="2260" t="s">
        <v>408</v>
      </c>
      <c r="P20" s="2277"/>
      <c r="Q20" s="2286"/>
      <c r="R20" s="2286"/>
      <c r="S20" s="1641"/>
      <c r="Z20" s="2282"/>
      <c r="AB20" s="2282"/>
      <c r="AH20" s="2282"/>
      <c r="AJ20" s="2282"/>
      <c r="AN20" s="2551"/>
      <c r="AO20" s="2551"/>
      <c r="AP20" s="2551"/>
      <c r="AQ20" s="2551"/>
      <c r="AR20" s="2551"/>
    </row>
    <row s="40242" customFormat="1" customHeight="1" ht="14.25" hidden="1">
      <c r="A21" s="2546"/>
      <c r="B21" s="2546"/>
      <c r="C21" s="2546"/>
      <c r="D21" s="2546"/>
      <c r="E21" s="2546"/>
      <c r="F21" s="2546"/>
      <c r="G21" s="2546"/>
      <c r="H21" s="2546"/>
      <c r="I21" s="2546"/>
      <c r="J21" s="2546"/>
      <c r="K21" s="2546"/>
      <c r="L21" s="2855"/>
      <c r="M21" s="2881"/>
      <c r="N21" s="2881"/>
      <c r="O21" s="2881"/>
      <c r="P21" s="2277"/>
      <c r="Q21" s="2286"/>
      <c r="R21" s="2286"/>
      <c r="S21" s="1641"/>
      <c r="AN21" s="2551"/>
      <c r="AO21" s="2551"/>
      <c r="AP21" s="2551"/>
      <c r="AQ21" s="2551"/>
      <c r="AR21" s="2551"/>
    </row>
    <row s="40242" customFormat="1" customHeight="1" ht="14.25" hidden="1">
      <c r="A22" s="2546"/>
      <c r="B22" s="2546"/>
      <c r="C22" s="2546"/>
      <c r="D22" s="2546"/>
      <c r="E22" s="2546"/>
      <c r="F22" s="2546"/>
      <c r="G22" s="2546"/>
      <c r="H22" s="2546"/>
      <c r="I22" s="2546"/>
      <c r="J22" s="2546"/>
      <c r="K22" s="2546"/>
      <c r="L22" s="2855"/>
      <c r="M22" s="2881"/>
      <c r="N22" s="2881"/>
      <c r="O22" s="2225" t="s">
        <v>409</v>
      </c>
      <c r="P22" s="2277"/>
      <c r="Q22" s="2286"/>
      <c r="R22" s="2286"/>
      <c r="S22" s="1641"/>
      <c r="T22" s="2281" t="s">
        <v>410</v>
      </c>
      <c r="AA22" s="1507" t="s">
        <v>411</v>
      </c>
      <c r="AC22" s="1507" t="s">
        <v>412</v>
      </c>
      <c r="AD22" s="2281" t="s">
        <v>410</v>
      </c>
      <c r="AI22" s="1507" t="s">
        <v>413</v>
      </c>
      <c r="AK22" s="1507" t="s">
        <v>412</v>
      </c>
      <c r="AN22" s="2551"/>
      <c r="AO22" s="2551"/>
      <c r="AP22" s="2551"/>
      <c r="AQ22" s="2551"/>
      <c r="AR22" s="2551"/>
    </row>
    <row customHeight="1" ht="14.25" hidden="1">
      <c r="O23" s="2225"/>
    </row>
    <row customHeight="1" ht="14.25" hidden="1">
      <c r="O24" s="2225"/>
    </row>
    <row customHeight="1" ht="14.25">
      <c r="Q25" s="1288"/>
      <c r="R25" s="1288"/>
      <c r="S25" s="2190"/>
      <c r="T25" s="1369"/>
      <c r="U25" s="1369"/>
      <c r="V25" s="2550"/>
      <c r="W25" s="2550"/>
      <c r="X25" s="2550"/>
      <c r="Y25" s="2550"/>
      <c r="Z25" s="2550"/>
      <c r="AA25" s="2550"/>
      <c r="AB25" s="2550"/>
      <c r="AC25" s="2550"/>
      <c r="AD25" s="2550"/>
      <c r="AE25" s="2550"/>
      <c r="AF25" s="2550"/>
      <c r="AG25" s="2550"/>
      <c r="AH25" s="2550"/>
      <c r="AI25" s="2550"/>
      <c r="AJ25" s="2550"/>
      <c r="AK25" s="2550"/>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369"/>
      <c r="U28" s="1369"/>
      <c r="V28" s="1234"/>
      <c r="W28" s="1234"/>
      <c r="X28" s="1234"/>
      <c r="Y28" s="1234"/>
      <c r="Z28" s="1234"/>
      <c r="AA28" s="1234"/>
      <c r="AB28" s="1234"/>
      <c r="AC28" s="1234"/>
      <c r="AD28" s="1234"/>
      <c r="AE28" s="1234"/>
      <c r="AF28" s="1234"/>
      <c r="AG28" s="1234"/>
      <c r="AH28" s="1234"/>
      <c r="AI28" s="1234"/>
      <c r="AJ28" s="1234"/>
      <c r="AK28" s="1234"/>
      <c r="AL28" s="2550"/>
    </row>
    <row s="40143" customFormat="1" customHeight="1" ht="25.5" hidden="1">
      <c r="A29" s="2162"/>
      <c r="B29" s="2162"/>
      <c r="C29" s="2162"/>
      <c r="D29" s="2162"/>
      <c r="E29" s="2162"/>
      <c r="F29" s="2162"/>
      <c r="G29" s="2162"/>
      <c r="H29" s="2162"/>
      <c r="I29" s="2162"/>
      <c r="J29" s="2162"/>
      <c r="K29" s="2162"/>
      <c r="L29" s="2295"/>
      <c r="M29" s="2162"/>
      <c r="N29" s="2162"/>
      <c r="O29" s="2162"/>
      <c r="S29" s="3074" t="s">
        <v>37</v>
      </c>
      <c r="T29" s="3074"/>
      <c r="U29" s="2287"/>
      <c r="V29" s="3075" t="str">
        <f>IF(TITLE_NAME_OR_PR_CHANGE="",IF(TITLE_NAME_OR_PR="","",TITLE_NAME_OR_PR),TITLE_NAME_OR_PR_CHANGE)</f>
        <v/>
      </c>
      <c r="W29" s="3075"/>
      <c r="X29" s="3075"/>
      <c r="Y29" s="3075"/>
      <c r="Z29" s="3075"/>
      <c r="AA29" s="3075"/>
      <c r="AB29" s="3075"/>
      <c r="AC29" s="2550"/>
      <c r="AD29" s="3075" t="str">
        <f>IF(TITLE_NAME_OR_PR_CHANGE="",IF(TITLE_NAME_OR_PR="","",TITLE_NAME_OR_PR),TITLE_NAME_OR_PR_CHANGE)</f>
        <v/>
      </c>
      <c r="AE29" s="3075"/>
      <c r="AF29" s="3075"/>
      <c r="AG29" s="3075"/>
      <c r="AH29" s="3075"/>
      <c r="AI29" s="3075"/>
      <c r="AJ29" s="3075"/>
      <c r="AK29" s="2550"/>
      <c r="AL29" s="2550"/>
      <c r="AM29" s="1192"/>
      <c r="AN29" s="1280"/>
      <c r="AO29" s="1280"/>
      <c r="AP29" s="1280"/>
      <c r="AQ29" s="1280"/>
      <c r="AR29" s="1280"/>
    </row>
    <row s="40143" customFormat="1" customHeight="1" ht="18.75" hidden="1">
      <c r="A30" s="2162"/>
      <c r="B30" s="2162"/>
      <c r="C30" s="2162"/>
      <c r="D30" s="2162"/>
      <c r="E30" s="2162"/>
      <c r="F30" s="2162"/>
      <c r="G30" s="2162"/>
      <c r="H30" s="2162"/>
      <c r="I30" s="2162"/>
      <c r="J30" s="2162"/>
      <c r="K30" s="2162"/>
      <c r="L30" s="2295"/>
      <c r="M30" s="2162"/>
      <c r="N30" s="2162"/>
      <c r="O30" s="2162"/>
      <c r="S30" s="3074" t="s">
        <v>414</v>
      </c>
      <c r="T30" s="3074"/>
      <c r="U30" s="2287"/>
      <c r="V30" s="3088" t="str">
        <f>IF(TITLE_DATE_PR_CHANGE="",IF(TITLE_DATE_PR="","",TITLE_DATE_PR),TITLE_DATE_PR_CHANGE)</f>
        <v/>
      </c>
      <c r="W30" s="3088"/>
      <c r="X30" s="3088"/>
      <c r="Y30" s="3088"/>
      <c r="Z30" s="3088"/>
      <c r="AA30" s="3088"/>
      <c r="AB30" s="3088"/>
      <c r="AC30" s="2550"/>
      <c r="AD30" s="3088" t="str">
        <f>IF(TITLE_DATE_PR_CHANGE="",IF(TITLE_DATE_PR="","",TITLE_DATE_PR),TITLE_DATE_PR_CHANGE)</f>
        <v/>
      </c>
      <c r="AE30" s="3088"/>
      <c r="AF30" s="3088"/>
      <c r="AG30" s="3088"/>
      <c r="AH30" s="3088"/>
      <c r="AI30" s="3088"/>
      <c r="AJ30" s="3088"/>
      <c r="AK30" s="2550"/>
      <c r="AL30" s="2550"/>
      <c r="AM30" s="1192"/>
      <c r="AN30" s="1280"/>
      <c r="AO30" s="1280"/>
      <c r="AP30" s="1280"/>
      <c r="AQ30" s="1280"/>
      <c r="AR30" s="1280"/>
    </row>
    <row s="40143" customFormat="1" customHeight="1" ht="18.75" hidden="1">
      <c r="A31" s="2162"/>
      <c r="B31" s="2162"/>
      <c r="C31" s="2162"/>
      <c r="D31" s="2162"/>
      <c r="E31" s="2162"/>
      <c r="F31" s="2162"/>
      <c r="G31" s="2162"/>
      <c r="H31" s="2162"/>
      <c r="I31" s="2162"/>
      <c r="J31" s="2162"/>
      <c r="K31" s="2162"/>
      <c r="L31" s="2295"/>
      <c r="M31" s="2162"/>
      <c r="N31" s="2162"/>
      <c r="O31" s="2162"/>
      <c r="S31" s="3074" t="s">
        <v>415</v>
      </c>
      <c r="T31" s="3074"/>
      <c r="U31" s="2287"/>
      <c r="V31" s="3075" t="str">
        <f>IF(TITLE_NUMBER_PR_CHANGE="",IF(TITLE_NUMBER_PR="","",TITLE_NUMBER_PR),TITLE_NUMBER_PR_CHANGE)</f>
        <v/>
      </c>
      <c r="W31" s="3075"/>
      <c r="X31" s="3075"/>
      <c r="Y31" s="3075"/>
      <c r="Z31" s="3075"/>
      <c r="AA31" s="3075"/>
      <c r="AB31" s="3075"/>
      <c r="AC31" s="2550"/>
      <c r="AD31" s="3075" t="str">
        <f>IF(TITLE_NUMBER_PR_CHANGE="",IF(TITLE_NUMBER_PR="","",TITLE_NUMBER_PR),TITLE_NUMBER_PR_CHANGE)</f>
        <v/>
      </c>
      <c r="AE31" s="3075"/>
      <c r="AF31" s="3075"/>
      <c r="AG31" s="3075"/>
      <c r="AH31" s="3075"/>
      <c r="AI31" s="3075"/>
      <c r="AJ31" s="3075"/>
      <c r="AK31" s="2550"/>
      <c r="AL31" s="2550"/>
      <c r="AM31" s="1192"/>
      <c r="AN31" s="1280"/>
      <c r="AO31" s="1280"/>
      <c r="AP31" s="1280"/>
      <c r="AQ31" s="1280"/>
      <c r="AR31" s="1280"/>
    </row>
    <row s="40143" customFormat="1" customHeight="1" ht="18.75" hidden="1">
      <c r="A32" s="2162"/>
      <c r="B32" s="2162"/>
      <c r="C32" s="2162"/>
      <c r="D32" s="2162"/>
      <c r="E32" s="2162"/>
      <c r="F32" s="2162"/>
      <c r="G32" s="2162"/>
      <c r="H32" s="2162"/>
      <c r="I32" s="2162"/>
      <c r="J32" s="2162"/>
      <c r="K32" s="2162"/>
      <c r="L32" s="2295"/>
      <c r="M32" s="2162"/>
      <c r="N32" s="2162"/>
      <c r="O32" s="2162"/>
      <c r="S32" s="3074" t="s">
        <v>38</v>
      </c>
      <c r="T32" s="3074"/>
      <c r="U32" s="2287"/>
      <c r="V32" s="3075" t="str">
        <f>IF(TITLE_IST_PUB_CHANGE="",IF(TITLE_IST_PUB="","",TITLE_IST_PUB),TITLE_IST_PUB_CHANGE)</f>
        <v/>
      </c>
      <c r="W32" s="3075"/>
      <c r="X32" s="3075"/>
      <c r="Y32" s="3075"/>
      <c r="Z32" s="3075"/>
      <c r="AA32" s="3075"/>
      <c r="AB32" s="3075"/>
      <c r="AC32" s="2550"/>
      <c r="AD32" s="3075" t="str">
        <f>IF(TITLE_IST_PUB_CHANGE="",IF(TITLE_IST_PUB="","",TITLE_IST_PUB),TITLE_IST_PUB_CHANGE)</f>
        <v/>
      </c>
      <c r="AE32" s="3075"/>
      <c r="AF32" s="3075"/>
      <c r="AG32" s="3075"/>
      <c r="AH32" s="3075"/>
      <c r="AI32" s="3075"/>
      <c r="AJ32" s="3075"/>
      <c r="AK32" s="2550"/>
      <c r="AL32" s="2550"/>
      <c r="AM32" s="1192"/>
      <c r="AN32" s="1280"/>
      <c r="AO32" s="1280"/>
      <c r="AP32" s="1280"/>
      <c r="AQ32" s="1280"/>
      <c r="AR32" s="1280"/>
    </row>
    <row customHeight="1" ht="14.25" hidden="1">
      <c r="Q33" s="1288"/>
      <c r="R33" s="1288"/>
      <c r="S33" s="2190"/>
      <c r="T33" s="1369"/>
      <c r="U33" s="1369"/>
      <c r="V33" s="1234"/>
      <c r="W33" s="1234"/>
      <c r="X33" s="1234"/>
      <c r="Y33" s="1234"/>
      <c r="Z33" s="1234"/>
      <c r="AA33" s="1234"/>
      <c r="AB33" s="1234"/>
      <c r="AC33" s="1234"/>
      <c r="AD33" s="1234"/>
      <c r="AE33" s="1234"/>
      <c r="AF33" s="1234"/>
      <c r="AG33" s="1234"/>
      <c r="AH33" s="1234"/>
      <c r="AI33" s="1234"/>
      <c r="AJ33" s="1234"/>
      <c r="AK33" s="1234"/>
      <c r="AL33" s="2550"/>
    </row>
    <row s="40143" customFormat="1" customHeight="1" ht="18.75" hidden="1">
      <c r="A34" s="2162"/>
      <c r="B34" s="2162"/>
      <c r="C34" s="2162"/>
      <c r="D34" s="2162"/>
      <c r="E34" s="2162"/>
      <c r="F34" s="2162"/>
      <c r="G34" s="2162"/>
      <c r="H34" s="2162"/>
      <c r="I34" s="2162"/>
      <c r="J34" s="2162"/>
      <c r="K34" s="2162"/>
      <c r="L34" s="2295"/>
      <c r="M34" s="2162"/>
      <c r="N34" s="2162"/>
      <c r="O34" s="2162"/>
      <c r="S34" s="3074" t="s">
        <v>416</v>
      </c>
      <c r="T34" s="3074"/>
      <c r="U34" s="2287"/>
      <c r="V34" s="3088" t="str">
        <f>IF(TITLE_DATE_PR_CHANGE="",IF(TITLE_DATE_PR="","",TITLE_DATE_PR),TITLE_DATE_PR_CHANGE)</f>
        <v/>
      </c>
      <c r="W34" s="3088"/>
      <c r="X34" s="3088"/>
      <c r="Y34" s="3088"/>
      <c r="Z34" s="3088"/>
      <c r="AA34" s="3088"/>
      <c r="AB34" s="3088"/>
      <c r="AC34" s="2550"/>
      <c r="AD34" s="3088" t="str">
        <f>IF(TITLE_DATE_PR_CHANGE="",IF(TITLE_DATE_PR="","",TITLE_DATE_PR),TITLE_DATE_PR_CHANGE)</f>
        <v/>
      </c>
      <c r="AE34" s="3088"/>
      <c r="AF34" s="3088"/>
      <c r="AG34" s="3088"/>
      <c r="AH34" s="3088"/>
      <c r="AI34" s="3088"/>
      <c r="AJ34" s="3088"/>
      <c r="AK34" s="2550"/>
      <c r="AL34" s="2550"/>
      <c r="AM34" s="1192"/>
      <c r="AN34" s="1280"/>
      <c r="AO34" s="1280"/>
      <c r="AP34" s="1280"/>
      <c r="AQ34" s="1280"/>
      <c r="AR34" s="1280"/>
    </row>
    <row s="40143" customFormat="1" customHeight="1" ht="18.75" hidden="1">
      <c r="A35" s="2162"/>
      <c r="B35" s="2162"/>
      <c r="C35" s="2162"/>
      <c r="D35" s="2162"/>
      <c r="E35" s="2162"/>
      <c r="F35" s="2162"/>
      <c r="G35" s="2162"/>
      <c r="H35" s="2162"/>
      <c r="I35" s="2162"/>
      <c r="J35" s="2162"/>
      <c r="K35" s="2162"/>
      <c r="L35" s="2295"/>
      <c r="M35" s="2162"/>
      <c r="N35" s="2162"/>
      <c r="O35" s="2162"/>
      <c r="S35" s="3074" t="s">
        <v>417</v>
      </c>
      <c r="T35" s="3074"/>
      <c r="U35" s="2287"/>
      <c r="V35" s="3075" t="str">
        <f>IF(TITLE_NUMBER_PR_CHANGE="",IF(TITLE_NUMBER_PR="","",TITLE_NUMBER_PR),TITLE_NUMBER_PR_CHANGE)</f>
        <v/>
      </c>
      <c r="W35" s="3075"/>
      <c r="X35" s="3075"/>
      <c r="Y35" s="3075"/>
      <c r="Z35" s="3075"/>
      <c r="AA35" s="3075"/>
      <c r="AB35" s="3075"/>
      <c r="AC35" s="2550"/>
      <c r="AD35" s="3075" t="str">
        <f>IF(TITLE_NUMBER_PR_CHANGE="",IF(TITLE_NUMBER_PR="","",TITLE_NUMBER_PR),TITLE_NUMBER_PR_CHANGE)</f>
        <v/>
      </c>
      <c r="AE35" s="3075"/>
      <c r="AF35" s="3075"/>
      <c r="AG35" s="3075"/>
      <c r="AH35" s="3075"/>
      <c r="AI35" s="3075"/>
      <c r="AJ35" s="3075"/>
      <c r="AK35" s="2550"/>
      <c r="AL35" s="2550"/>
      <c r="AM35" s="1192"/>
      <c r="AN35" s="1280"/>
      <c r="AO35" s="1280"/>
      <c r="AP35" s="1280"/>
      <c r="AQ35" s="1280"/>
      <c r="AR35" s="1280"/>
    </row>
    <row s="40143" customFormat="1" customHeight="1" ht="0">
      <c r="A36" s="2162"/>
      <c r="B36" s="2162"/>
      <c r="C36" s="2162"/>
      <c r="D36" s="2162"/>
      <c r="E36" s="2162"/>
      <c r="F36" s="2162"/>
      <c r="G36" s="2162"/>
      <c r="H36" s="2162"/>
      <c r="I36" s="2162"/>
      <c r="J36" s="2162"/>
      <c r="K36" s="2162"/>
      <c r="L36" s="2295"/>
      <c r="M36" s="2162"/>
      <c r="N36" s="2162"/>
      <c r="O36" s="2162"/>
      <c r="S36" s="2550"/>
      <c r="T36" s="2550"/>
      <c r="U36" s="2886"/>
      <c r="V36" s="2550"/>
      <c r="W36" s="2550"/>
      <c r="X36" s="2550"/>
      <c r="Y36" s="2550"/>
      <c r="Z36" s="2550"/>
      <c r="AA36" s="2550"/>
      <c r="AB36" s="2550"/>
      <c r="AC36" s="2557" t="s">
        <v>418</v>
      </c>
      <c r="AD36" s="2550"/>
      <c r="AE36" s="2550"/>
      <c r="AF36" s="2550"/>
      <c r="AG36" s="2550"/>
      <c r="AH36" s="2550"/>
      <c r="AI36" s="2550"/>
      <c r="AJ36" s="2550"/>
      <c r="AK36" s="2557" t="s">
        <v>418</v>
      </c>
      <c r="AN36" s="1280"/>
      <c r="AO36" s="1280"/>
      <c r="AP36" s="1280"/>
      <c r="AQ36" s="1280"/>
      <c r="AR36" s="1280"/>
    </row>
    <row customHeight="1" ht="14.25">
      <c r="Q37" s="1288"/>
      <c r="R37" s="1288"/>
      <c r="S37" s="2190"/>
      <c r="T37" s="1369"/>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49"/>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181"/>
      <c r="B41" s="2181" t="s">
        <v>128</v>
      </c>
      <c r="C41" s="2181" t="s">
        <v>129</v>
      </c>
      <c r="D41" s="2181" t="s">
        <v>130</v>
      </c>
      <c r="E41" s="2225" t="s">
        <v>428</v>
      </c>
      <c r="F41" s="2225" t="s">
        <v>429</v>
      </c>
      <c r="G41" s="2225" t="s">
        <v>430</v>
      </c>
      <c r="H41" s="2225" t="s">
        <v>431</v>
      </c>
      <c r="I41" s="2225" t="s">
        <v>432</v>
      </c>
      <c r="J41" s="2225" t="s">
        <v>433</v>
      </c>
      <c r="K41" s="2225" t="s">
        <v>434</v>
      </c>
      <c r="L41" s="2225" t="s">
        <v>409</v>
      </c>
      <c r="Q41" s="1288"/>
      <c r="R41" s="1288"/>
      <c r="S41" s="3097"/>
      <c r="T41" s="3033"/>
      <c r="U41" s="1214"/>
      <c r="V41" s="3085"/>
      <c r="W41" s="3108"/>
      <c r="X41" s="2854" t="s">
        <v>435</v>
      </c>
      <c r="Y41" s="2854" t="s">
        <v>436</v>
      </c>
      <c r="Z41" s="2854" t="s">
        <v>437</v>
      </c>
      <c r="AA41" s="3094" t="s">
        <v>438</v>
      </c>
      <c r="AB41" s="3095"/>
      <c r="AC41" s="3103"/>
      <c r="AD41" s="3085"/>
      <c r="AE41" s="3108"/>
      <c r="AF41" s="2854" t="s">
        <v>435</v>
      </c>
      <c r="AG41" s="2854" t="s">
        <v>436</v>
      </c>
      <c r="AH41" s="2854" t="s">
        <v>437</v>
      </c>
      <c r="AI41" s="3094" t="s">
        <v>438</v>
      </c>
      <c r="AJ41" s="3095"/>
      <c r="AK41" s="3103"/>
      <c r="AL41" s="3106"/>
      <c r="AM41" s="2953"/>
    </row>
    <row s="40252" customFormat="1" customHeight="1" ht="11.25" hidden="1">
      <c r="A42" s="2181"/>
      <c r="B42" s="2181"/>
      <c r="C42" s="2181"/>
      <c r="D42" s="2181"/>
      <c r="E42" s="2181"/>
      <c r="F42" s="2181"/>
      <c r="G42" s="2181"/>
      <c r="H42" s="2181"/>
      <c r="I42" s="2181"/>
      <c r="J42" s="2181"/>
      <c r="K42" s="2181"/>
      <c r="L42" s="2225"/>
      <c r="M42" s="2881"/>
      <c r="N42" s="2881"/>
      <c r="O42" s="2881"/>
      <c r="P42" s="2160"/>
      <c r="Q42" s="2161"/>
      <c r="R42" s="2168">
        <v>1</v>
      </c>
      <c r="S42" s="2192" t="s">
        <v>102</v>
      </c>
      <c r="T42" s="2169" t="s">
        <v>103</v>
      </c>
      <c r="U42" s="2159" t="str">
        <f>OFFSET(U42,0,-1)</f>
        <v>2</v>
      </c>
      <c r="V42" s="2872">
        <f>OFFSET(V42,0,-1)+1</f>
        <v>3</v>
      </c>
      <c r="W42" s="2872"/>
      <c r="X42" s="2872">
        <f>OFFSET(X42,0,-1)+1</f>
        <v>1</v>
      </c>
      <c r="Y42" s="2872">
        <f>OFFSET(Y42,0,-1)+1</f>
        <v>2</v>
      </c>
      <c r="Z42" s="2872">
        <f>OFFSET(Z42,0,-1)+1</f>
        <v>3</v>
      </c>
      <c r="AA42" s="3096">
        <f>OFFSET(AA42,0,-1)+1</f>
        <v>4</v>
      </c>
      <c r="AB42" s="3096"/>
      <c r="AC42" s="2872">
        <f>OFFSET(AC42,0,-2)+1</f>
        <v>5</v>
      </c>
      <c r="AD42" s="2872">
        <f>OFFSET(AD42,0,-1)+1</f>
        <v>6</v>
      </c>
      <c r="AE42" s="2872"/>
      <c r="AF42" s="2872">
        <f>OFFSET(AF42,0,-1)+1</f>
        <v>1</v>
      </c>
      <c r="AG42" s="2872">
        <f>OFFSET(AG42,0,-1)+1</f>
        <v>2</v>
      </c>
      <c r="AH42" s="2872">
        <f>OFFSET(AH42,0,-1)+1</f>
        <v>3</v>
      </c>
      <c r="AI42" s="3096">
        <f>OFFSET(AI42,0,-1)+1</f>
        <v>4</v>
      </c>
      <c r="AJ42" s="3096"/>
      <c r="AK42" s="2872">
        <f>OFFSET(AK42,0,-2)+1</f>
        <v>5</v>
      </c>
      <c r="AL42" s="2159">
        <f>OFFSET(AL42,0,-1)</f>
        <v>5</v>
      </c>
      <c r="AM42" s="2872">
        <f>OFFSET(AM42,0,-1)+1</f>
        <v>6</v>
      </c>
      <c r="AN42" s="2551"/>
      <c r="AO42" s="2551"/>
      <c r="AP42" s="2551"/>
      <c r="AQ42" s="2551"/>
      <c r="AR42" s="2551"/>
    </row>
    <row customHeight="1" ht="21">
      <c r="A43" s="2182" t="s">
        <v>203</v>
      </c>
      <c r="B43" s="2182"/>
      <c r="C43" s="2182"/>
      <c r="D43" s="2182"/>
      <c r="E43" s="3113">
        <v>1</v>
      </c>
      <c r="F43" s="2182"/>
      <c r="G43" s="2182"/>
      <c r="H43" s="2182"/>
      <c r="I43" s="2182"/>
      <c r="J43" s="2182"/>
      <c r="K43" s="2182"/>
      <c r="L43" s="2225"/>
      <c r="M43" s="2525"/>
      <c r="N43" s="2525"/>
      <c r="O43" s="2525"/>
      <c r="P43" s="2505"/>
      <c r="Q43" s="1272"/>
      <c r="R43" s="1267"/>
      <c r="S43" s="2874">
        <f>INDEX(PT_DIFFERENTIATION_NUM_NTAR,MATCH(A43,PT_DIFFERENTIATION_NTAR_ID,0))</f>
        <v>0</v>
      </c>
      <c r="T43" s="244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39"/>
      <c r="AP43" s="2539" t="str">
        <f>IF(T43="","",T43)</f>
        <v>Наименование тарифа</v>
      </c>
      <c r="AQ43" s="2539"/>
      <c r="AR43" s="2539"/>
    </row>
    <row customHeight="1" ht="21">
      <c r="A44" s="2182" t="s">
        <v>203</v>
      </c>
      <c r="B44" s="2182" t="s">
        <v>204</v>
      </c>
      <c r="C44" s="2182"/>
      <c r="D44" s="2182"/>
      <c r="E44" s="3114"/>
      <c r="F44" s="3113">
        <v>1</v>
      </c>
      <c r="G44" s="2182"/>
      <c r="H44" s="2182"/>
      <c r="I44" s="2182"/>
      <c r="J44" s="2182"/>
      <c r="K44" s="2182"/>
      <c r="L44" s="2225"/>
      <c r="M44" s="2525"/>
      <c r="N44" s="2525"/>
      <c r="O44" s="2525"/>
      <c r="P44" s="2856"/>
      <c r="Q44" s="1264"/>
      <c r="R44" s="1265"/>
      <c r="S44" s="2874" t="str">
        <f>INDEX(PT_DIFFERENTIATION_NUM_TER,MATCH(B44,PT_DIFFERENTIATION_TER_ID,0))</f>
        <v>.</v>
      </c>
      <c r="T44" s="2437"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2539"/>
      <c r="AP44" s="2539" t="str">
        <f>IF(T44="","",T44)</f>
        <v>Территория действия тарифа</v>
      </c>
      <c r="AQ44" s="2539"/>
      <c r="AR44" s="2539"/>
    </row>
    <row customHeight="1" ht="23.25">
      <c r="A45" s="2182" t="s">
        <v>203</v>
      </c>
      <c r="B45" s="2182" t="s">
        <v>204</v>
      </c>
      <c r="C45" s="2182" t="s">
        <v>205</v>
      </c>
      <c r="D45" s="2182"/>
      <c r="E45" s="3114"/>
      <c r="F45" s="3114"/>
      <c r="G45" s="3113">
        <v>1</v>
      </c>
      <c r="H45" s="2182"/>
      <c r="I45" s="2182"/>
      <c r="J45" s="2182"/>
      <c r="K45" s="2182"/>
      <c r="L45" s="2225"/>
      <c r="M45" s="2525"/>
      <c r="N45" s="2525"/>
      <c r="O45" s="2525"/>
      <c r="P45" s="1266"/>
      <c r="Q45" s="1264"/>
      <c r="R45" s="1265"/>
      <c r="S45" s="2874"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2539"/>
      <c r="AP45" s="2539" t="str">
        <f>IF(T45="","",T45)</f>
        <v>Наименование системы теплоснабжения </v>
      </c>
      <c r="AQ45" s="2539"/>
      <c r="AR45" s="2539"/>
    </row>
    <row customHeight="1" ht="21">
      <c r="A46" s="2182" t="s">
        <v>203</v>
      </c>
      <c r="B46" s="2182" t="s">
        <v>204</v>
      </c>
      <c r="C46" s="2182" t="s">
        <v>205</v>
      </c>
      <c r="D46" s="2182" t="s">
        <v>206</v>
      </c>
      <c r="E46" s="3114"/>
      <c r="F46" s="3114"/>
      <c r="G46" s="3114"/>
      <c r="H46" s="3113">
        <v>1</v>
      </c>
      <c r="I46" s="2182"/>
      <c r="J46" s="2182"/>
      <c r="K46" s="2182"/>
      <c r="L46" s="2225"/>
      <c r="M46" s="2525"/>
      <c r="N46" s="2525"/>
      <c r="O46" s="2525"/>
      <c r="P46" s="1266"/>
      <c r="Q46" s="1264"/>
      <c r="R46" s="1265"/>
      <c r="S46" s="2874"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2539"/>
      <c r="AP46" s="2539" t="str">
        <f>IF(T46="","",T46)</f>
        <v>Источник тепловой энергии  </v>
      </c>
      <c r="AQ46" s="2539"/>
      <c r="AR46" s="2539"/>
    </row>
    <row customHeight="1" ht="47.25">
      <c r="A47" s="2182" t="s">
        <v>203</v>
      </c>
      <c r="B47" s="2182" t="s">
        <v>204</v>
      </c>
      <c r="C47" s="2182" t="s">
        <v>205</v>
      </c>
      <c r="D47" s="2182" t="s">
        <v>206</v>
      </c>
      <c r="E47" s="3114"/>
      <c r="F47" s="3114"/>
      <c r="G47" s="3114"/>
      <c r="H47" s="3114"/>
      <c r="I47" s="2953" t="str">
        <f>S46&amp;".1"</f>
        <v>....1</v>
      </c>
      <c r="J47" s="2182"/>
      <c r="K47" s="2182"/>
      <c r="L47" s="2225" t="s">
        <v>394</v>
      </c>
      <c r="P47" s="3081">
        <v>1</v>
      </c>
      <c r="Q47" s="2870"/>
      <c r="R47" s="1268"/>
      <c r="S47" s="2874"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2539"/>
      <c r="AP47" s="2539" t="str">
        <f>IF(T47="","",T47)</f>
        <v>Схема подключения теплопотребляющей установки к коллектору источника тепловой энергии</v>
      </c>
      <c r="AQ47" s="2539"/>
      <c r="AR47" s="2539"/>
    </row>
    <row customHeight="1" ht="21">
      <c r="A48" s="2182" t="s">
        <v>203</v>
      </c>
      <c r="B48" s="2182" t="s">
        <v>204</v>
      </c>
      <c r="C48" s="2182" t="s">
        <v>205</v>
      </c>
      <c r="D48" s="2182" t="s">
        <v>206</v>
      </c>
      <c r="E48" s="3114"/>
      <c r="F48" s="3114"/>
      <c r="G48" s="3114"/>
      <c r="H48" s="3114"/>
      <c r="I48" s="2927"/>
      <c r="J48" s="2953" t="str">
        <f>I47&amp;".1"</f>
        <v>....1.1</v>
      </c>
      <c r="K48" s="2182"/>
      <c r="L48" s="2225" t="s">
        <v>397</v>
      </c>
      <c r="P48" s="3081"/>
      <c r="Q48" s="3081">
        <v>1</v>
      </c>
      <c r="R48" s="1269"/>
      <c r="S48" s="2874"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2539"/>
      <c r="AP48" s="2539" t="str">
        <f>IF(T48="","",T48)</f>
        <v>Группа потребителей</v>
      </c>
      <c r="AQ48" s="2539"/>
      <c r="AR48" s="2539"/>
    </row>
    <row customHeight="1" ht="21">
      <c r="A49" s="2182" t="s">
        <v>203</v>
      </c>
      <c r="B49" s="2182" t="s">
        <v>204</v>
      </c>
      <c r="C49" s="2182" t="s">
        <v>205</v>
      </c>
      <c r="D49" s="2182" t="s">
        <v>206</v>
      </c>
      <c r="E49" s="3114"/>
      <c r="F49" s="3114"/>
      <c r="G49" s="3114"/>
      <c r="H49" s="3114"/>
      <c r="I49" s="2927"/>
      <c r="J49" s="2927"/>
      <c r="K49" s="2953" t="str">
        <f>J48&amp;".1"</f>
        <v>....1.1.1</v>
      </c>
      <c r="L49" s="2225" t="s">
        <v>400</v>
      </c>
      <c r="P49" s="3081"/>
      <c r="Q49" s="3081"/>
      <c r="R49" s="1269">
        <v>1</v>
      </c>
      <c r="S49" s="2874"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2551">
        <f>STRCHECKDATE(V50:AL50)</f>
      </c>
      <c r="AO49" s="2539"/>
      <c r="AP49" s="2539" t="str">
        <f>IF(T49="","",T49)</f>
        <v/>
      </c>
      <c r="AQ49" s="2539"/>
      <c r="AR49" s="2539"/>
    </row>
    <row customHeight="1" ht="0.75">
      <c r="A50" s="2182" t="s">
        <v>203</v>
      </c>
      <c r="B50" s="2182" t="s">
        <v>204</v>
      </c>
      <c r="C50" s="2182" t="s">
        <v>205</v>
      </c>
      <c r="D50" s="2182" t="s">
        <v>206</v>
      </c>
      <c r="E50" s="3114"/>
      <c r="F50" s="3114"/>
      <c r="G50" s="3114"/>
      <c r="H50" s="3114"/>
      <c r="I50" s="2927"/>
      <c r="J50" s="2927"/>
      <c r="K50" s="2953"/>
      <c r="L50" s="2225"/>
      <c r="P50" s="3081"/>
      <c r="Q50" s="3081"/>
      <c r="R50" s="1269"/>
      <c r="S50" s="2883"/>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2539"/>
      <c r="AP50" s="2539" t="str">
        <f>IF(T50="","",T50)</f>
        <v/>
      </c>
      <c r="AQ50" s="2539"/>
      <c r="AR50" s="2539"/>
    </row>
    <row customHeight="1" ht="11.25">
      <c r="A51" s="2182" t="s">
        <v>203</v>
      </c>
      <c r="B51" s="2182" t="s">
        <v>204</v>
      </c>
      <c r="C51" s="2182" t="s">
        <v>205</v>
      </c>
      <c r="D51" s="2182" t="s">
        <v>206</v>
      </c>
      <c r="E51" s="3114"/>
      <c r="F51" s="3114"/>
      <c r="G51" s="3114"/>
      <c r="H51" s="3114"/>
      <c r="I51" s="2927"/>
      <c r="J51" s="2953"/>
      <c r="K51" s="2182"/>
      <c r="L51" s="2225"/>
      <c r="P51" s="3081"/>
      <c r="Q51" s="3081"/>
      <c r="R51" s="1268"/>
      <c r="S51" s="2193"/>
      <c r="T51" s="1200" t="s">
        <v>402</v>
      </c>
      <c r="U51" s="1512"/>
      <c r="V51" s="1512"/>
      <c r="W51" s="1512"/>
      <c r="X51" s="1512"/>
      <c r="Y51" s="1512"/>
      <c r="Z51" s="1512"/>
      <c r="AA51" s="1512"/>
      <c r="AB51" s="1512"/>
      <c r="AC51" s="1512"/>
      <c r="AD51" s="1512"/>
      <c r="AE51" s="1512"/>
      <c r="AF51" s="1512"/>
      <c r="AG51" s="1512"/>
      <c r="AH51" s="1512"/>
      <c r="AI51" s="1512"/>
      <c r="AJ51" s="1512"/>
      <c r="AK51" s="1512"/>
      <c r="AL51" s="1236"/>
      <c r="AM51" s="3079"/>
      <c r="AO51" s="2539"/>
      <c r="AP51" s="2539" t="str">
        <f>IF(T51="","",T51)</f>
        <v>Добавить вид теплоносителя (параметры теплоносителя)</v>
      </c>
      <c r="AQ51" s="2539"/>
      <c r="AR51" s="2539"/>
    </row>
    <row customHeight="1" ht="11.25">
      <c r="A52" s="2182" t="s">
        <v>203</v>
      </c>
      <c r="B52" s="2182" t="s">
        <v>204</v>
      </c>
      <c r="C52" s="2182" t="s">
        <v>205</v>
      </c>
      <c r="D52" s="2182" t="s">
        <v>206</v>
      </c>
      <c r="E52" s="3114"/>
      <c r="F52" s="3114"/>
      <c r="G52" s="3114"/>
      <c r="H52" s="3114"/>
      <c r="I52" s="2953"/>
      <c r="J52" s="2182"/>
      <c r="K52" s="2182"/>
      <c r="L52" s="2225"/>
      <c r="P52" s="3081"/>
      <c r="Q52" s="2870"/>
      <c r="R52" s="1268"/>
      <c r="S52" s="2193"/>
      <c r="T52" s="1199" t="s">
        <v>403</v>
      </c>
      <c r="U52" s="1512"/>
      <c r="V52" s="1512"/>
      <c r="W52" s="1512"/>
      <c r="X52" s="1512"/>
      <c r="Y52" s="1512"/>
      <c r="Z52" s="1512"/>
      <c r="AA52" s="1512"/>
      <c r="AB52" s="1512"/>
      <c r="AC52" s="1278"/>
      <c r="AD52" s="1512"/>
      <c r="AE52" s="1512"/>
      <c r="AF52" s="1512"/>
      <c r="AG52" s="1512"/>
      <c r="AH52" s="1512"/>
      <c r="AI52" s="1512"/>
      <c r="AJ52" s="1512"/>
      <c r="AK52" s="1278"/>
      <c r="AL52" s="1512"/>
      <c r="AM52" s="1215"/>
      <c r="AO52" s="2539"/>
      <c r="AP52" s="2539" t="str">
        <f>IF(T52="","",T52)</f>
        <v>Добавить группу потребителей</v>
      </c>
      <c r="AQ52" s="2539"/>
      <c r="AR52" s="2539"/>
    </row>
    <row customHeight="1" ht="14.25">
      <c r="A53" s="2182" t="s">
        <v>203</v>
      </c>
      <c r="B53" s="2182" t="s">
        <v>204</v>
      </c>
      <c r="C53" s="2182" t="s">
        <v>205</v>
      </c>
      <c r="D53" s="2182" t="s">
        <v>206</v>
      </c>
      <c r="E53" s="3114"/>
      <c r="F53" s="3114"/>
      <c r="G53" s="3114"/>
      <c r="H53" s="3113"/>
      <c r="I53" s="2182"/>
      <c r="J53" s="2182"/>
      <c r="K53" s="2182"/>
      <c r="L53" s="2225"/>
      <c r="M53" s="2525"/>
      <c r="N53" s="2525"/>
      <c r="O53" s="2550"/>
      <c r="P53" s="1272"/>
      <c r="Q53" s="1287"/>
      <c r="R53" s="1267"/>
      <c r="S53" s="2193"/>
      <c r="T53" s="1277" t="s">
        <v>404</v>
      </c>
      <c r="U53" s="1512"/>
      <c r="V53" s="1512"/>
      <c r="W53" s="1512"/>
      <c r="X53" s="1512"/>
      <c r="Y53" s="1512"/>
      <c r="Z53" s="1512"/>
      <c r="AA53" s="1512"/>
      <c r="AB53" s="1512"/>
      <c r="AC53" s="1278"/>
      <c r="AD53" s="1512"/>
      <c r="AE53" s="1512"/>
      <c r="AF53" s="1512"/>
      <c r="AG53" s="1512"/>
      <c r="AH53" s="1512"/>
      <c r="AI53" s="1512"/>
      <c r="AJ53" s="1512"/>
      <c r="AK53" s="1278"/>
      <c r="AL53" s="1512"/>
      <c r="AM53" s="1215"/>
      <c r="AO53" s="2539"/>
      <c r="AP53" s="2539" t="str">
        <f>IF(T53="","",T53)</f>
        <v>Добавить схему подключения</v>
      </c>
      <c r="AQ53" s="2539"/>
      <c r="AR53" s="2539"/>
    </row>
    <row s="40235" customFormat="1" customHeight="1" ht="0.75">
      <c r="A54" s="2182" t="s">
        <v>203</v>
      </c>
      <c r="B54" s="2182" t="s">
        <v>204</v>
      </c>
      <c r="C54" s="2182" t="s">
        <v>205</v>
      </c>
      <c r="D54" s="2891"/>
      <c r="E54" s="3114"/>
      <c r="F54" s="3114"/>
      <c r="G54" s="3113"/>
      <c r="H54" s="2891"/>
      <c r="I54" s="2891"/>
      <c r="J54" s="2891"/>
      <c r="K54" s="2891"/>
      <c r="L54" s="2295"/>
      <c r="M54" s="2525"/>
      <c r="N54" s="2525"/>
      <c r="O54" s="255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2165"/>
      <c r="AP54" s="2165" t="str">
        <f>IF(T54="","",T54)</f>
        <v>Добавить источник для дифференциации</v>
      </c>
      <c r="AQ54" s="2165"/>
      <c r="AR54" s="2165"/>
    </row>
    <row s="40235" customFormat="1" customHeight="1" ht="0.75">
      <c r="A55" s="2182" t="s">
        <v>203</v>
      </c>
      <c r="B55" s="2182" t="s">
        <v>204</v>
      </c>
      <c r="C55" s="2891"/>
      <c r="D55" s="2891"/>
      <c r="E55" s="3114"/>
      <c r="F55" s="3113"/>
      <c r="G55" s="2891"/>
      <c r="H55" s="2891"/>
      <c r="I55" s="2891"/>
      <c r="J55" s="2891"/>
      <c r="K55" s="2891"/>
      <c r="L55" s="2295"/>
      <c r="M55" s="2892"/>
      <c r="N55" s="2892"/>
      <c r="O55" s="2550"/>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2165"/>
      <c r="AP55" s="2165" t="str">
        <f>IF(T55="","",T55)</f>
        <v>Добавить централизованную систему для дифференциации</v>
      </c>
      <c r="AQ55" s="2165"/>
      <c r="AR55" s="2165"/>
    </row>
    <row s="40255" customFormat="1" customHeight="1" ht="0.75">
      <c r="A56" s="2182" t="s">
        <v>203</v>
      </c>
      <c r="B56" s="2182"/>
      <c r="C56" s="2182"/>
      <c r="D56" s="2182"/>
      <c r="E56" s="3113"/>
      <c r="F56" s="2182"/>
      <c r="G56" s="2182"/>
      <c r="H56" s="2182"/>
      <c r="I56" s="2182"/>
      <c r="J56" s="2182"/>
      <c r="K56" s="2182"/>
      <c r="L56" s="2225"/>
      <c r="M56" s="2892"/>
      <c r="N56" s="2892"/>
      <c r="O56" s="255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2539"/>
      <c r="AP56" s="2539" t="str">
        <f>IF(T56="","",T56)</f>
        <v>Добавить территорию для дифференциации</v>
      </c>
      <c r="AQ56" s="2539"/>
      <c r="AR56" s="2539"/>
    </row>
    <row s="40235" customFormat="1" customHeight="1" ht="0.75">
      <c r="A57" s="2891"/>
      <c r="B57" s="2891"/>
      <c r="C57" s="2891"/>
      <c r="D57" s="2891"/>
      <c r="E57" s="2182"/>
      <c r="F57" s="2891"/>
      <c r="G57" s="2891"/>
      <c r="H57" s="2891"/>
      <c r="I57" s="2891"/>
      <c r="J57" s="2891"/>
      <c r="K57" s="2891"/>
      <c r="L57" s="2295"/>
      <c r="M57" s="2892"/>
      <c r="N57" s="2892"/>
      <c r="O57" s="2550"/>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2165"/>
      <c r="AP57" s="2165" t="str">
        <f>IF(T57="","",T57)</f>
        <v>Добавить наименование тарифа</v>
      </c>
      <c r="AQ57" s="2165"/>
      <c r="AR57" s="2165"/>
    </row>
    <row customHeight="1" ht="11.25">
      <c r="M58" s="2546"/>
      <c r="N58" s="2546"/>
      <c r="O58" s="2550"/>
      <c r="P58" s="2546"/>
      <c r="Q58" s="2546"/>
      <c r="R58" s="2546"/>
      <c r="S58" s="2546"/>
      <c r="AN58" s="2546"/>
      <c r="AO58" s="2546"/>
      <c r="AP58" s="2546"/>
      <c r="AQ58" s="2546"/>
      <c r="AR58" s="2546"/>
    </row>
    <row customHeight="1" ht="27">
      <c r="O59" s="2550"/>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2550"/>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2550"/>
    </row>
    <row customHeight="1" ht="18">
      <c r="O62" s="2550"/>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2550"/>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2550"/>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0DD727-BF44-1599-BFDC-BF25359E5849}"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23" width="3.7109375" customWidth="1"/>
    <col min="17" max="18" style="40213" width="3.7109375" customWidth="1"/>
    <col min="19" max="19" style="40214" width="12.7109375" customWidth="1"/>
    <col min="20" max="20" style="40215" width="32.00390625" customWidth="1"/>
    <col min="21" max="21" style="40215" width="0.7109375" hidden="1" customWidth="1"/>
    <col min="22" max="22" style="40215" width="1.7109375" hidden="1" customWidth="1"/>
    <col min="23" max="23" style="40215" width="24.7109375" hidden="1" customWidth="1"/>
    <col min="24" max="25" style="40215" width="0.14062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0.140625" customWidth="1"/>
    <col min="31" max="31" style="40215" width="24.7109375" customWidth="1"/>
    <col min="32" max="33" style="40215" width="0.14062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46"/>
      <c r="R6" s="1268"/>
      <c r="S6" s="2251">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237"/>
      <c r="W8" s="1663"/>
      <c r="X8" s="1237"/>
      <c r="Y8" s="1296"/>
      <c r="Z8" s="3089"/>
      <c r="AA8" s="2933" t="s">
        <v>62</v>
      </c>
      <c r="AB8" s="3089"/>
      <c r="AC8" s="2933" t="s">
        <v>62</v>
      </c>
      <c r="AD8" s="1237"/>
      <c r="AE8" s="1663"/>
      <c r="AF8" s="1237"/>
      <c r="AG8" s="1296"/>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0110"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33.7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27.7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115"/>
      <c r="Y39" s="3115"/>
      <c r="Z39" s="3099"/>
      <c r="AA39" s="3099"/>
      <c r="AB39" s="3100"/>
      <c r="AC39" s="3101" t="s">
        <v>421</v>
      </c>
      <c r="AD39" s="3098" t="s">
        <v>420</v>
      </c>
      <c r="AE39" s="3099"/>
      <c r="AF39" s="3115"/>
      <c r="AG39" s="3115"/>
      <c r="AH39" s="3099"/>
      <c r="AI39" s="3099"/>
      <c r="AJ39" s="3100"/>
      <c r="AK39" s="3101" t="s">
        <v>422</v>
      </c>
      <c r="AL39" s="3104" t="s">
        <v>423</v>
      </c>
      <c r="AM39" s="2953"/>
    </row>
    <row customHeight="1" ht="23.25">
      <c r="Q40" s="1288"/>
      <c r="R40" s="1288"/>
      <c r="S40" s="3097"/>
      <c r="T40" s="3033"/>
      <c r="U40" s="1944"/>
      <c r="V40" s="3116" t="s">
        <v>424</v>
      </c>
      <c r="W40" s="3118" t="s">
        <v>425</v>
      </c>
      <c r="X40" s="2291" t="s">
        <v>426</v>
      </c>
      <c r="Y40" s="2291"/>
      <c r="Z40" s="3093" t="s">
        <v>427</v>
      </c>
      <c r="AA40" s="3093"/>
      <c r="AB40" s="3087"/>
      <c r="AC40" s="3102"/>
      <c r="AD40" s="3116" t="s">
        <v>424</v>
      </c>
      <c r="AE40" s="3118" t="s">
        <v>425</v>
      </c>
      <c r="AF40" s="2291" t="s">
        <v>426</v>
      </c>
      <c r="AG40" s="2291"/>
      <c r="AH40" s="3093" t="s">
        <v>427</v>
      </c>
      <c r="AI40" s="3093"/>
      <c r="AJ40" s="3087"/>
      <c r="AK40" s="3102"/>
      <c r="AL40" s="3105"/>
      <c r="AM40" s="2953"/>
    </row>
    <row s="40267" customFormat="1" customHeight="1" ht="23.2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M41" s="2277"/>
      <c r="N41" s="2277"/>
      <c r="O41" s="2277"/>
      <c r="P41" s="2243"/>
      <c r="Q41" s="1288"/>
      <c r="R41" s="1288"/>
      <c r="S41" s="3097"/>
      <c r="T41" s="3033"/>
      <c r="U41" s="1214"/>
      <c r="V41" s="3117"/>
      <c r="W41" s="3119"/>
      <c r="X41" s="2288" t="s">
        <v>435</v>
      </c>
      <c r="Y41" s="2288" t="s">
        <v>436</v>
      </c>
      <c r="Z41" s="2249" t="s">
        <v>437</v>
      </c>
      <c r="AA41" s="3094" t="s">
        <v>438</v>
      </c>
      <c r="AB41" s="3095"/>
      <c r="AC41" s="3103"/>
      <c r="AD41" s="3117"/>
      <c r="AE41" s="3119"/>
      <c r="AF41" s="2288" t="s">
        <v>435</v>
      </c>
      <c r="AG41" s="2288" t="s">
        <v>436</v>
      </c>
      <c r="AH41" s="2249" t="s">
        <v>437</v>
      </c>
      <c r="AI41" s="3094" t="s">
        <v>438</v>
      </c>
      <c r="AJ41" s="3095"/>
      <c r="AK41" s="3103"/>
      <c r="AL41" s="3106"/>
      <c r="AM41" s="2953"/>
      <c r="AN41" s="1423"/>
      <c r="AO41" s="1412"/>
      <c r="AP41" s="1412"/>
      <c r="AQ41" s="1412"/>
      <c r="AR41" s="1412"/>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6">
        <f>OFFSET(X42,0,-1)+1</f>
        <v>1</v>
      </c>
      <c r="Y42" s="2256">
        <f>OFFSET(Y42,0,-1)+1</f>
        <v>2</v>
      </c>
      <c r="Z42" s="2250">
        <f>OFFSET(Z42,0,-1)+1</f>
        <v>3</v>
      </c>
      <c r="AA42" s="3096">
        <f>OFFSET(AA42,0,-1)+1</f>
        <v>4</v>
      </c>
      <c r="AB42" s="3096"/>
      <c r="AC42" s="2250">
        <f>OFFSET(AC42,0,-2)+1</f>
        <v>5</v>
      </c>
      <c r="AD42" s="2250">
        <f>OFFSET(AD42,0,-1)+1</f>
        <v>6</v>
      </c>
      <c r="AE42" s="2250"/>
      <c r="AF42" s="2256">
        <f>OFFSET(AF42,0,-1)+1</f>
        <v>1</v>
      </c>
      <c r="AG42" s="2256">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185</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185</v>
      </c>
      <c r="B44" s="2278" t="s">
        <v>186</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185</v>
      </c>
      <c r="B45" s="2278" t="s">
        <v>186</v>
      </c>
      <c r="C45" s="2278" t="s">
        <v>187</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185</v>
      </c>
      <c r="B46" s="2278" t="s">
        <v>186</v>
      </c>
      <c r="C46" s="2278" t="s">
        <v>187</v>
      </c>
      <c r="D46" s="2278" t="s">
        <v>188</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185</v>
      </c>
      <c r="B47" s="2278" t="s">
        <v>186</v>
      </c>
      <c r="C47" s="2278" t="s">
        <v>187</v>
      </c>
      <c r="D47" s="2278" t="s">
        <v>188</v>
      </c>
      <c r="E47" s="3083"/>
      <c r="F47" s="3083"/>
      <c r="G47" s="3083"/>
      <c r="H47" s="3083"/>
      <c r="I47" s="3080" t="str">
        <f>S46&amp;".1"</f>
        <v>....1</v>
      </c>
      <c r="J47" s="2278"/>
      <c r="K47" s="2278"/>
      <c r="L47" s="2279" t="s">
        <v>394</v>
      </c>
      <c r="P47" s="3081">
        <v>1</v>
      </c>
      <c r="Q47" s="2246"/>
      <c r="R47" s="1268"/>
      <c r="S47" s="2251"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78" t="s">
        <v>185</v>
      </c>
      <c r="B48" s="2278" t="s">
        <v>186</v>
      </c>
      <c r="C48" s="2278" t="s">
        <v>187</v>
      </c>
      <c r="D48" s="2278" t="s">
        <v>188</v>
      </c>
      <c r="E48" s="3083"/>
      <c r="F48" s="3083"/>
      <c r="G48" s="3083"/>
      <c r="H48" s="3083"/>
      <c r="I48" s="3110"/>
      <c r="J48" s="3080" t="str">
        <f>I47&amp;".1"</f>
        <v>....1.1</v>
      </c>
      <c r="K48" s="2278"/>
      <c r="L48" s="2279" t="s">
        <v>397</v>
      </c>
      <c r="P48" s="3081"/>
      <c r="Q48" s="3081">
        <v>1</v>
      </c>
      <c r="R48" s="1269"/>
      <c r="S48" s="2251"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185</v>
      </c>
      <c r="B49" s="2278" t="s">
        <v>186</v>
      </c>
      <c r="C49" s="2278" t="s">
        <v>187</v>
      </c>
      <c r="D49" s="2278" t="s">
        <v>188</v>
      </c>
      <c r="E49" s="3083"/>
      <c r="F49" s="3083"/>
      <c r="G49" s="3083"/>
      <c r="H49" s="3083"/>
      <c r="I49" s="3110"/>
      <c r="J49" s="3110"/>
      <c r="K49" s="3080" t="str">
        <f>J48&amp;".1"</f>
        <v>....1.1.1</v>
      </c>
      <c r="L49" s="2279" t="s">
        <v>400</v>
      </c>
      <c r="P49" s="3081"/>
      <c r="Q49" s="3081"/>
      <c r="R49" s="1269">
        <v>1</v>
      </c>
      <c r="S49" s="2251" t="str">
        <f>$K49</f>
        <v>....1.1.1</v>
      </c>
      <c r="T49" s="2262"/>
      <c r="U49" s="1212"/>
      <c r="V49" s="1237"/>
      <c r="W49" s="1663"/>
      <c r="X49" s="1237"/>
      <c r="Y49" s="1296"/>
      <c r="Z49" s="3089"/>
      <c r="AA49" s="2933" t="s">
        <v>62</v>
      </c>
      <c r="AB49" s="3089"/>
      <c r="AC49" s="2933" t="s">
        <v>62</v>
      </c>
      <c r="AD49" s="1237"/>
      <c r="AE49" s="1663"/>
      <c r="AF49" s="1237"/>
      <c r="AG49" s="1296"/>
      <c r="AH49" s="3089"/>
      <c r="AI49" s="2933" t="s">
        <v>62</v>
      </c>
      <c r="AJ49" s="3111"/>
      <c r="AK49" s="2933" t="s">
        <v>62</v>
      </c>
      <c r="AL49" s="2263"/>
      <c r="AM49" s="3077" t="s">
        <v>401</v>
      </c>
      <c r="AN49" s="1423">
        <f>STRCHECKDATE(V50:AL50)</f>
      </c>
      <c r="AO49" s="1412"/>
      <c r="AP49" s="1412" t="str">
        <f>IF(T49="","",T49)</f>
        <v/>
      </c>
      <c r="AQ49" s="1412"/>
      <c r="AR49" s="1412"/>
    </row>
    <row customHeight="1" ht="0.75">
      <c r="A50" s="2278" t="s">
        <v>185</v>
      </c>
      <c r="B50" s="2278" t="s">
        <v>186</v>
      </c>
      <c r="C50" s="2278" t="s">
        <v>187</v>
      </c>
      <c r="D50" s="2278" t="s">
        <v>188</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185</v>
      </c>
      <c r="B51" s="2278" t="s">
        <v>186</v>
      </c>
      <c r="C51" s="2278" t="s">
        <v>187</v>
      </c>
      <c r="D51" s="2278" t="s">
        <v>188</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185</v>
      </c>
      <c r="B52" s="2278" t="s">
        <v>186</v>
      </c>
      <c r="C52" s="2278" t="s">
        <v>187</v>
      </c>
      <c r="D52" s="2278" t="s">
        <v>188</v>
      </c>
      <c r="E52" s="3083"/>
      <c r="F52" s="3083"/>
      <c r="G52" s="3083"/>
      <c r="H52" s="3083"/>
      <c r="I52" s="3080"/>
      <c r="J52" s="2278"/>
      <c r="K52" s="2278"/>
      <c r="L52" s="2279"/>
      <c r="P52" s="3081"/>
      <c r="Q52" s="2246"/>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185</v>
      </c>
      <c r="B53" s="2278" t="s">
        <v>186</v>
      </c>
      <c r="C53" s="2278" t="s">
        <v>187</v>
      </c>
      <c r="D53" s="2278" t="s">
        <v>188</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0110" customFormat="1" customHeight="1" ht="0.75">
      <c r="A54" s="2258" t="s">
        <v>185</v>
      </c>
      <c r="B54" s="2258" t="s">
        <v>186</v>
      </c>
      <c r="C54" s="2258" t="s">
        <v>187</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75">
      <c r="A55" s="2258" t="s">
        <v>185</v>
      </c>
      <c r="B55" s="2258" t="s">
        <v>186</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75">
      <c r="A56" s="2258" t="s">
        <v>185</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7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38.2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9000ED-B7C1-C1EB-3B95-A5140A3E36D9}"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23" width="3.7109375" hidden="1" customWidth="1"/>
    <col min="17" max="18" style="40213" width="3.7109375" customWidth="1"/>
    <col min="19" max="19" style="40214" width="12.7109375" customWidth="1"/>
    <col min="20" max="20" style="40215" width="32.00390625" customWidth="1"/>
    <col min="21" max="21" style="40215" width="0.140625" customWidth="1"/>
    <col min="22" max="22" style="40215" width="24.7109375" hidden="1" customWidth="1"/>
    <col min="23" max="23" style="40215" width="0.140625" hidden="1" customWidth="1"/>
    <col min="24" max="25" style="40215" width="24.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24.7109375" customWidth="1"/>
    <col min="31" max="31" style="40215" width="0.140625" customWidth="1"/>
    <col min="32" max="33" style="40215" width="24.710937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40110"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0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161</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161</v>
      </c>
      <c r="B44" s="2278" t="s">
        <v>162</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161</v>
      </c>
      <c r="B45" s="2278" t="s">
        <v>162</v>
      </c>
      <c r="C45" s="2278" t="s">
        <v>163</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161</v>
      </c>
      <c r="B46" s="2278" t="s">
        <v>162</v>
      </c>
      <c r="C46" s="2278" t="s">
        <v>163</v>
      </c>
      <c r="D46" s="2278" t="s">
        <v>164</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40202" customFormat="1" customHeight="1" ht="0">
      <c r="A47" s="2258" t="s">
        <v>161</v>
      </c>
      <c r="B47" s="2258" t="s">
        <v>162</v>
      </c>
      <c r="C47" s="2258" t="s">
        <v>163</v>
      </c>
      <c r="D47" s="2258" t="s">
        <v>164</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161</v>
      </c>
      <c r="B48" s="2278" t="s">
        <v>162</v>
      </c>
      <c r="C48" s="2278" t="s">
        <v>163</v>
      </c>
      <c r="D48" s="2278" t="s">
        <v>164</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161</v>
      </c>
      <c r="B49" s="2278" t="s">
        <v>162</v>
      </c>
      <c r="C49" s="2278" t="s">
        <v>163</v>
      </c>
      <c r="D49" s="2278" t="s">
        <v>164</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75">
      <c r="A50" s="2278" t="s">
        <v>161</v>
      </c>
      <c r="B50" s="2278" t="s">
        <v>162</v>
      </c>
      <c r="C50" s="2278" t="s">
        <v>163</v>
      </c>
      <c r="D50" s="2278" t="s">
        <v>164</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161</v>
      </c>
      <c r="B51" s="2278" t="s">
        <v>162</v>
      </c>
      <c r="C51" s="2278" t="s">
        <v>163</v>
      </c>
      <c r="D51" s="2278" t="s">
        <v>164</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161</v>
      </c>
      <c r="B52" s="2278" t="s">
        <v>162</v>
      </c>
      <c r="C52" s="2278" t="s">
        <v>163</v>
      </c>
      <c r="D52" s="2278" t="s">
        <v>164</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161</v>
      </c>
      <c r="B53" s="2278" t="s">
        <v>162</v>
      </c>
      <c r="C53" s="2278" t="s">
        <v>163</v>
      </c>
      <c r="D53" s="2278" t="s">
        <v>164</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40110" customFormat="1" customHeight="1" ht="0.75">
      <c r="A54" s="2258" t="s">
        <v>161</v>
      </c>
      <c r="B54" s="2258" t="s">
        <v>162</v>
      </c>
      <c r="C54" s="2258" t="s">
        <v>163</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75">
      <c r="A55" s="2258" t="s">
        <v>161</v>
      </c>
      <c r="B55" s="2258" t="s">
        <v>162</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75">
      <c r="A56" s="2258" t="s">
        <v>161</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8.7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27.7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39.7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9.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33.7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5BDEE1-5C3C-999E-16D3-7EE09F1A7B46}"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23" width="3.7109375" hidden="1" customWidth="1"/>
    <col min="17" max="18" style="40213" width="3.7109375" customWidth="1"/>
    <col min="19" max="19" style="40214" width="12.7109375" customWidth="1"/>
    <col min="20" max="20" style="40215" width="32.00390625" customWidth="1"/>
    <col min="21" max="21" style="40215" width="0.140625" customWidth="1"/>
    <col min="22" max="22" style="40215" width="24.7109375" hidden="1" customWidth="1"/>
    <col min="23" max="23" style="40215" width="0.140625" hidden="1" customWidth="1"/>
    <col min="24" max="25" style="40215" width="24.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24.7109375" customWidth="1"/>
    <col min="31" max="31" style="40215" width="0.140625" customWidth="1"/>
    <col min="32" max="33" style="40215" width="24.710937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A1" s="2787"/>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14.2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1.2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40110" customFormat="1" customHeight="1" ht="14.2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14.2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14.2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75">
      <c r="Q26" s="1288"/>
      <c r="R26" s="1288"/>
      <c r="S26" s="3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24"/>
      <c r="U26" s="3124"/>
      <c r="V26" s="3124"/>
      <c r="W26" s="3124"/>
      <c r="X26" s="3124"/>
      <c r="Y26" s="3124"/>
      <c r="Z26" s="3124"/>
      <c r="AA26" s="3124"/>
      <c r="AB26" s="3124"/>
      <c r="AC26" s="3124"/>
      <c r="AD26" s="3124"/>
      <c r="AE26" s="3124"/>
      <c r="AF26" s="3124"/>
      <c r="AG26" s="3124"/>
      <c r="AH26" s="3124"/>
      <c r="AI26" s="3124"/>
      <c r="AJ26" s="3124"/>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173</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173</v>
      </c>
      <c r="B44" s="2278" t="s">
        <v>174</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173</v>
      </c>
      <c r="B45" s="2278" t="s">
        <v>174</v>
      </c>
      <c r="C45" s="2278" t="s">
        <v>175</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173</v>
      </c>
      <c r="B46" s="2278" t="s">
        <v>174</v>
      </c>
      <c r="C46" s="2278" t="s">
        <v>175</v>
      </c>
      <c r="D46" s="2278" t="s">
        <v>176</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40202" customFormat="1" customHeight="1" ht="0">
      <c r="A47" s="2258" t="s">
        <v>173</v>
      </c>
      <c r="B47" s="2258" t="s">
        <v>174</v>
      </c>
      <c r="C47" s="2258" t="s">
        <v>175</v>
      </c>
      <c r="D47" s="2258" t="s">
        <v>176</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173</v>
      </c>
      <c r="B48" s="2278" t="s">
        <v>174</v>
      </c>
      <c r="C48" s="2278" t="s">
        <v>175</v>
      </c>
      <c r="D48" s="2278" t="s">
        <v>176</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173</v>
      </c>
      <c r="B49" s="2278" t="s">
        <v>174</v>
      </c>
      <c r="C49" s="2278" t="s">
        <v>175</v>
      </c>
      <c r="D49" s="2278" t="s">
        <v>176</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75">
      <c r="A50" s="2278" t="s">
        <v>173</v>
      </c>
      <c r="B50" s="2278" t="s">
        <v>174</v>
      </c>
      <c r="C50" s="2278" t="s">
        <v>175</v>
      </c>
      <c r="D50" s="2278" t="s">
        <v>176</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173</v>
      </c>
      <c r="B51" s="2278" t="s">
        <v>174</v>
      </c>
      <c r="C51" s="2278" t="s">
        <v>175</v>
      </c>
      <c r="D51" s="2278" t="s">
        <v>176</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173</v>
      </c>
      <c r="B52" s="2278" t="s">
        <v>174</v>
      </c>
      <c r="C52" s="2278" t="s">
        <v>175</v>
      </c>
      <c r="D52" s="2278" t="s">
        <v>176</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173</v>
      </c>
      <c r="B53" s="2278" t="s">
        <v>174</v>
      </c>
      <c r="C53" s="2278" t="s">
        <v>175</v>
      </c>
      <c r="D53" s="2278" t="s">
        <v>176</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40110" customFormat="1" customHeight="1" ht="0.75">
      <c r="A54" s="2258" t="s">
        <v>173</v>
      </c>
      <c r="B54" s="2258" t="s">
        <v>174</v>
      </c>
      <c r="C54" s="2258" t="s">
        <v>175</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75">
      <c r="A55" s="2258" t="s">
        <v>173</v>
      </c>
      <c r="B55" s="2258" t="s">
        <v>174</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75">
      <c r="A56" s="2258" t="s">
        <v>173</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1.7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29.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39.7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9.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33.7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C38107-24F9-66EC-3F34-C77FFE5D3C4F}"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210" width="19.140625" hidden="1" customWidth="1"/>
    <col min="13" max="14" style="40211" width="12.28125" hidden="1" customWidth="1"/>
    <col min="15" max="15" style="40211" width="23.421875" hidden="1" customWidth="1"/>
    <col min="16" max="16" style="40223" width="3.7109375" hidden="1" customWidth="1"/>
    <col min="17" max="18" style="40213" width="3.7109375" customWidth="1"/>
    <col min="19" max="19" style="40214" width="12.7109375" customWidth="1"/>
    <col min="20" max="20" style="40215" width="32.00390625" customWidth="1"/>
    <col min="21" max="21" style="40215" width="0.140625" customWidth="1"/>
    <col min="22" max="22" style="40215" width="24.7109375" hidden="1" customWidth="1"/>
    <col min="23" max="23" style="40215" width="0.140625" hidden="1" customWidth="1"/>
    <col min="24" max="25" style="40215" width="24.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0" style="40215" width="24.7109375" customWidth="1"/>
    <col min="31" max="31" style="40215" width="0.140625" customWidth="1"/>
    <col min="32" max="33" style="40215" width="24.7109375" customWidth="1"/>
    <col min="34" max="34" style="40215" width="11.7109375" customWidth="1"/>
    <col min="35" max="35" style="40215" width="3.7109375" customWidth="1"/>
    <col min="36" max="36" style="40215" width="11.7109375" customWidth="1"/>
    <col min="37" max="37" style="40215" width="8.57421875" hidden="1" customWidth="1"/>
    <col min="38" max="38" style="40215" width="4.7109375" customWidth="1"/>
    <col min="39" max="39" style="40215" width="115.7109375" customWidth="1"/>
    <col min="40" max="41" style="40202" width="10.57421875"/>
    <col min="42" max="42" style="40202" width="11.140625" customWidth="1"/>
    <col min="43" max="44" style="40202"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14.2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1.2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40110" customFormat="1" customHeight="1" ht="14.2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40110" customFormat="1" customHeight="1" ht="14.2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40110" customFormat="1" customHeight="1" ht="14.2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40129"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40129" customFormat="1" customHeight="1" ht="14.25" hidden="1">
      <c r="L21" s="2244"/>
      <c r="M21" s="2277"/>
      <c r="N21" s="2277"/>
      <c r="O21" s="2277"/>
      <c r="P21" s="2277"/>
      <c r="Q21" s="2286"/>
      <c r="R21" s="2286"/>
      <c r="S21" s="1641"/>
      <c r="AC21" s="2281"/>
      <c r="AK21" s="2281"/>
      <c r="AN21" s="1423"/>
      <c r="AO21" s="1423"/>
      <c r="AP21" s="1423"/>
      <c r="AQ21" s="1423"/>
      <c r="AR21" s="1423"/>
    </row>
    <row s="40129"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0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40143"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40143"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40143"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40143"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40143"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40143" customFormat="1" customHeight="1" ht="25.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40143"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960"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179</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179</v>
      </c>
      <c r="B44" s="2278" t="s">
        <v>180</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179</v>
      </c>
      <c r="B45" s="2278" t="s">
        <v>180</v>
      </c>
      <c r="C45" s="2278" t="s">
        <v>181</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179</v>
      </c>
      <c r="B46" s="2278" t="s">
        <v>180</v>
      </c>
      <c r="C46" s="2278" t="s">
        <v>181</v>
      </c>
      <c r="D46" s="2278" t="s">
        <v>182</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40202" customFormat="1" customHeight="1" ht="0">
      <c r="A47" s="2258" t="s">
        <v>179</v>
      </c>
      <c r="B47" s="2258" t="s">
        <v>180</v>
      </c>
      <c r="C47" s="2258" t="s">
        <v>181</v>
      </c>
      <c r="D47" s="2258" t="s">
        <v>182</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179</v>
      </c>
      <c r="B48" s="2278" t="s">
        <v>180</v>
      </c>
      <c r="C48" s="2278" t="s">
        <v>181</v>
      </c>
      <c r="D48" s="2278" t="s">
        <v>182</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179</v>
      </c>
      <c r="B49" s="2278" t="s">
        <v>180</v>
      </c>
      <c r="C49" s="2278" t="s">
        <v>181</v>
      </c>
      <c r="D49" s="2278" t="s">
        <v>182</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
      <c r="A50" s="2278" t="s">
        <v>179</v>
      </c>
      <c r="B50" s="2278" t="s">
        <v>180</v>
      </c>
      <c r="C50" s="2278" t="s">
        <v>181</v>
      </c>
      <c r="D50" s="2278" t="s">
        <v>182</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179</v>
      </c>
      <c r="B51" s="2278" t="s">
        <v>180</v>
      </c>
      <c r="C51" s="2278" t="s">
        <v>181</v>
      </c>
      <c r="D51" s="2278" t="s">
        <v>182</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179</v>
      </c>
      <c r="B52" s="2278" t="s">
        <v>180</v>
      </c>
      <c r="C52" s="2278" t="s">
        <v>181</v>
      </c>
      <c r="D52" s="2278" t="s">
        <v>182</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179</v>
      </c>
      <c r="B53" s="2278" t="s">
        <v>180</v>
      </c>
      <c r="C53" s="2278" t="s">
        <v>181</v>
      </c>
      <c r="D53" s="2278" t="s">
        <v>182</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40110" customFormat="1" customHeight="1" ht="0">
      <c r="A54" s="2258" t="s">
        <v>179</v>
      </c>
      <c r="B54" s="2258" t="s">
        <v>180</v>
      </c>
      <c r="C54" s="2258" t="s">
        <v>181</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40110" customFormat="1" customHeight="1" ht="0">
      <c r="A55" s="2258" t="s">
        <v>179</v>
      </c>
      <c r="B55" s="2258" t="s">
        <v>180</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40202" customFormat="1" customHeight="1" ht="0">
      <c r="A56" s="2258" t="s">
        <v>179</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40110" customFormat="1" customHeight="1" ht="5.2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4.2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14.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4.2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14.2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14.2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8D6305-4D81-608D-6242-1F6B2FF586D2}"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40215" width="10.57421875" hidden="1"/>
    <col min="2" max="2" style="40215" width="11.00390625" hidden="1" customWidth="1"/>
    <col min="3" max="3" style="40215" width="10.57421875" hidden="1"/>
    <col min="4" max="4" style="40215" width="11.8515625" hidden="1" customWidth="1"/>
    <col min="5" max="5" style="40215" width="10.00390625" hidden="1" customWidth="1"/>
    <col min="6" max="6" style="40215" width="8.7109375" hidden="1" customWidth="1"/>
    <col min="7" max="7" style="40215" width="7.57421875" hidden="1" customWidth="1"/>
    <col min="8" max="8" style="40215" width="11.421875" hidden="1" customWidth="1"/>
    <col min="9" max="9" style="40215" width="12.00390625" hidden="1" customWidth="1"/>
    <col min="10" max="10" style="40215" width="9.8515625" hidden="1" customWidth="1"/>
    <col min="11" max="12" style="40215" width="11.421875" hidden="1" customWidth="1"/>
    <col min="13" max="13" style="40320" width="19.140625" hidden="1" customWidth="1"/>
    <col min="14" max="15" style="40223" width="12.28125" hidden="1" customWidth="1"/>
    <col min="16" max="16" style="40223" width="23.421875" hidden="1" customWidth="1"/>
    <col min="17" max="17" style="40223" width="3.7109375" hidden="1" customWidth="1"/>
    <col min="18" max="20" style="40213" width="3.7109375" customWidth="1"/>
    <col min="21" max="21" style="40214" width="12.7109375" customWidth="1"/>
    <col min="22" max="22" style="40215" width="32.00390625" customWidth="1"/>
    <col min="23" max="23" style="40215" width="0.140625" customWidth="1"/>
    <col min="24" max="28" style="40215" width="21.7109375" hidden="1" customWidth="1"/>
    <col min="29" max="29" style="40215" width="11.7109375" hidden="1" customWidth="1"/>
    <col min="30" max="30" style="40215" width="3.7109375" hidden="1" customWidth="1"/>
    <col min="31" max="31" style="40215" width="11.7109375" hidden="1" customWidth="1"/>
    <col min="32" max="32" style="40215" width="8.57421875" hidden="1" customWidth="1"/>
    <col min="33" max="37" style="40215" width="21.7109375" customWidth="1"/>
    <col min="38" max="38" style="40215" width="11.7109375" customWidth="1"/>
    <col min="39" max="39" style="40215" width="3.7109375" customWidth="1"/>
    <col min="40" max="40" style="40215" width="11.7109375" customWidth="1"/>
    <col min="41" max="41" style="40215" width="8.57421875" customWidth="1"/>
    <col min="42" max="42" style="40215" width="4.7109375" customWidth="1"/>
    <col min="43" max="43" style="40215" width="115.7109375" customWidth="1"/>
    <col min="44" max="45" style="40202" width="10.57421875"/>
    <col min="46" max="46" style="40202" width="11.140625" customWidth="1"/>
    <col min="47" max="48" style="40202" width="10.57421875"/>
  </cols>
  <sheetData>
    <row customHeight="1" ht="14.25" hidden="1">
      <c r="AB1" s="1239"/>
      <c r="AC1" s="1239"/>
      <c r="AK1" s="1239"/>
      <c r="AL1" s="1239"/>
    </row>
    <row customHeight="1" ht="21" hidden="1">
      <c r="A2" s="2182"/>
      <c r="B2" s="2182"/>
      <c r="C2" s="2182"/>
      <c r="D2" s="2182"/>
      <c r="E2" s="3113">
        <v>1</v>
      </c>
      <c r="F2" s="2182"/>
      <c r="G2" s="2182"/>
      <c r="H2" s="2182"/>
      <c r="I2" s="2182"/>
      <c r="J2" s="2182"/>
      <c r="K2" s="2182"/>
      <c r="L2" s="2182"/>
      <c r="M2" s="2225"/>
      <c r="N2" s="1600"/>
      <c r="O2" s="1600"/>
      <c r="P2" s="1600"/>
      <c r="Q2" s="1273"/>
      <c r="R2" s="1272"/>
      <c r="S2" s="1272"/>
      <c r="T2" s="1267"/>
      <c r="U2" s="2251">
        <f>INDEX(PT_DIFFERENTIATION_NUM_NTAR,MATCH(A2,PT_DIFFERENTIATION_NTAR_ID,0))</f>
      </c>
      <c r="V2" s="1210" t="s">
        <v>116</v>
      </c>
      <c r="W2" s="1212"/>
      <c r="X2" s="3066"/>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8"/>
      <c r="AQ2" s="2172" t="s">
        <v>387</v>
      </c>
      <c r="AS2" s="1412"/>
      <c r="AT2" s="1412" t="str">
        <f>IF(V2="","",V2)</f>
        <v>Наименование тарифа</v>
      </c>
      <c r="AU2" s="1412"/>
      <c r="AV2" s="1412"/>
    </row>
    <row customHeight="1" ht="21" hidden="1">
      <c r="A3" s="2182"/>
      <c r="B3" s="2182"/>
      <c r="C3" s="2182"/>
      <c r="D3" s="2182"/>
      <c r="E3" s="3114"/>
      <c r="F3" s="3113">
        <v>1</v>
      </c>
      <c r="G3" s="2182"/>
      <c r="H3" s="2182"/>
      <c r="I3" s="2182"/>
      <c r="J3" s="2182"/>
      <c r="K3" s="2182"/>
      <c r="L3" s="2182"/>
      <c r="M3" s="2225"/>
      <c r="N3" s="1600"/>
      <c r="O3" s="1600"/>
      <c r="P3" s="1600"/>
      <c r="Q3" s="2247"/>
      <c r="R3" s="1264"/>
      <c r="S3" s="1421"/>
      <c r="T3" s="1265"/>
      <c r="U3" s="2251">
        <f>INDEX(PT_DIFFERENTIATION_NUM_TER,MATCH(B3,PT_DIFFERENTIATION_TER_ID,0))</f>
      </c>
      <c r="V3" s="1220" t="s">
        <v>388</v>
      </c>
      <c r="W3" s="1212"/>
      <c r="X3" s="3066"/>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8"/>
      <c r="AQ3" s="2172" t="s">
        <v>389</v>
      </c>
      <c r="AS3" s="1412"/>
      <c r="AT3" s="1412" t="str">
        <f>IF(V3="","",V3)</f>
        <v>Территория действия тарифа</v>
      </c>
      <c r="AU3" s="1412"/>
      <c r="AV3" s="1412"/>
    </row>
    <row customHeight="1" ht="22.5" hidden="1">
      <c r="A4" s="2182"/>
      <c r="B4" s="2182"/>
      <c r="C4" s="2182"/>
      <c r="D4" s="2182"/>
      <c r="E4" s="3114"/>
      <c r="F4" s="3114"/>
      <c r="G4" s="3113">
        <v>1</v>
      </c>
      <c r="H4" s="2182"/>
      <c r="I4" s="2182"/>
      <c r="J4" s="2182"/>
      <c r="K4" s="2182"/>
      <c r="L4" s="2182"/>
      <c r="M4" s="2225"/>
      <c r="N4" s="1600"/>
      <c r="O4" s="1600"/>
      <c r="P4" s="1600"/>
      <c r="Q4" s="1266"/>
      <c r="R4" s="1264"/>
      <c r="S4" s="1421"/>
      <c r="T4" s="1265"/>
      <c r="U4" s="2251">
        <f>INDEX(PT_DIFFERENTIATION_NUM_CS,MATCH(C4,PT_DIFFERENTIATION_CS_ID,0))</f>
      </c>
      <c r="V4" s="1221" t="s">
        <v>390</v>
      </c>
      <c r="W4" s="1212"/>
      <c r="X4" s="3066"/>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8"/>
      <c r="AQ4" s="2172" t="s">
        <v>391</v>
      </c>
      <c r="AS4" s="1412"/>
      <c r="AT4" s="1412" t="str">
        <f>IF(V4="","",V4)</f>
        <v>Наименование системы теплоснабжения </v>
      </c>
      <c r="AU4" s="1412"/>
      <c r="AV4" s="1412"/>
    </row>
    <row customHeight="1" ht="21" hidden="1">
      <c r="A5" s="2182"/>
      <c r="B5" s="2182"/>
      <c r="C5" s="2182"/>
      <c r="D5" s="2182"/>
      <c r="E5" s="3114"/>
      <c r="F5" s="3114"/>
      <c r="G5" s="3114"/>
      <c r="H5" s="3113">
        <v>1</v>
      </c>
      <c r="I5" s="2182"/>
      <c r="J5" s="2182"/>
      <c r="K5" s="2182"/>
      <c r="L5" s="2182"/>
      <c r="M5" s="2225"/>
      <c r="N5" s="1600"/>
      <c r="O5" s="1600"/>
      <c r="P5" s="1600"/>
      <c r="Q5" s="1266"/>
      <c r="R5" s="1264"/>
      <c r="S5" s="1421"/>
      <c r="T5" s="1265"/>
      <c r="U5" s="2251">
        <f>INDEX(PT_DIFFERENTIATION_NUM_IST_TE,MATCH(D5,PT_DIFFERENTIATION_IST_TE_ID,0))</f>
      </c>
      <c r="V5" s="1222" t="s">
        <v>392</v>
      </c>
      <c r="W5" s="1212"/>
      <c r="X5" s="3066"/>
      <c r="Y5" s="3067"/>
      <c r="Z5" s="3067"/>
      <c r="AA5" s="3067"/>
      <c r="AB5" s="3067"/>
      <c r="AC5" s="3067"/>
      <c r="AD5" s="3067"/>
      <c r="AE5" s="3067"/>
      <c r="AF5" s="3068"/>
      <c r="AG5" s="3066">
        <f>INDEX(PT_DIFFERENTIATION_IST_TE,MATCH(D5,PT_DIFFERENTIATION_IST_TE_ID,0))</f>
      </c>
      <c r="AH5" s="3067"/>
      <c r="AI5" s="3067"/>
      <c r="AJ5" s="3067"/>
      <c r="AK5" s="3067"/>
      <c r="AL5" s="3067"/>
      <c r="AM5" s="3067"/>
      <c r="AN5" s="3067"/>
      <c r="AO5" s="3067"/>
      <c r="AP5" s="3068"/>
      <c r="AQ5" s="2172" t="s">
        <v>393</v>
      </c>
      <c r="AS5" s="1412"/>
      <c r="AT5" s="1412" t="str">
        <f>IF(V5="","",V5)</f>
        <v>Источник тепловой энергии  </v>
      </c>
      <c r="AU5" s="1412"/>
      <c r="AV5" s="1412"/>
    </row>
    <row customHeight="1" ht="14.25" hidden="1">
      <c r="A6" s="2182"/>
      <c r="B6" s="2182"/>
      <c r="C6" s="2182"/>
      <c r="D6" s="2182"/>
      <c r="E6" s="3114"/>
      <c r="F6" s="3114"/>
      <c r="G6" s="3114"/>
      <c r="H6" s="3114"/>
      <c r="I6" s="2953">
        <f>U5&amp;".1"</f>
      </c>
      <c r="J6" s="2182"/>
      <c r="K6" s="2182"/>
      <c r="L6" s="2182"/>
      <c r="M6" s="2225" t="s">
        <v>394</v>
      </c>
      <c r="N6" s="1421"/>
      <c r="Q6" s="3081">
        <v>1</v>
      </c>
      <c r="R6" s="2246"/>
      <c r="S6" s="2246"/>
      <c r="T6" s="1268"/>
      <c r="U6" s="1955"/>
      <c r="V6" s="2298"/>
      <c r="W6" s="2299"/>
      <c r="X6" s="3120"/>
      <c r="Y6" s="3121"/>
      <c r="Z6" s="3121"/>
      <c r="AA6" s="3121"/>
      <c r="AB6" s="3121"/>
      <c r="AC6" s="3121"/>
      <c r="AD6" s="3121"/>
      <c r="AE6" s="3121"/>
      <c r="AF6" s="3122"/>
      <c r="AG6" s="3120"/>
      <c r="AH6" s="3121"/>
      <c r="AI6" s="3121"/>
      <c r="AJ6" s="3121"/>
      <c r="AK6" s="3121"/>
      <c r="AL6" s="3121"/>
      <c r="AM6" s="3121"/>
      <c r="AN6" s="3121"/>
      <c r="AO6" s="3121"/>
      <c r="AP6" s="3122"/>
      <c r="AQ6" s="2300"/>
      <c r="AS6" s="1412"/>
      <c r="AT6" s="1412" t="str">
        <f>IF(V6="","",V6)</f>
        <v/>
      </c>
      <c r="AU6" s="1412"/>
      <c r="AV6" s="1412"/>
    </row>
    <row customHeight="1" ht="21" hidden="1">
      <c r="A7" s="2182"/>
      <c r="B7" s="2182"/>
      <c r="C7" s="2182"/>
      <c r="D7" s="2182"/>
      <c r="E7" s="3114"/>
      <c r="F7" s="3114"/>
      <c r="G7" s="3114"/>
      <c r="H7" s="3114"/>
      <c r="I7" s="2927"/>
      <c r="J7" s="2953">
        <f>I6&amp;".1"</f>
      </c>
      <c r="K7" s="2182"/>
      <c r="L7" s="2182"/>
      <c r="M7" s="2225" t="s">
        <v>397</v>
      </c>
      <c r="N7" s="1421"/>
      <c r="O7" s="1239"/>
      <c r="Q7" s="3081"/>
      <c r="R7" s="3081">
        <v>1</v>
      </c>
      <c r="S7" s="1430"/>
      <c r="T7" s="1269"/>
      <c r="U7" s="2251">
        <f>$J7</f>
      </c>
      <c r="V7" s="1198" t="s">
        <v>398</v>
      </c>
      <c r="W7" s="1212"/>
      <c r="X7" s="3069"/>
      <c r="Y7" s="3070"/>
      <c r="Z7" s="3070"/>
      <c r="AA7" s="3070"/>
      <c r="AB7" s="3070"/>
      <c r="AC7" s="3059"/>
      <c r="AD7" s="3059"/>
      <c r="AE7" s="3059"/>
      <c r="AF7" s="3125"/>
      <c r="AG7" s="3069"/>
      <c r="AH7" s="3070"/>
      <c r="AI7" s="3070"/>
      <c r="AJ7" s="3070"/>
      <c r="AK7" s="3070"/>
      <c r="AL7" s="3070"/>
      <c r="AM7" s="3070"/>
      <c r="AN7" s="3070"/>
      <c r="AO7" s="3070"/>
      <c r="AP7" s="3071"/>
      <c r="AQ7" s="2172" t="s">
        <v>399</v>
      </c>
      <c r="AS7" s="1412"/>
      <c r="AT7" s="1412" t="str">
        <f>IF(V7="","",V7)</f>
        <v>Группа потребителей</v>
      </c>
      <c r="AU7" s="1412"/>
      <c r="AV7" s="1412"/>
    </row>
    <row customHeight="1" ht="21" hidden="1">
      <c r="A8" s="2182"/>
      <c r="B8" s="2182"/>
      <c r="C8" s="2182"/>
      <c r="D8" s="2182"/>
      <c r="E8" s="3114"/>
      <c r="F8" s="3114"/>
      <c r="G8" s="3114"/>
      <c r="H8" s="3114"/>
      <c r="I8" s="2927"/>
      <c r="J8" s="2927"/>
      <c r="K8" s="2953">
        <f>J7&amp;".1"</f>
      </c>
      <c r="L8" s="1052"/>
      <c r="M8" s="2225" t="s">
        <v>400</v>
      </c>
      <c r="N8" s="1421"/>
      <c r="O8" s="1239"/>
      <c r="P8" s="1239"/>
      <c r="Q8" s="3081"/>
      <c r="R8" s="3081"/>
      <c r="S8" s="3081">
        <v>1</v>
      </c>
      <c r="T8" s="1269"/>
      <c r="U8" s="2251">
        <f>$K8</f>
      </c>
      <c r="V8" s="2262"/>
      <c r="W8" s="1212"/>
      <c r="X8" s="1663"/>
      <c r="Y8" s="1663"/>
      <c r="Z8" s="1663"/>
      <c r="AA8" s="1663"/>
      <c r="AB8" s="2320"/>
      <c r="AC8" s="3089"/>
      <c r="AD8" s="2933" t="s">
        <v>62</v>
      </c>
      <c r="AE8" s="3089"/>
      <c r="AF8" s="2933" t="s">
        <v>62</v>
      </c>
      <c r="AG8" s="2322"/>
      <c r="AH8" s="1663"/>
      <c r="AI8" s="1663"/>
      <c r="AJ8" s="1663"/>
      <c r="AK8" s="2171"/>
      <c r="AL8" s="3089"/>
      <c r="AM8" s="2933" t="s">
        <v>62</v>
      </c>
      <c r="AN8" s="3089"/>
      <c r="AO8" s="2933" t="s">
        <v>62</v>
      </c>
      <c r="AP8" s="1237"/>
      <c r="AQ8" s="2222" t="s">
        <v>443</v>
      </c>
      <c r="AR8" s="1423">
        <f>STRCHECKDATE(X10:AP10)</f>
      </c>
      <c r="AS8" s="1412"/>
      <c r="AT8" s="1412" t="str">
        <f>IF(V8="","",V8)</f>
        <v/>
      </c>
      <c r="AU8" s="1412"/>
      <c r="AV8" s="1412"/>
    </row>
    <row customHeight="1" ht="21" hidden="1">
      <c r="A9" s="2182"/>
      <c r="B9" s="2182"/>
      <c r="C9" s="2182"/>
      <c r="D9" s="2182"/>
      <c r="E9" s="3114"/>
      <c r="F9" s="3114"/>
      <c r="G9" s="3114"/>
      <c r="H9" s="3114"/>
      <c r="I9" s="2927"/>
      <c r="J9" s="2927"/>
      <c r="K9" s="2927"/>
      <c r="L9" s="2953">
        <f>K8&amp;".1"</f>
      </c>
      <c r="M9" s="2225"/>
      <c r="N9" s="1421"/>
      <c r="O9" s="1239"/>
      <c r="P9" s="1239"/>
      <c r="Q9" s="3081"/>
      <c r="R9" s="3081"/>
      <c r="S9" s="3081"/>
      <c r="T9" s="1269"/>
      <c r="U9" s="2251">
        <f>$L9</f>
      </c>
      <c r="V9" s="2306"/>
      <c r="W9" s="1212"/>
      <c r="X9" s="1237"/>
      <c r="Y9" s="1663"/>
      <c r="Z9" s="1663"/>
      <c r="AA9" s="1663"/>
      <c r="AB9" s="2320"/>
      <c r="AC9" s="3126"/>
      <c r="AD9" s="2933"/>
      <c r="AE9" s="3126"/>
      <c r="AF9" s="2933"/>
      <c r="AG9" s="2322"/>
      <c r="AH9" s="1663"/>
      <c r="AI9" s="1663"/>
      <c r="AJ9" s="1663"/>
      <c r="AK9" s="2171"/>
      <c r="AL9" s="3126"/>
      <c r="AM9" s="2933"/>
      <c r="AN9" s="3126"/>
      <c r="AO9" s="2933"/>
      <c r="AP9" s="1237"/>
      <c r="AQ9" s="3077" t="s">
        <v>444</v>
      </c>
      <c r="AS9" s="1412"/>
      <c r="AT9" s="1412"/>
      <c r="AU9" s="1412"/>
      <c r="AV9" s="1412"/>
    </row>
    <row customHeight="1" ht="14.25" hidden="1">
      <c r="A10" s="2182"/>
      <c r="B10" s="2182"/>
      <c r="C10" s="2182"/>
      <c r="D10" s="2182"/>
      <c r="E10" s="3114"/>
      <c r="F10" s="3114"/>
      <c r="G10" s="3114"/>
      <c r="H10" s="3114"/>
      <c r="I10" s="2927"/>
      <c r="J10" s="2927"/>
      <c r="K10" s="2927"/>
      <c r="L10" s="2953"/>
      <c r="M10" s="2225"/>
      <c r="N10" s="1421"/>
      <c r="O10" s="1239"/>
      <c r="P10" s="1239"/>
      <c r="Q10" s="3081"/>
      <c r="R10" s="3081"/>
      <c r="S10" s="3081"/>
      <c r="T10" s="1269"/>
      <c r="U10" s="2257"/>
      <c r="V10" s="1212"/>
      <c r="W10" s="1212"/>
      <c r="X10" s="1237"/>
      <c r="Y10" s="1237"/>
      <c r="Z10" s="1237"/>
      <c r="AA10" s="1237"/>
      <c r="AB10" s="2321" t="str">
        <f>AC8&amp;"-"&amp;AE8</f>
        <v>-</v>
      </c>
      <c r="AC10" s="3126"/>
      <c r="AD10" s="2933"/>
      <c r="AE10" s="3126"/>
      <c r="AF10" s="2933"/>
      <c r="AG10" s="2297"/>
      <c r="AH10" s="1237"/>
      <c r="AI10" s="1237"/>
      <c r="AJ10" s="1237"/>
      <c r="AK10" s="1240" t="str">
        <f>AL8&amp;"-"&amp;AN8</f>
        <v>-</v>
      </c>
      <c r="AL10" s="3126"/>
      <c r="AM10" s="2933"/>
      <c r="AN10" s="3126"/>
      <c r="AO10" s="2933"/>
      <c r="AP10" s="1237"/>
      <c r="AQ10" s="3078"/>
      <c r="AS10" s="1412"/>
      <c r="AT10" s="1412" t="str">
        <f>IF(V10="","",V10)</f>
        <v/>
      </c>
      <c r="AU10" s="1412"/>
      <c r="AV10" s="1412"/>
    </row>
    <row customHeight="1" ht="11.25" hidden="1">
      <c r="A11" s="2182"/>
      <c r="B11" s="2182"/>
      <c r="C11" s="2182"/>
      <c r="D11" s="2182"/>
      <c r="E11" s="3114"/>
      <c r="F11" s="3114"/>
      <c r="G11" s="3114"/>
      <c r="H11" s="3114"/>
      <c r="I11" s="2927"/>
      <c r="J11" s="2927"/>
      <c r="K11" s="2953"/>
      <c r="L11" s="2182"/>
      <c r="M11" s="2225"/>
      <c r="N11" s="1421"/>
      <c r="O11" s="1239"/>
      <c r="P11" s="1239"/>
      <c r="Q11" s="3081"/>
      <c r="R11" s="3081"/>
      <c r="S11" s="3081"/>
      <c r="T11" s="1269"/>
      <c r="U11" s="2193"/>
      <c r="V11" s="1200" t="s">
        <v>445</v>
      </c>
      <c r="W11" s="2307"/>
      <c r="X11" s="2308"/>
      <c r="Y11" s="2308"/>
      <c r="Z11" s="2308"/>
      <c r="AA11" s="2308"/>
      <c r="AB11" s="2309"/>
      <c r="AC11" s="3126"/>
      <c r="AD11" s="2933"/>
      <c r="AE11" s="3126"/>
      <c r="AF11" s="2933"/>
      <c r="AG11" s="2308"/>
      <c r="AH11" s="2308"/>
      <c r="AI11" s="2308"/>
      <c r="AJ11" s="2308"/>
      <c r="AK11" s="2309"/>
      <c r="AL11" s="3126"/>
      <c r="AM11" s="2933"/>
      <c r="AN11" s="3126"/>
      <c r="AO11" s="2933"/>
      <c r="AP11" s="2310"/>
      <c r="AQ11" s="3078"/>
      <c r="AS11" s="1412"/>
      <c r="AT11" s="1412"/>
      <c r="AU11" s="1412"/>
      <c r="AV11" s="1412"/>
    </row>
    <row customHeight="1" ht="15" hidden="1">
      <c r="A12" s="2182"/>
      <c r="B12" s="2182"/>
      <c r="C12" s="2182"/>
      <c r="D12" s="2182"/>
      <c r="E12" s="3114"/>
      <c r="F12" s="3114"/>
      <c r="G12" s="3114"/>
      <c r="H12" s="3114"/>
      <c r="I12" s="2927"/>
      <c r="J12" s="2953"/>
      <c r="K12" s="2182"/>
      <c r="L12" s="2182"/>
      <c r="M12" s="2225"/>
      <c r="N12" s="1421"/>
      <c r="O12" s="1239"/>
      <c r="Q12" s="3081"/>
      <c r="R12" s="3081"/>
      <c r="S12" s="2246"/>
      <c r="T12" s="1268"/>
      <c r="U12" s="2193"/>
      <c r="V12" s="1199" t="s">
        <v>402</v>
      </c>
      <c r="W12" s="1279"/>
      <c r="X12" s="1279"/>
      <c r="Y12" s="1279"/>
      <c r="Z12" s="1279"/>
      <c r="AA12" s="1279"/>
      <c r="AB12" s="1279"/>
      <c r="AC12" s="2323"/>
      <c r="AD12" s="2323"/>
      <c r="AE12" s="2323"/>
      <c r="AF12" s="2323"/>
      <c r="AG12" s="1279"/>
      <c r="AH12" s="1279"/>
      <c r="AI12" s="1279"/>
      <c r="AJ12" s="1279"/>
      <c r="AK12" s="1279"/>
      <c r="AL12" s="1279"/>
      <c r="AM12" s="1279"/>
      <c r="AN12" s="1279"/>
      <c r="AO12" s="1279"/>
      <c r="AP12" s="1236"/>
      <c r="AQ12" s="3079"/>
      <c r="AS12" s="1412"/>
      <c r="AT12" s="1412" t="str">
        <f>IF(V12="","",V12)</f>
        <v>Добавить вид теплоносителя (параметры теплоносителя)</v>
      </c>
      <c r="AU12" s="1412"/>
      <c r="AV12" s="1412"/>
    </row>
    <row customHeight="1" ht="11.25" hidden="1">
      <c r="A13" s="2182"/>
      <c r="B13" s="2182"/>
      <c r="C13" s="2182"/>
      <c r="D13" s="2182"/>
      <c r="E13" s="3114"/>
      <c r="F13" s="3114"/>
      <c r="G13" s="3114"/>
      <c r="H13" s="3114"/>
      <c r="I13" s="2953"/>
      <c r="J13" s="2182"/>
      <c r="K13" s="2182"/>
      <c r="L13" s="2182"/>
      <c r="M13" s="2225"/>
      <c r="N13" s="1421"/>
      <c r="Q13" s="3081"/>
      <c r="R13" s="2246"/>
      <c r="S13" s="2246"/>
      <c r="T13" s="1268"/>
      <c r="U13" s="2193"/>
      <c r="V13" s="1277" t="s">
        <v>403</v>
      </c>
      <c r="W13" s="1279"/>
      <c r="X13" s="1279"/>
      <c r="Y13" s="1279"/>
      <c r="Z13" s="1279"/>
      <c r="AA13" s="1279"/>
      <c r="AB13" s="1279"/>
      <c r="AC13" s="1279"/>
      <c r="AD13" s="1279"/>
      <c r="AE13" s="1279"/>
      <c r="AF13" s="1278"/>
      <c r="AG13" s="1279"/>
      <c r="AH13" s="1279"/>
      <c r="AI13" s="1279"/>
      <c r="AJ13" s="1279"/>
      <c r="AK13" s="1279"/>
      <c r="AL13" s="1279"/>
      <c r="AM13" s="1279"/>
      <c r="AN13" s="1279"/>
      <c r="AO13" s="1278"/>
      <c r="AP13" s="1279"/>
      <c r="AQ13" s="1215"/>
      <c r="AS13" s="1412"/>
      <c r="AT13" s="1412" t="str">
        <f>IF(V13="","",V13)</f>
        <v>Добавить группу потребителей</v>
      </c>
      <c r="AU13" s="1412"/>
      <c r="AV13" s="1412"/>
    </row>
    <row customHeight="1" ht="14.25" hidden="1">
      <c r="A14" s="2182"/>
      <c r="B14" s="2182"/>
      <c r="C14" s="2182"/>
      <c r="D14" s="2182"/>
      <c r="E14" s="3114"/>
      <c r="F14" s="3114"/>
      <c r="G14" s="3114"/>
      <c r="H14" s="3113"/>
      <c r="I14" s="2182"/>
      <c r="J14" s="2182"/>
      <c r="K14" s="2182"/>
      <c r="L14" s="2182"/>
      <c r="M14" s="2225"/>
      <c r="N14" s="1600"/>
      <c r="O14" s="1600"/>
      <c r="P14" s="1421"/>
      <c r="Q14" s="1272"/>
      <c r="R14" s="1287"/>
      <c r="S14" s="1267"/>
      <c r="T14" s="1272"/>
      <c r="U14" s="2301"/>
      <c r="V14" s="2302"/>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4"/>
      <c r="AS14" s="1412"/>
      <c r="AT14" s="1412" t="str">
        <f>IF(V14="","",V14)</f>
        <v/>
      </c>
      <c r="AU14" s="1412"/>
      <c r="AV14" s="1412"/>
    </row>
    <row s="40110" customFormat="1" customHeight="1" ht="14.25" hidden="1">
      <c r="A15" s="2289"/>
      <c r="B15" s="2289"/>
      <c r="C15" s="2289"/>
      <c r="D15" s="2289"/>
      <c r="E15" s="3114"/>
      <c r="F15" s="3114"/>
      <c r="G15" s="3113"/>
      <c r="H15" s="2289"/>
      <c r="I15" s="2289"/>
      <c r="J15" s="2289"/>
      <c r="K15" s="2289"/>
      <c r="L15" s="2289"/>
      <c r="M15" s="2292"/>
      <c r="N15" s="2293"/>
      <c r="O15" s="2293"/>
      <c r="P15" s="1263"/>
      <c r="Q15" s="2231"/>
      <c r="R15" s="2232"/>
      <c r="S15" s="2231"/>
      <c r="T15" s="2231"/>
      <c r="U15" s="2233"/>
      <c r="V15" s="2234" t="s">
        <v>405</v>
      </c>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S15" s="1701"/>
      <c r="AT15" s="1701" t="str">
        <f>IF(V15="","",V15)</f>
        <v>Добавить источник для дифференциации</v>
      </c>
      <c r="AU15" s="1701"/>
      <c r="AV15" s="1701"/>
    </row>
    <row s="40110" customFormat="1" customHeight="1" ht="14.25" hidden="1">
      <c r="A16" s="2289"/>
      <c r="B16" s="2289"/>
      <c r="C16" s="2289"/>
      <c r="D16" s="2289"/>
      <c r="E16" s="3114"/>
      <c r="F16" s="3113"/>
      <c r="G16" s="2289"/>
      <c r="H16" s="2289"/>
      <c r="I16" s="2289"/>
      <c r="J16" s="2289"/>
      <c r="K16" s="2289"/>
      <c r="L16" s="2289"/>
      <c r="M16" s="2292"/>
      <c r="N16" s="2294"/>
      <c r="O16" s="2294"/>
      <c r="P16" s="1263"/>
      <c r="Q16" s="2231"/>
      <c r="R16" s="2232"/>
      <c r="S16" s="2231"/>
      <c r="T16" s="2231"/>
      <c r="U16" s="2237"/>
      <c r="V16" s="2238" t="s">
        <v>406</v>
      </c>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S16" s="1701"/>
      <c r="AT16" s="1701" t="str">
        <f>IF(V16="","",V16)</f>
        <v>Добавить централизованную систему для дифференциации</v>
      </c>
      <c r="AU16" s="1701"/>
      <c r="AV16" s="1701"/>
    </row>
    <row s="40110" customFormat="1" customHeight="1" ht="14.25" hidden="1">
      <c r="A17" s="2289"/>
      <c r="B17" s="2289"/>
      <c r="C17" s="2289"/>
      <c r="D17" s="2289"/>
      <c r="E17" s="3113"/>
      <c r="F17" s="2289"/>
      <c r="G17" s="2289"/>
      <c r="H17" s="2289"/>
      <c r="I17" s="2289"/>
      <c r="J17" s="2289"/>
      <c r="K17" s="2289"/>
      <c r="L17" s="2289"/>
      <c r="M17" s="2292"/>
      <c r="N17" s="2294"/>
      <c r="O17" s="2294"/>
      <c r="P17" s="1263"/>
      <c r="Q17" s="2231"/>
      <c r="R17" s="2232"/>
      <c r="S17" s="2231"/>
      <c r="T17" s="2231"/>
      <c r="U17" s="2237"/>
      <c r="V17" s="2240" t="s">
        <v>407</v>
      </c>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S17" s="1701"/>
      <c r="AT17" s="1701" t="str">
        <f>IF(V17="","",V17)</f>
        <v>Добавить территорию для дифференциации</v>
      </c>
      <c r="AU17" s="1701"/>
      <c r="AV17" s="1701"/>
    </row>
    <row customHeight="1" ht="14.25" hidden="1">
      <c r="AF18" s="1239"/>
      <c r="AO18" s="1239"/>
    </row>
    <row customHeight="1" ht="14.25" hidden="1">
      <c r="AG19" s="2275"/>
      <c r="AH19" s="2275"/>
      <c r="AI19" s="2275"/>
      <c r="AJ19" s="2275"/>
      <c r="AK19" s="2276"/>
      <c r="AL19" s="3091"/>
      <c r="AM19" s="3092" t="s">
        <v>62</v>
      </c>
      <c r="AN19" s="3091"/>
      <c r="AO19" s="3092" t="s">
        <v>62</v>
      </c>
    </row>
    <row customHeight="1" ht="14.25" hidden="1">
      <c r="AG20" s="2275"/>
      <c r="AH20" s="2275"/>
      <c r="AI20" s="2275"/>
      <c r="AJ20" s="2275"/>
      <c r="AK20" s="2276"/>
      <c r="AL20" s="3091"/>
      <c r="AM20" s="3092"/>
      <c r="AN20" s="3091"/>
      <c r="AO20" s="3092"/>
    </row>
    <row customHeight="1" ht="14.25" hidden="1">
      <c r="AG21" s="2275"/>
      <c r="AH21" s="2275"/>
      <c r="AI21" s="2275"/>
      <c r="AJ21" s="2275"/>
      <c r="AK21" s="2276"/>
      <c r="AL21" s="3091"/>
      <c r="AM21" s="3092"/>
      <c r="AN21" s="3091"/>
      <c r="AO21" s="3092"/>
    </row>
    <row customHeight="1" ht="14.25" hidden="1">
      <c r="AG22" s="2275"/>
      <c r="AH22" s="2275"/>
      <c r="AI22" s="2275"/>
      <c r="AJ22" s="2275"/>
      <c r="AK22" s="1240" t="str">
        <f>AL19&amp;"-"&amp;AN19</f>
        <v>-</v>
      </c>
      <c r="AL22" s="3092"/>
      <c r="AM22" s="3092"/>
      <c r="AN22" s="3092"/>
      <c r="AO22" s="3092"/>
    </row>
    <row customHeight="1" ht="14.25" hidden="1">
      <c r="AO23" s="1239"/>
    </row>
    <row s="40129" customFormat="1" customHeight="1" ht="22.5" hidden="1">
      <c r="A24" s="2069"/>
      <c r="B24" s="2069"/>
      <c r="C24" s="2069"/>
      <c r="D24" s="2069"/>
      <c r="E24" s="2069"/>
      <c r="F24" s="2069"/>
      <c r="G24" s="2069"/>
      <c r="H24" s="2069"/>
      <c r="I24" s="2069"/>
      <c r="J24" s="2069"/>
      <c r="K24" s="2069"/>
      <c r="L24" s="2069"/>
      <c r="M24" s="2242"/>
      <c r="N24" s="2243"/>
      <c r="O24" s="2243"/>
      <c r="P24" s="2260" t="s">
        <v>408</v>
      </c>
      <c r="Q24" s="2277"/>
      <c r="R24" s="2286"/>
      <c r="S24" s="2286"/>
      <c r="T24" s="2286"/>
      <c r="U24" s="1641"/>
      <c r="AC24" s="2282"/>
      <c r="AE24" s="2282"/>
      <c r="AF24" s="2281"/>
      <c r="AL24" s="2282"/>
      <c r="AN24" s="2282"/>
      <c r="AO24" s="2281"/>
      <c r="AR24" s="1423"/>
      <c r="AS24" s="1423"/>
      <c r="AT24" s="1423"/>
      <c r="AU24" s="1423"/>
      <c r="AV24" s="1423"/>
    </row>
    <row s="40129" customFormat="1" customHeight="1" ht="14.25" hidden="1">
      <c r="A25" s="2069"/>
      <c r="B25" s="2069"/>
      <c r="C25" s="2069"/>
      <c r="D25" s="2069"/>
      <c r="E25" s="2069"/>
      <c r="F25" s="2069"/>
      <c r="G25" s="2069"/>
      <c r="H25" s="2069"/>
      <c r="I25" s="2069"/>
      <c r="J25" s="2069"/>
      <c r="K25" s="2069"/>
      <c r="L25" s="2069"/>
      <c r="M25" s="2242"/>
      <c r="N25" s="2243"/>
      <c r="O25" s="2243"/>
      <c r="P25" s="2243"/>
      <c r="Q25" s="2277"/>
      <c r="R25" s="2286"/>
      <c r="S25" s="2286"/>
      <c r="T25" s="2286"/>
      <c r="U25" s="1641"/>
      <c r="AF25" s="2281"/>
      <c r="AO25" s="2281"/>
      <c r="AR25" s="1423"/>
      <c r="AS25" s="1423"/>
      <c r="AT25" s="1423"/>
      <c r="AU25" s="1423"/>
      <c r="AV25" s="1423"/>
    </row>
    <row s="40129" customFormat="1" customHeight="1" ht="14.25" hidden="1">
      <c r="A26" s="2069"/>
      <c r="B26" s="2069"/>
      <c r="C26" s="2069"/>
      <c r="D26" s="2069"/>
      <c r="E26" s="2069"/>
      <c r="F26" s="2069"/>
      <c r="G26" s="2069"/>
      <c r="H26" s="2069"/>
      <c r="I26" s="2069"/>
      <c r="J26" s="2069"/>
      <c r="K26" s="2069"/>
      <c r="L26" s="2069"/>
      <c r="M26" s="2242"/>
      <c r="N26" s="2243"/>
      <c r="O26" s="2243"/>
      <c r="P26" s="2225" t="s">
        <v>409</v>
      </c>
      <c r="Q26" s="2277"/>
      <c r="R26" s="2286"/>
      <c r="S26" s="2286"/>
      <c r="T26" s="2286"/>
      <c r="U26" s="1641"/>
      <c r="V26" s="2074" t="s">
        <v>410</v>
      </c>
      <c r="AD26" s="1098" t="s">
        <v>411</v>
      </c>
      <c r="AF26" s="1098" t="s">
        <v>412</v>
      </c>
      <c r="AG26" s="2074" t="s">
        <v>410</v>
      </c>
      <c r="AM26" s="1098" t="s">
        <v>413</v>
      </c>
      <c r="AO26" s="1098" t="s">
        <v>412</v>
      </c>
      <c r="AR26" s="1423"/>
      <c r="AS26" s="1423"/>
      <c r="AT26" s="1423"/>
      <c r="AU26" s="1423"/>
      <c r="AV26" s="1423"/>
    </row>
    <row customHeight="1" ht="14.25" hidden="1">
      <c r="P27" s="2225"/>
    </row>
    <row customHeight="1" ht="14.25" hidden="1">
      <c r="P28" s="2225"/>
    </row>
    <row customHeight="1" ht="14.25">
      <c r="R29" s="1288"/>
      <c r="S29" s="1288"/>
      <c r="T29" s="1288"/>
      <c r="U29" s="2190"/>
      <c r="V29" s="1275"/>
      <c r="W29" s="1275"/>
      <c r="X29" s="1421"/>
      <c r="Y29" s="1421"/>
      <c r="Z29" s="1421"/>
      <c r="AA29" s="1421"/>
      <c r="AB29" s="1421"/>
      <c r="AC29" s="1421"/>
      <c r="AD29" s="1421"/>
      <c r="AE29" s="1421"/>
      <c r="AF29" s="1421"/>
      <c r="AG29" s="1421"/>
      <c r="AH29" s="1421"/>
      <c r="AI29" s="1421"/>
      <c r="AJ29" s="1421"/>
      <c r="AK29" s="1421"/>
      <c r="AL29" s="1421"/>
      <c r="AM29" s="1421"/>
      <c r="AN29" s="1421"/>
      <c r="AO29" s="1421"/>
    </row>
    <row customHeight="1" ht="54">
      <c r="R30" s="1288"/>
      <c r="S30" s="1288"/>
      <c r="T30" s="1288"/>
      <c r="U30" s="30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72"/>
      <c r="W30" s="3072"/>
      <c r="X30" s="3072"/>
      <c r="Y30" s="3072"/>
      <c r="Z30" s="3072"/>
      <c r="AA30" s="3072"/>
      <c r="AB30" s="3072"/>
      <c r="AC30" s="3072"/>
      <c r="AD30" s="3072"/>
      <c r="AE30" s="3072"/>
      <c r="AF30" s="3072"/>
      <c r="AG30" s="3072"/>
      <c r="AH30" s="3072"/>
      <c r="AI30" s="3072"/>
      <c r="AJ30" s="3072"/>
      <c r="AK30" s="3072"/>
      <c r="AL30" s="3072"/>
      <c r="AM30" s="3072"/>
      <c r="AN30" s="3072"/>
      <c r="AO30" s="2157"/>
    </row>
    <row customHeight="1" ht="14.25">
      <c r="R31" s="1288"/>
      <c r="S31" s="1288"/>
      <c r="T31" s="1288"/>
      <c r="U31" s="3073" t="str">
        <f>IF(org=0,"Не определено",org)</f>
        <v>ПАО "ТГК-1" филиал "Невский"</v>
      </c>
      <c r="V31" s="3073"/>
      <c r="W31" s="3073"/>
      <c r="X31" s="3073"/>
      <c r="Y31" s="3073"/>
      <c r="Z31" s="3073"/>
      <c r="AA31" s="3073"/>
      <c r="AB31" s="3073"/>
      <c r="AC31" s="3073"/>
      <c r="AD31" s="3073"/>
      <c r="AE31" s="3073"/>
      <c r="AF31" s="3073"/>
      <c r="AG31" s="3073"/>
      <c r="AH31" s="3073"/>
      <c r="AI31" s="3073"/>
      <c r="AJ31" s="3073"/>
      <c r="AK31" s="3073"/>
      <c r="AL31" s="3073"/>
      <c r="AM31" s="3073"/>
      <c r="AN31" s="3073"/>
      <c r="AO31" s="2157"/>
    </row>
    <row customHeight="1" ht="14.25" hidden="1">
      <c r="R32" s="1288"/>
      <c r="S32" s="1288"/>
      <c r="T32" s="1288"/>
      <c r="U32" s="2190"/>
      <c r="V32" s="1275"/>
      <c r="W32" s="1275"/>
      <c r="X32" s="1234"/>
      <c r="Y32" s="1234"/>
      <c r="Z32" s="1234"/>
      <c r="AA32" s="1234"/>
      <c r="AB32" s="1234"/>
      <c r="AC32" s="1234"/>
      <c r="AD32" s="1234"/>
      <c r="AE32" s="1234"/>
      <c r="AF32" s="1234"/>
      <c r="AG32" s="1234"/>
      <c r="AH32" s="1234"/>
      <c r="AI32" s="1234"/>
      <c r="AJ32" s="1234"/>
      <c r="AK32" s="1234"/>
      <c r="AL32" s="1234"/>
      <c r="AM32" s="1234"/>
      <c r="AN32" s="1234"/>
      <c r="AO32" s="1234"/>
      <c r="AP32" s="1421"/>
    </row>
    <row s="40143" customFormat="1" customHeight="1" ht="25.5" hidden="1">
      <c r="A33" s="2162"/>
      <c r="B33" s="2162"/>
      <c r="C33" s="2162"/>
      <c r="D33" s="2162"/>
      <c r="E33" s="2162"/>
      <c r="F33" s="2162"/>
      <c r="G33" s="2162"/>
      <c r="H33" s="2162"/>
      <c r="I33" s="2162"/>
      <c r="J33" s="2162"/>
      <c r="K33" s="2162"/>
      <c r="L33" s="2162"/>
      <c r="M33" s="2295"/>
      <c r="N33" s="2162"/>
      <c r="O33" s="2162"/>
      <c r="P33" s="2162"/>
      <c r="U33" s="3074" t="s">
        <v>37</v>
      </c>
      <c r="V33" s="3074"/>
      <c r="W33" s="2287"/>
      <c r="X33" s="3075" t="str">
        <f>IF(TITLE_NAME_OR_PR_CHANGE="",IF(TITLE_NAME_OR_PR="","",TITLE_NAME_OR_PR),TITLE_NAME_OR_PR_CHANGE)</f>
        <v/>
      </c>
      <c r="Y33" s="3075"/>
      <c r="Z33" s="3075"/>
      <c r="AA33" s="3075"/>
      <c r="AB33" s="3075"/>
      <c r="AC33" s="3075"/>
      <c r="AD33" s="3075"/>
      <c r="AE33" s="3075"/>
      <c r="AF33" s="1238"/>
      <c r="AG33" s="3075" t="str">
        <f>IF(TITLE_NAME_OR_PR_CHANGE="",IF(TITLE_NAME_OR_PR="","",TITLE_NAME_OR_PR),TITLE_NAME_OR_PR_CHANGE)</f>
        <v/>
      </c>
      <c r="AH33" s="3075"/>
      <c r="AI33" s="3075"/>
      <c r="AJ33" s="3075"/>
      <c r="AK33" s="3075"/>
      <c r="AL33" s="3075"/>
      <c r="AM33" s="3075"/>
      <c r="AN33" s="3075"/>
      <c r="AO33" s="1238"/>
      <c r="AP33" s="1238"/>
      <c r="AQ33" s="1192"/>
      <c r="AR33" s="1280"/>
      <c r="AS33" s="1280"/>
      <c r="AT33" s="1280"/>
      <c r="AU33" s="1280"/>
      <c r="AV33" s="1280"/>
    </row>
    <row s="40143" customFormat="1" customHeight="1" ht="18.75" hidden="1">
      <c r="A34" s="2162"/>
      <c r="B34" s="2162"/>
      <c r="C34" s="2162"/>
      <c r="D34" s="2162"/>
      <c r="E34" s="2162"/>
      <c r="F34" s="2162"/>
      <c r="G34" s="2162"/>
      <c r="H34" s="2162"/>
      <c r="I34" s="2162"/>
      <c r="J34" s="2162"/>
      <c r="K34" s="2162"/>
      <c r="L34" s="2162"/>
      <c r="M34" s="2295"/>
      <c r="N34" s="2162"/>
      <c r="O34" s="2162"/>
      <c r="P34" s="2162"/>
      <c r="U34" s="3074" t="s">
        <v>414</v>
      </c>
      <c r="V34" s="3074"/>
      <c r="W34" s="2287"/>
      <c r="X34" s="3088" t="str">
        <f>IF(TITLE_DATE_PR_CHANGE="",IF(TITLE_DATE_PR="","",TITLE_DATE_PR),TITLE_DATE_PR_CHANGE)</f>
        <v/>
      </c>
      <c r="Y34" s="3088"/>
      <c r="Z34" s="3088"/>
      <c r="AA34" s="3088"/>
      <c r="AB34" s="3088"/>
      <c r="AC34" s="3088"/>
      <c r="AD34" s="3088"/>
      <c r="AE34" s="3088"/>
      <c r="AF34" s="1238"/>
      <c r="AG34" s="3088" t="str">
        <f>IF(TITLE_DATE_PR_CHANGE="",IF(TITLE_DATE_PR="","",TITLE_DATE_PR),TITLE_DATE_PR_CHANGE)</f>
        <v/>
      </c>
      <c r="AH34" s="3088"/>
      <c r="AI34" s="3088"/>
      <c r="AJ34" s="3088"/>
      <c r="AK34" s="3088"/>
      <c r="AL34" s="3088"/>
      <c r="AM34" s="3088"/>
      <c r="AN34" s="3088"/>
      <c r="AO34" s="1238"/>
      <c r="AP34" s="1238"/>
      <c r="AQ34" s="1192"/>
      <c r="AR34" s="1280"/>
      <c r="AS34" s="1280"/>
      <c r="AT34" s="1280"/>
      <c r="AU34" s="1280"/>
      <c r="AV34" s="1280"/>
    </row>
    <row s="40143" customFormat="1" customHeight="1" ht="18.75" hidden="1">
      <c r="A35" s="2162"/>
      <c r="B35" s="2162"/>
      <c r="C35" s="2162"/>
      <c r="D35" s="2162"/>
      <c r="E35" s="2162"/>
      <c r="F35" s="2162"/>
      <c r="G35" s="2162"/>
      <c r="H35" s="2162"/>
      <c r="I35" s="2162"/>
      <c r="J35" s="2162"/>
      <c r="K35" s="2162"/>
      <c r="L35" s="2162"/>
      <c r="M35" s="2295"/>
      <c r="N35" s="2162"/>
      <c r="O35" s="2162"/>
      <c r="P35" s="2162"/>
      <c r="U35" s="3074" t="s">
        <v>415</v>
      </c>
      <c r="V35" s="3074"/>
      <c r="W35" s="2287"/>
      <c r="X35" s="3075" t="str">
        <f>IF(TITLE_NUMBER_PR_CHANGE="",IF(TITLE_NUMBER_PR="","",TITLE_NUMBER_PR),TITLE_NUMBER_PR_CHANGE)</f>
        <v/>
      </c>
      <c r="Y35" s="3075"/>
      <c r="Z35" s="3075"/>
      <c r="AA35" s="3075"/>
      <c r="AB35" s="3075"/>
      <c r="AC35" s="3075"/>
      <c r="AD35" s="3075"/>
      <c r="AE35" s="3075"/>
      <c r="AF35" s="1238"/>
      <c r="AG35" s="3075" t="str">
        <f>IF(TITLE_NUMBER_PR_CHANGE="",IF(TITLE_NUMBER_PR="","",TITLE_NUMBER_PR),TITLE_NUMBER_PR_CHANGE)</f>
        <v/>
      </c>
      <c r="AH35" s="3075"/>
      <c r="AI35" s="3075"/>
      <c r="AJ35" s="3075"/>
      <c r="AK35" s="3075"/>
      <c r="AL35" s="3075"/>
      <c r="AM35" s="3075"/>
      <c r="AN35" s="3075"/>
      <c r="AO35" s="1238"/>
      <c r="AP35" s="1238"/>
      <c r="AQ35" s="1192"/>
      <c r="AR35" s="1280"/>
      <c r="AS35" s="1280"/>
      <c r="AT35" s="1280"/>
      <c r="AU35" s="1280"/>
      <c r="AV35" s="1280"/>
    </row>
    <row s="40143" customFormat="1" customHeight="1" ht="18.75" hidden="1">
      <c r="A36" s="2162"/>
      <c r="B36" s="2162"/>
      <c r="C36" s="2162"/>
      <c r="D36" s="2162"/>
      <c r="E36" s="2162"/>
      <c r="F36" s="2162"/>
      <c r="G36" s="2162"/>
      <c r="H36" s="2162"/>
      <c r="I36" s="2162"/>
      <c r="J36" s="2162"/>
      <c r="K36" s="2162"/>
      <c r="L36" s="2162"/>
      <c r="M36" s="2295"/>
      <c r="N36" s="2162"/>
      <c r="O36" s="2162"/>
      <c r="P36" s="2162"/>
      <c r="U36" s="3074" t="s">
        <v>38</v>
      </c>
      <c r="V36" s="3074"/>
      <c r="W36" s="2287"/>
      <c r="X36" s="3075" t="str">
        <f>IF(TITLE_IST_PUB_CHANGE="",IF(TITLE_IST_PUB="","",TITLE_IST_PUB),TITLE_IST_PUB_CHANGE)</f>
        <v/>
      </c>
      <c r="Y36" s="3075"/>
      <c r="Z36" s="3075"/>
      <c r="AA36" s="3075"/>
      <c r="AB36" s="3075"/>
      <c r="AC36" s="3075"/>
      <c r="AD36" s="3075"/>
      <c r="AE36" s="3075"/>
      <c r="AF36" s="1238"/>
      <c r="AG36" s="3075" t="str">
        <f>IF(TITLE_IST_PUB_CHANGE="",IF(TITLE_IST_PUB="","",TITLE_IST_PUB),TITLE_IST_PUB_CHANGE)</f>
        <v/>
      </c>
      <c r="AH36" s="3075"/>
      <c r="AI36" s="3075"/>
      <c r="AJ36" s="3075"/>
      <c r="AK36" s="3075"/>
      <c r="AL36" s="3075"/>
      <c r="AM36" s="3075"/>
      <c r="AN36" s="3075"/>
      <c r="AO36" s="1238"/>
      <c r="AP36" s="1238"/>
      <c r="AQ36" s="1192"/>
      <c r="AR36" s="1280"/>
      <c r="AS36" s="1280"/>
      <c r="AT36" s="1280"/>
      <c r="AU36" s="1280"/>
      <c r="AV36" s="1280"/>
    </row>
    <row customHeight="1" ht="14.25" hidden="1">
      <c r="R37" s="1288"/>
      <c r="S37" s="1288"/>
      <c r="T37" s="1288"/>
      <c r="U37" s="2190"/>
      <c r="V37" s="1275"/>
      <c r="W37" s="1275"/>
      <c r="X37" s="1234"/>
      <c r="Y37" s="1234"/>
      <c r="Z37" s="1234"/>
      <c r="AA37" s="1234"/>
      <c r="AB37" s="1234"/>
      <c r="AC37" s="1234"/>
      <c r="AD37" s="1234"/>
      <c r="AE37" s="1234"/>
      <c r="AF37" s="1234"/>
      <c r="AG37" s="1234"/>
      <c r="AH37" s="1234"/>
      <c r="AI37" s="1234"/>
      <c r="AJ37" s="1234"/>
      <c r="AK37" s="1234"/>
      <c r="AL37" s="1234"/>
      <c r="AM37" s="1234"/>
      <c r="AN37" s="1234"/>
      <c r="AO37" s="1234"/>
      <c r="AP37" s="1421"/>
    </row>
    <row s="40143" customFormat="1" customHeight="1" ht="18.75" hidden="1">
      <c r="A38" s="2162"/>
      <c r="B38" s="2162"/>
      <c r="C38" s="2162"/>
      <c r="D38" s="2162"/>
      <c r="E38" s="2162"/>
      <c r="F38" s="2162"/>
      <c r="G38" s="2162"/>
      <c r="H38" s="2162"/>
      <c r="I38" s="2162"/>
      <c r="J38" s="2162"/>
      <c r="K38" s="2162"/>
      <c r="L38" s="2162"/>
      <c r="M38" s="2295"/>
      <c r="N38" s="2162"/>
      <c r="O38" s="2162"/>
      <c r="P38" s="2162"/>
      <c r="U38" s="3074" t="s">
        <v>416</v>
      </c>
      <c r="V38" s="3074"/>
      <c r="W38" s="2287"/>
      <c r="X38" s="3088" t="str">
        <f>IF(TITLE_DATE_PR_CHANGE="",IF(TITLE_DATE_PR="","",TITLE_DATE_PR),TITLE_DATE_PR_CHANGE)</f>
        <v/>
      </c>
      <c r="Y38" s="3088"/>
      <c r="Z38" s="3088"/>
      <c r="AA38" s="3088"/>
      <c r="AB38" s="3088"/>
      <c r="AC38" s="3088"/>
      <c r="AD38" s="3088"/>
      <c r="AE38" s="3088"/>
      <c r="AF38" s="1238"/>
      <c r="AG38" s="3088" t="str">
        <f>IF(TITLE_DATE_PR_CHANGE="",IF(TITLE_DATE_PR="","",TITLE_DATE_PR),TITLE_DATE_PR_CHANGE)</f>
        <v/>
      </c>
      <c r="AH38" s="3088"/>
      <c r="AI38" s="3088"/>
      <c r="AJ38" s="3088"/>
      <c r="AK38" s="3088"/>
      <c r="AL38" s="3088"/>
      <c r="AM38" s="3088"/>
      <c r="AN38" s="3088"/>
      <c r="AO38" s="1238"/>
      <c r="AP38" s="1238"/>
      <c r="AQ38" s="1192"/>
      <c r="AR38" s="1280"/>
      <c r="AS38" s="1280"/>
      <c r="AT38" s="1280"/>
      <c r="AU38" s="1280"/>
      <c r="AV38" s="1280"/>
    </row>
    <row s="40143" customFormat="1" customHeight="1" ht="18.75" hidden="1">
      <c r="A39" s="2162"/>
      <c r="B39" s="2162"/>
      <c r="C39" s="2162"/>
      <c r="D39" s="2162"/>
      <c r="E39" s="2162"/>
      <c r="F39" s="2162"/>
      <c r="G39" s="2162"/>
      <c r="H39" s="2162"/>
      <c r="I39" s="2162"/>
      <c r="J39" s="2162"/>
      <c r="K39" s="2162"/>
      <c r="L39" s="2162"/>
      <c r="M39" s="2295"/>
      <c r="N39" s="2162"/>
      <c r="O39" s="2162"/>
      <c r="P39" s="2162"/>
      <c r="U39" s="3074" t="s">
        <v>417</v>
      </c>
      <c r="V39" s="3074"/>
      <c r="W39" s="2287"/>
      <c r="X39" s="3075" t="str">
        <f>IF(TITLE_NUMBER_PR_CHANGE="",IF(TITLE_NUMBER_PR="","",TITLE_NUMBER_PR),TITLE_NUMBER_PR_CHANGE)</f>
        <v/>
      </c>
      <c r="Y39" s="3075"/>
      <c r="Z39" s="3075"/>
      <c r="AA39" s="3075"/>
      <c r="AB39" s="3075"/>
      <c r="AC39" s="3075"/>
      <c r="AD39" s="3075"/>
      <c r="AE39" s="3075"/>
      <c r="AF39" s="1238"/>
      <c r="AG39" s="3075" t="str">
        <f>IF(TITLE_NUMBER_PR_CHANGE="",IF(TITLE_NUMBER_PR="","",TITLE_NUMBER_PR),TITLE_NUMBER_PR_CHANGE)</f>
        <v/>
      </c>
      <c r="AH39" s="3075"/>
      <c r="AI39" s="3075"/>
      <c r="AJ39" s="3075"/>
      <c r="AK39" s="3075"/>
      <c r="AL39" s="3075"/>
      <c r="AM39" s="3075"/>
      <c r="AN39" s="3075"/>
      <c r="AO39" s="1238"/>
      <c r="AP39" s="1238"/>
      <c r="AQ39" s="1192"/>
      <c r="AR39" s="1280"/>
      <c r="AS39" s="1280"/>
      <c r="AT39" s="1280"/>
      <c r="AU39" s="1280"/>
      <c r="AV39" s="1280"/>
    </row>
    <row s="40143" customFormat="1" customHeight="1" ht="0">
      <c r="A40" s="2162"/>
      <c r="B40" s="2162"/>
      <c r="C40" s="2162"/>
      <c r="D40" s="2162"/>
      <c r="E40" s="2162"/>
      <c r="F40" s="2162"/>
      <c r="G40" s="2162"/>
      <c r="H40" s="2162"/>
      <c r="I40" s="2162"/>
      <c r="J40" s="2162"/>
      <c r="K40" s="2162"/>
      <c r="L40" s="2162"/>
      <c r="M40" s="2295"/>
      <c r="N40" s="2162"/>
      <c r="O40" s="2162"/>
      <c r="P40" s="2162"/>
      <c r="U40" s="1235"/>
      <c r="V40" s="1235"/>
      <c r="W40" s="2255"/>
      <c r="X40" s="1238"/>
      <c r="Y40" s="1238"/>
      <c r="Z40" s="1238"/>
      <c r="AA40" s="1238"/>
      <c r="AB40" s="1238"/>
      <c r="AC40" s="1238"/>
      <c r="AD40" s="1238"/>
      <c r="AE40" s="1238"/>
      <c r="AF40" s="1190" t="s">
        <v>418</v>
      </c>
      <c r="AG40" s="1238"/>
      <c r="AH40" s="1238"/>
      <c r="AI40" s="1238"/>
      <c r="AJ40" s="1238"/>
      <c r="AK40" s="1238"/>
      <c r="AL40" s="1238"/>
      <c r="AM40" s="1238"/>
      <c r="AN40" s="1238"/>
      <c r="AO40" s="1190" t="s">
        <v>418</v>
      </c>
      <c r="AR40" s="1280"/>
      <c r="AS40" s="1280"/>
      <c r="AT40" s="1280"/>
      <c r="AU40" s="1280"/>
      <c r="AV40" s="1280"/>
    </row>
    <row customHeight="1" ht="14.25">
      <c r="R41" s="1288"/>
      <c r="S41" s="1288"/>
      <c r="T41" s="1288"/>
      <c r="U41" s="2190"/>
      <c r="V41" s="1275"/>
      <c r="W41" s="2158"/>
      <c r="X41" s="3076"/>
      <c r="Y41" s="3076"/>
      <c r="Z41" s="3076"/>
      <c r="AA41" s="3076"/>
      <c r="AB41" s="3076"/>
      <c r="AC41" s="3076"/>
      <c r="AD41" s="3076"/>
      <c r="AE41" s="3076"/>
      <c r="AF41" s="3076"/>
      <c r="AG41" s="3076"/>
      <c r="AH41" s="3076"/>
      <c r="AI41" s="3076"/>
      <c r="AJ41" s="3076"/>
      <c r="AK41" s="3076"/>
      <c r="AL41" s="3076"/>
      <c r="AM41" s="3076"/>
      <c r="AN41" s="3076"/>
      <c r="AO41" s="3076"/>
    </row>
    <row customHeight="1" ht="14.25">
      <c r="R42" s="1288"/>
      <c r="S42" s="1288"/>
      <c r="T42" s="1288"/>
      <c r="U42" s="2953" t="s">
        <v>291</v>
      </c>
      <c r="V42" s="2953"/>
      <c r="W42" s="2953"/>
      <c r="X42" s="2953"/>
      <c r="Y42" s="2953"/>
      <c r="Z42" s="2953"/>
      <c r="AA42" s="2953"/>
      <c r="AB42" s="2953"/>
      <c r="AC42" s="2953"/>
      <c r="AD42" s="2953"/>
      <c r="AE42" s="2953"/>
      <c r="AF42" s="2953"/>
      <c r="AG42" s="2953"/>
      <c r="AH42" s="2953"/>
      <c r="AI42" s="2953"/>
      <c r="AJ42" s="2953"/>
      <c r="AK42" s="2953"/>
      <c r="AL42" s="2953"/>
      <c r="AM42" s="2953"/>
      <c r="AN42" s="2953"/>
      <c r="AO42" s="2953"/>
      <c r="AP42" s="2953"/>
      <c r="AQ42" s="2953" t="s">
        <v>292</v>
      </c>
    </row>
    <row customHeight="1" ht="14.25">
      <c r="R43" s="1288"/>
      <c r="S43" s="1288"/>
      <c r="T43" s="1288"/>
      <c r="U43" s="3097" t="s">
        <v>84</v>
      </c>
      <c r="V43" s="3033" t="s">
        <v>419</v>
      </c>
      <c r="W43" s="1213"/>
      <c r="X43" s="3098" t="s">
        <v>420</v>
      </c>
      <c r="Y43" s="3115"/>
      <c r="Z43" s="3115"/>
      <c r="AA43" s="3115"/>
      <c r="AB43" s="3115"/>
      <c r="AC43" s="3099"/>
      <c r="AD43" s="3099"/>
      <c r="AE43" s="3100"/>
      <c r="AF43" s="3101" t="s">
        <v>421</v>
      </c>
      <c r="AG43" s="3098" t="s">
        <v>420</v>
      </c>
      <c r="AH43" s="3115"/>
      <c r="AI43" s="3115"/>
      <c r="AJ43" s="3115"/>
      <c r="AK43" s="3115"/>
      <c r="AL43" s="3099"/>
      <c r="AM43" s="3099"/>
      <c r="AN43" s="3100"/>
      <c r="AO43" s="3101" t="s">
        <v>422</v>
      </c>
      <c r="AP43" s="3104" t="s">
        <v>423</v>
      </c>
      <c r="AQ43" s="2953"/>
    </row>
    <row customHeight="1" ht="33.75">
      <c r="R44" s="1288"/>
      <c r="S44" s="1288"/>
      <c r="T44" s="1288"/>
      <c r="U44" s="3097"/>
      <c r="V44" s="3033"/>
      <c r="W44" s="1944"/>
      <c r="X44" s="3118" t="s">
        <v>446</v>
      </c>
      <c r="Y44" s="3129" t="s">
        <v>447</v>
      </c>
      <c r="Z44" s="3129"/>
      <c r="AA44" s="3129"/>
      <c r="AB44" s="3129"/>
      <c r="AC44" s="3118" t="s">
        <v>427</v>
      </c>
      <c r="AD44" s="3130"/>
      <c r="AE44" s="3131"/>
      <c r="AF44" s="3102"/>
      <c r="AG44" s="3118" t="s">
        <v>446</v>
      </c>
      <c r="AH44" s="3129" t="s">
        <v>447</v>
      </c>
      <c r="AI44" s="3129"/>
      <c r="AJ44" s="3129"/>
      <c r="AK44" s="3129"/>
      <c r="AL44" s="3118" t="s">
        <v>427</v>
      </c>
      <c r="AM44" s="3130"/>
      <c r="AN44" s="3131"/>
      <c r="AO44" s="3102"/>
      <c r="AP44" s="3105"/>
      <c r="AQ44" s="2953"/>
    </row>
    <row customHeight="1" ht="14.25">
      <c r="R45" s="1288"/>
      <c r="S45" s="1288"/>
      <c r="T45" s="1288"/>
      <c r="U45" s="3097"/>
      <c r="V45" s="3033"/>
      <c r="W45" s="1944"/>
      <c r="X45" s="3142"/>
      <c r="Y45" s="3134" t="s">
        <v>448</v>
      </c>
      <c r="Z45" s="3094" t="s">
        <v>449</v>
      </c>
      <c r="AA45" s="3137"/>
      <c r="AB45" s="3095"/>
      <c r="AC45" s="3119"/>
      <c r="AD45" s="3132"/>
      <c r="AE45" s="3133"/>
      <c r="AF45" s="3102"/>
      <c r="AG45" s="3142"/>
      <c r="AH45" s="3134" t="s">
        <v>448</v>
      </c>
      <c r="AI45" s="3094" t="s">
        <v>449</v>
      </c>
      <c r="AJ45" s="3137"/>
      <c r="AK45" s="3095"/>
      <c r="AL45" s="3119"/>
      <c r="AM45" s="3132"/>
      <c r="AN45" s="3133"/>
      <c r="AO45" s="3102"/>
      <c r="AP45" s="3105"/>
      <c r="AQ45" s="2953"/>
    </row>
    <row customHeight="1" ht="25.5">
      <c r="R46" s="1288"/>
      <c r="S46" s="1288"/>
      <c r="T46" s="1288"/>
      <c r="U46" s="3097"/>
      <c r="V46" s="3033"/>
      <c r="W46" s="1944"/>
      <c r="X46" s="3142"/>
      <c r="Y46" s="3135"/>
      <c r="Z46" s="3134" t="s">
        <v>450</v>
      </c>
      <c r="AA46" s="3094" t="s">
        <v>451</v>
      </c>
      <c r="AB46" s="3095"/>
      <c r="AC46" s="3134" t="s">
        <v>437</v>
      </c>
      <c r="AD46" s="3138" t="s">
        <v>438</v>
      </c>
      <c r="AE46" s="3139"/>
      <c r="AF46" s="3102"/>
      <c r="AG46" s="3142"/>
      <c r="AH46" s="3135"/>
      <c r="AI46" s="3134" t="s">
        <v>450</v>
      </c>
      <c r="AJ46" s="3094" t="s">
        <v>451</v>
      </c>
      <c r="AK46" s="3095"/>
      <c r="AL46" s="3134" t="s">
        <v>437</v>
      </c>
      <c r="AM46" s="3138" t="s">
        <v>438</v>
      </c>
      <c r="AN46" s="3139"/>
      <c r="AO46" s="3102"/>
      <c r="AP46" s="3105"/>
      <c r="AQ46" s="2953"/>
    </row>
    <row customHeight="1" ht="62.25">
      <c r="A47" s="2174"/>
      <c r="B47" s="2174" t="s">
        <v>128</v>
      </c>
      <c r="C47" s="2174" t="s">
        <v>129</v>
      </c>
      <c r="D47" s="2174" t="s">
        <v>130</v>
      </c>
      <c r="E47" s="2225" t="s">
        <v>428</v>
      </c>
      <c r="F47" s="2225" t="s">
        <v>429</v>
      </c>
      <c r="G47" s="2225" t="s">
        <v>430</v>
      </c>
      <c r="H47" s="2225" t="s">
        <v>431</v>
      </c>
      <c r="I47" s="2225" t="s">
        <v>432</v>
      </c>
      <c r="J47" s="2225" t="s">
        <v>433</v>
      </c>
      <c r="K47" s="2225" t="s">
        <v>434</v>
      </c>
      <c r="L47" s="2225" t="s">
        <v>452</v>
      </c>
      <c r="M47" s="2225" t="s">
        <v>409</v>
      </c>
      <c r="R47" s="1288"/>
      <c r="S47" s="1288"/>
      <c r="T47" s="1288"/>
      <c r="U47" s="3097"/>
      <c r="V47" s="3033"/>
      <c r="W47" s="1214"/>
      <c r="X47" s="3119"/>
      <c r="Y47" s="3136"/>
      <c r="Z47" s="3136"/>
      <c r="AA47" s="2136" t="s">
        <v>453</v>
      </c>
      <c r="AB47" s="2136" t="s">
        <v>454</v>
      </c>
      <c r="AC47" s="3136"/>
      <c r="AD47" s="3140"/>
      <c r="AE47" s="3141"/>
      <c r="AF47" s="3103"/>
      <c r="AG47" s="3119"/>
      <c r="AH47" s="3136"/>
      <c r="AI47" s="3136"/>
      <c r="AJ47" s="2136" t="s">
        <v>453</v>
      </c>
      <c r="AK47" s="2136" t="s">
        <v>454</v>
      </c>
      <c r="AL47" s="3136"/>
      <c r="AM47" s="3140"/>
      <c r="AN47" s="3141"/>
      <c r="AO47" s="3103"/>
      <c r="AP47" s="3106"/>
      <c r="AQ47" s="2953"/>
    </row>
    <row s="39960" customFormat="1" customHeight="1" ht="11.25" hidden="1">
      <c r="A48" s="2174"/>
      <c r="B48" s="2174"/>
      <c r="C48" s="2174"/>
      <c r="D48" s="2174"/>
      <c r="E48" s="2174"/>
      <c r="F48" s="2174"/>
      <c r="G48" s="2174"/>
      <c r="H48" s="2174"/>
      <c r="I48" s="2174"/>
      <c r="J48" s="2174"/>
      <c r="K48" s="2174"/>
      <c r="L48" s="2174"/>
      <c r="M48" s="2225"/>
      <c r="N48" s="2243"/>
      <c r="O48" s="2243"/>
      <c r="P48" s="2243"/>
      <c r="Q48" s="2160"/>
      <c r="R48" s="2161"/>
      <c r="S48" s="2168">
        <v>1</v>
      </c>
      <c r="T48" s="2168"/>
      <c r="U48" s="2192" t="s">
        <v>102</v>
      </c>
      <c r="V48" s="2169" t="s">
        <v>103</v>
      </c>
      <c r="W48" s="2159" t="str">
        <f>OFFSET(W48,0,-1)</f>
        <v>2</v>
      </c>
      <c r="X48" s="2250">
        <f>OFFSET(X48,0,-1)+1</f>
        <v>3</v>
      </c>
      <c r="Y48" s="2256"/>
      <c r="Z48" s="2256"/>
      <c r="AA48" s="2256">
        <f>OFFSET(AA48,0,-1)+1</f>
        <v>1</v>
      </c>
      <c r="AB48" s="2256">
        <f>OFFSET(AB48,0,-1)+1</f>
        <v>2</v>
      </c>
      <c r="AC48" s="2250">
        <f>OFFSET(AC48,0,-1)+1</f>
        <v>3</v>
      </c>
      <c r="AD48" s="3096">
        <f>OFFSET(AD48,0,-1)+1</f>
        <v>4</v>
      </c>
      <c r="AE48" s="3096"/>
      <c r="AF48" s="2250">
        <f>OFFSET(AF48,0,-2)+1</f>
        <v>5</v>
      </c>
      <c r="AG48" s="2250">
        <f>OFFSET(AG48,0,-1)+1</f>
        <v>6</v>
      </c>
      <c r="AH48" s="2250"/>
      <c r="AI48" s="2250"/>
      <c r="AJ48" s="2250">
        <f>OFFSET(AJ48,0,-1)+1</f>
        <v>1</v>
      </c>
      <c r="AK48" s="2250">
        <f>OFFSET(AK48,0,-1)+1</f>
        <v>2</v>
      </c>
      <c r="AL48" s="2250">
        <f>OFFSET(AL48,0,-1)+1</f>
        <v>3</v>
      </c>
      <c r="AM48" s="3096">
        <f>OFFSET(AM48,0,-1)+1</f>
        <v>4</v>
      </c>
      <c r="AN48" s="3096"/>
      <c r="AO48" s="2250">
        <f>OFFSET(AO48,0,-2)+1</f>
        <v>5</v>
      </c>
      <c r="AP48" s="2159">
        <f>OFFSET(AP48,0,-1)</f>
        <v>5</v>
      </c>
      <c r="AQ48" s="2250">
        <f>OFFSET(AQ48,0,-1)+1</f>
        <v>6</v>
      </c>
      <c r="AR48" s="1423"/>
      <c r="AS48" s="1423"/>
      <c r="AT48" s="1423"/>
      <c r="AU48" s="1423"/>
      <c r="AV48" s="1423"/>
    </row>
    <row customHeight="1" ht="21">
      <c r="A49" s="2182" t="s">
        <v>167</v>
      </c>
      <c r="B49" s="2182"/>
      <c r="C49" s="2182"/>
      <c r="D49" s="2182"/>
      <c r="E49" s="3113">
        <v>1</v>
      </c>
      <c r="F49" s="2182"/>
      <c r="G49" s="2182"/>
      <c r="H49" s="2182"/>
      <c r="I49" s="2182"/>
      <c r="J49" s="2182"/>
      <c r="K49" s="2182"/>
      <c r="L49" s="2182"/>
      <c r="M49" s="2225"/>
      <c r="N49" s="1600"/>
      <c r="O49" s="1600"/>
      <c r="P49" s="1600"/>
      <c r="Q49" s="1273"/>
      <c r="R49" s="1272"/>
      <c r="S49" s="1272"/>
      <c r="T49" s="1267"/>
      <c r="U49" s="2251">
        <f>INDEX(PT_DIFFERENTIATION_NUM_NTAR,MATCH(A49,PT_DIFFERENTIATION_NTAR_ID,0))</f>
        <v>0</v>
      </c>
      <c r="V49" s="1210" t="s">
        <v>116</v>
      </c>
      <c r="W49" s="1212"/>
      <c r="X49" s="3066"/>
      <c r="Y49" s="3067"/>
      <c r="Z49" s="3067"/>
      <c r="AA49" s="3067"/>
      <c r="AB49" s="3067"/>
      <c r="AC49" s="3067"/>
      <c r="AD49" s="3067"/>
      <c r="AE49" s="3067"/>
      <c r="AF49" s="3068"/>
      <c r="AG49" s="3066" t="str">
        <f>INDEX(PT_DIFFERENTIATION_NTAR,MATCH(A49,PT_DIFFERENTIATION_NTAR_ID,0))</f>
        <v/>
      </c>
      <c r="AH49" s="3067"/>
      <c r="AI49" s="3067"/>
      <c r="AJ49" s="3067"/>
      <c r="AK49" s="3067"/>
      <c r="AL49" s="3067"/>
      <c r="AM49" s="3067"/>
      <c r="AN49" s="3067"/>
      <c r="AO49" s="3067"/>
      <c r="AP49" s="3068"/>
      <c r="AQ49"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412"/>
      <c r="AT49" s="1412" t="str">
        <f>IF(V49="","",V49)</f>
        <v>Наименование тарифа</v>
      </c>
      <c r="AU49" s="1412"/>
      <c r="AV49" s="1412"/>
    </row>
    <row customHeight="1" ht="21">
      <c r="A50" s="2182" t="s">
        <v>167</v>
      </c>
      <c r="B50" s="2182" t="s">
        <v>168</v>
      </c>
      <c r="C50" s="2182"/>
      <c r="D50" s="2182"/>
      <c r="E50" s="3114"/>
      <c r="F50" s="3113">
        <v>1</v>
      </c>
      <c r="G50" s="2182"/>
      <c r="H50" s="2182"/>
      <c r="I50" s="2182"/>
      <c r="J50" s="2182"/>
      <c r="K50" s="2182"/>
      <c r="L50" s="2182"/>
      <c r="M50" s="2225"/>
      <c r="N50" s="1600"/>
      <c r="O50" s="1600"/>
      <c r="P50" s="1600"/>
      <c r="Q50" s="2247"/>
      <c r="R50" s="1264"/>
      <c r="S50" s="1421"/>
      <c r="T50" s="1265"/>
      <c r="U50" s="2251" t="str">
        <f>INDEX(PT_DIFFERENTIATION_NUM_TER,MATCH(B50,PT_DIFFERENTIATION_TER_ID,0))</f>
        <v>.</v>
      </c>
      <c r="V50" s="1220" t="s">
        <v>388</v>
      </c>
      <c r="W50" s="1212"/>
      <c r="X50" s="3066"/>
      <c r="Y50" s="3067"/>
      <c r="Z50" s="3067"/>
      <c r="AA50" s="3067"/>
      <c r="AB50" s="3067"/>
      <c r="AC50" s="3067"/>
      <c r="AD50" s="3067"/>
      <c r="AE50" s="3067"/>
      <c r="AF50" s="3068"/>
      <c r="AG50" s="3066" t="str">
        <f>INDEX(PT_DIFFERENTIATION_TER,MATCH(B50,PT_DIFFERENTIATION_TER_ID,0))</f>
        <v/>
      </c>
      <c r="AH50" s="3067"/>
      <c r="AI50" s="3067"/>
      <c r="AJ50" s="3067"/>
      <c r="AK50" s="3067"/>
      <c r="AL50" s="3067"/>
      <c r="AM50" s="3067"/>
      <c r="AN50" s="3067"/>
      <c r="AO50" s="3067"/>
      <c r="AP50" s="3068"/>
      <c r="AQ50" s="2172" t="s">
        <v>389</v>
      </c>
      <c r="AS50" s="1412"/>
      <c r="AT50" s="1412" t="str">
        <f>IF(V50="","",V50)</f>
        <v>Территория действия тарифа</v>
      </c>
      <c r="AU50" s="1412"/>
      <c r="AV50" s="1412"/>
    </row>
    <row customHeight="1" ht="22.5">
      <c r="A51" s="2182" t="s">
        <v>167</v>
      </c>
      <c r="B51" s="2182" t="s">
        <v>168</v>
      </c>
      <c r="C51" s="2182" t="s">
        <v>169</v>
      </c>
      <c r="D51" s="2182"/>
      <c r="E51" s="3114"/>
      <c r="F51" s="3114"/>
      <c r="G51" s="3113">
        <v>1</v>
      </c>
      <c r="H51" s="2182"/>
      <c r="I51" s="2182"/>
      <c r="J51" s="2182"/>
      <c r="K51" s="2182"/>
      <c r="L51" s="2182"/>
      <c r="M51" s="2225"/>
      <c r="N51" s="1600"/>
      <c r="O51" s="1600"/>
      <c r="P51" s="1600"/>
      <c r="Q51" s="1266"/>
      <c r="R51" s="1264"/>
      <c r="S51" s="1421"/>
      <c r="T51" s="1265"/>
      <c r="U51" s="2251" t="str">
        <f>INDEX(PT_DIFFERENTIATION_NUM_CS,MATCH(C51,PT_DIFFERENTIATION_CS_ID,0))</f>
        <v>..</v>
      </c>
      <c r="V51" s="1221" t="s">
        <v>390</v>
      </c>
      <c r="W51" s="1212"/>
      <c r="X51" s="3066"/>
      <c r="Y51" s="3067"/>
      <c r="Z51" s="3067"/>
      <c r="AA51" s="3067"/>
      <c r="AB51" s="3067"/>
      <c r="AC51" s="3067"/>
      <c r="AD51" s="3067"/>
      <c r="AE51" s="3067"/>
      <c r="AF51" s="3068"/>
      <c r="AG51" s="3066" t="str">
        <f>INDEX(PT_DIFFERENTIATION_CS,MATCH(C51,PT_DIFFERENTIATION_CS_ID,0))</f>
        <v/>
      </c>
      <c r="AH51" s="3067"/>
      <c r="AI51" s="3067"/>
      <c r="AJ51" s="3067"/>
      <c r="AK51" s="3067"/>
      <c r="AL51" s="3067"/>
      <c r="AM51" s="3067"/>
      <c r="AN51" s="3067"/>
      <c r="AO51" s="3067"/>
      <c r="AP51" s="3068"/>
      <c r="AQ51" s="2172" t="s">
        <v>391</v>
      </c>
      <c r="AS51" s="1412"/>
      <c r="AT51" s="1412" t="str">
        <f>IF(V51="","",V51)</f>
        <v>Наименование системы теплоснабжения </v>
      </c>
      <c r="AU51" s="1412"/>
      <c r="AV51" s="1412"/>
    </row>
    <row customHeight="1" ht="21">
      <c r="A52" s="2182" t="s">
        <v>167</v>
      </c>
      <c r="B52" s="2182" t="s">
        <v>168</v>
      </c>
      <c r="C52" s="2182" t="s">
        <v>169</v>
      </c>
      <c r="D52" s="2182" t="s">
        <v>170</v>
      </c>
      <c r="E52" s="3114"/>
      <c r="F52" s="3114"/>
      <c r="G52" s="3114"/>
      <c r="H52" s="3127">
        <v>1</v>
      </c>
      <c r="I52" s="2182"/>
      <c r="J52" s="2182"/>
      <c r="K52" s="2182"/>
      <c r="L52" s="2182"/>
      <c r="M52" s="2225"/>
      <c r="N52" s="1600"/>
      <c r="O52" s="1600"/>
      <c r="P52" s="1600"/>
      <c r="Q52" s="1266"/>
      <c r="R52" s="1264"/>
      <c r="S52" s="1421"/>
      <c r="T52" s="1265"/>
      <c r="U52" s="2251" t="str">
        <f>INDEX(PT_DIFFERENTIATION_NUM_IST_TE,MATCH(D52,PT_DIFFERENTIATION_IST_TE_ID,0))</f>
        <v>...</v>
      </c>
      <c r="V52" s="1222" t="s">
        <v>392</v>
      </c>
      <c r="W52" s="1212"/>
      <c r="X52" s="3066"/>
      <c r="Y52" s="3067"/>
      <c r="Z52" s="3067"/>
      <c r="AA52" s="3067"/>
      <c r="AB52" s="3067"/>
      <c r="AC52" s="3067"/>
      <c r="AD52" s="3067"/>
      <c r="AE52" s="3067"/>
      <c r="AF52" s="3068"/>
      <c r="AG52" s="3066" t="str">
        <f>INDEX(PT_DIFFERENTIATION_IST_TE,MATCH(D52,PT_DIFFERENTIATION_IST_TE_ID,0))</f>
        <v/>
      </c>
      <c r="AH52" s="3067"/>
      <c r="AI52" s="3067"/>
      <c r="AJ52" s="3067"/>
      <c r="AK52" s="3067"/>
      <c r="AL52" s="3067"/>
      <c r="AM52" s="3067"/>
      <c r="AN52" s="3067"/>
      <c r="AO52" s="3067"/>
      <c r="AP52" s="3068"/>
      <c r="AQ52" s="2172" t="s">
        <v>393</v>
      </c>
      <c r="AS52" s="1412"/>
      <c r="AT52" s="1412" t="str">
        <f>IF(V52="","",V52)</f>
        <v>Источник тепловой энергии  </v>
      </c>
      <c r="AU52" s="1412"/>
      <c r="AV52" s="1412"/>
    </row>
    <row s="40202" customFormat="1" customHeight="1" ht="0">
      <c r="A53" s="2290" t="s">
        <v>167</v>
      </c>
      <c r="B53" s="2290" t="s">
        <v>168</v>
      </c>
      <c r="C53" s="2290" t="s">
        <v>169</v>
      </c>
      <c r="D53" s="2290" t="s">
        <v>170</v>
      </c>
      <c r="E53" s="3114"/>
      <c r="F53" s="3114"/>
      <c r="G53" s="3114"/>
      <c r="H53" s="3128"/>
      <c r="I53" s="2953" t="str">
        <f>U52&amp;".1"</f>
        <v>....1</v>
      </c>
      <c r="J53" s="2290"/>
      <c r="K53" s="2290"/>
      <c r="L53" s="2290"/>
      <c r="M53" s="2296" t="s">
        <v>394</v>
      </c>
      <c r="N53" s="2160"/>
      <c r="O53" s="2160"/>
      <c r="P53" s="2160"/>
      <c r="Q53" s="3081">
        <v>1</v>
      </c>
      <c r="R53" s="2246"/>
      <c r="S53" s="2246"/>
      <c r="T53" s="1268"/>
      <c r="U53" s="1955"/>
      <c r="V53" s="2298"/>
      <c r="W53" s="2299"/>
      <c r="X53" s="3120"/>
      <c r="Y53" s="3121"/>
      <c r="Z53" s="3121"/>
      <c r="AA53" s="3121"/>
      <c r="AB53" s="3121"/>
      <c r="AC53" s="3121"/>
      <c r="AD53" s="3121"/>
      <c r="AE53" s="3121"/>
      <c r="AF53" s="3122"/>
      <c r="AG53" s="3120"/>
      <c r="AH53" s="3121"/>
      <c r="AI53" s="3121"/>
      <c r="AJ53" s="3121"/>
      <c r="AK53" s="3121"/>
      <c r="AL53" s="3121"/>
      <c r="AM53" s="3121"/>
      <c r="AN53" s="3121"/>
      <c r="AO53" s="3121"/>
      <c r="AP53" s="3122"/>
      <c r="AQ53" s="2300"/>
      <c r="AS53" s="1412"/>
      <c r="AT53" s="1412" t="str">
        <f>IF(V53="","",V53)</f>
        <v/>
      </c>
      <c r="AU53" s="1412"/>
      <c r="AV53" s="1412"/>
    </row>
    <row customHeight="1" ht="21">
      <c r="A54" s="2182" t="s">
        <v>167</v>
      </c>
      <c r="B54" s="2182" t="s">
        <v>168</v>
      </c>
      <c r="C54" s="2182" t="s">
        <v>169</v>
      </c>
      <c r="D54" s="2182" t="s">
        <v>170</v>
      </c>
      <c r="E54" s="3114"/>
      <c r="F54" s="3114"/>
      <c r="G54" s="3114"/>
      <c r="H54" s="3128"/>
      <c r="I54" s="2927"/>
      <c r="J54" s="2953" t="str">
        <f>I53&amp;".1"</f>
        <v>....1.1</v>
      </c>
      <c r="K54" s="2182"/>
      <c r="L54" s="2182"/>
      <c r="M54" s="2225" t="s">
        <v>397</v>
      </c>
      <c r="Q54" s="3081"/>
      <c r="R54" s="3081">
        <v>1</v>
      </c>
      <c r="S54" s="1430"/>
      <c r="T54" s="1269"/>
      <c r="U54" s="2251" t="str">
        <f>$J54</f>
        <v>....1.1</v>
      </c>
      <c r="V54" s="1198" t="s">
        <v>398</v>
      </c>
      <c r="W54" s="1212"/>
      <c r="X54" s="3069"/>
      <c r="Y54" s="3070"/>
      <c r="Z54" s="3070"/>
      <c r="AA54" s="3070"/>
      <c r="AB54" s="3070"/>
      <c r="AC54" s="3059"/>
      <c r="AD54" s="3059"/>
      <c r="AE54" s="3059"/>
      <c r="AF54" s="3125"/>
      <c r="AG54" s="3069"/>
      <c r="AH54" s="3070"/>
      <c r="AI54" s="3070"/>
      <c r="AJ54" s="3070"/>
      <c r="AK54" s="3070"/>
      <c r="AL54" s="3070"/>
      <c r="AM54" s="3070"/>
      <c r="AN54" s="3070"/>
      <c r="AO54" s="3070"/>
      <c r="AP54" s="3071"/>
      <c r="AQ54" s="2172" t="s">
        <v>399</v>
      </c>
      <c r="AS54" s="1412"/>
      <c r="AT54" s="1412" t="str">
        <f>IF(V54="","",V54)</f>
        <v>Группа потребителей</v>
      </c>
      <c r="AU54" s="1412"/>
      <c r="AV54" s="1412"/>
    </row>
    <row customHeight="1" ht="21">
      <c r="A55" s="2182" t="s">
        <v>167</v>
      </c>
      <c r="B55" s="2182" t="s">
        <v>168</v>
      </c>
      <c r="C55" s="2182" t="s">
        <v>169</v>
      </c>
      <c r="D55" s="2182" t="s">
        <v>170</v>
      </c>
      <c r="E55" s="3114"/>
      <c r="F55" s="3114"/>
      <c r="G55" s="3114"/>
      <c r="H55" s="3128"/>
      <c r="I55" s="2927"/>
      <c r="J55" s="2927"/>
      <c r="K55" s="2953" t="str">
        <f>J54&amp;".1"</f>
        <v>....1.1.1</v>
      </c>
      <c r="L55" s="1052"/>
      <c r="M55" s="2225" t="s">
        <v>400</v>
      </c>
      <c r="Q55" s="3081"/>
      <c r="R55" s="3081"/>
      <c r="S55" s="1430">
        <v>1</v>
      </c>
      <c r="T55" s="1269"/>
      <c r="U55" s="2251" t="str">
        <f>$K55</f>
        <v>....1.1.1</v>
      </c>
      <c r="V55" s="2262"/>
      <c r="W55" s="1212"/>
      <c r="X55" s="1663"/>
      <c r="Y55" s="1663"/>
      <c r="Z55" s="1663"/>
      <c r="AA55" s="1663"/>
      <c r="AB55" s="2320"/>
      <c r="AC55" s="3089"/>
      <c r="AD55" s="2933" t="s">
        <v>62</v>
      </c>
      <c r="AE55" s="3089"/>
      <c r="AF55" s="2933" t="s">
        <v>62</v>
      </c>
      <c r="AG55" s="2322"/>
      <c r="AH55" s="1663"/>
      <c r="AI55" s="1663"/>
      <c r="AJ55" s="1663"/>
      <c r="AK55" s="2171"/>
      <c r="AL55" s="3089"/>
      <c r="AM55" s="2933" t="s">
        <v>62</v>
      </c>
      <c r="AN55" s="3089"/>
      <c r="AO55" s="2933" t="s">
        <v>62</v>
      </c>
      <c r="AP55" s="2263"/>
      <c r="AQ55" s="2222" t="s">
        <v>443</v>
      </c>
      <c r="AR55" s="1423">
        <f>STRCHECKDATE(X57:AP57)</f>
      </c>
      <c r="AS55" s="1412"/>
      <c r="AT55" s="1412" t="str">
        <f>IF(V55="","",V55)</f>
        <v/>
      </c>
      <c r="AU55" s="1412"/>
      <c r="AV55" s="1412"/>
    </row>
    <row customHeight="1" ht="11.25">
      <c r="A56" s="2182" t="s">
        <v>167</v>
      </c>
      <c r="B56" s="2182" t="s">
        <v>168</v>
      </c>
      <c r="C56" s="2182" t="s">
        <v>169</v>
      </c>
      <c r="D56" s="2182" t="s">
        <v>170</v>
      </c>
      <c r="E56" s="3114"/>
      <c r="F56" s="3114"/>
      <c r="G56" s="3114"/>
      <c r="H56" s="3128"/>
      <c r="I56" s="2927"/>
      <c r="J56" s="2927"/>
      <c r="K56" s="2927"/>
      <c r="L56" s="2953" t="str">
        <f>K55&amp;".1"</f>
        <v>....1.1.1.1</v>
      </c>
      <c r="M56" s="2225"/>
      <c r="Q56" s="3081"/>
      <c r="R56" s="3081"/>
      <c r="S56" s="1430">
        <v>1</v>
      </c>
      <c r="T56" s="1269"/>
      <c r="U56" s="2251" t="str">
        <f>$L56</f>
        <v>....1.1.1.1</v>
      </c>
      <c r="V56" s="2306"/>
      <c r="W56" s="1212"/>
      <c r="X56" s="1237"/>
      <c r="Y56" s="1663"/>
      <c r="Z56" s="1663"/>
      <c r="AA56" s="1663"/>
      <c r="AB56" s="2320"/>
      <c r="AC56" s="3126"/>
      <c r="AD56" s="2933"/>
      <c r="AE56" s="3126"/>
      <c r="AF56" s="2933"/>
      <c r="AG56" s="2322"/>
      <c r="AH56" s="1663"/>
      <c r="AI56" s="1663"/>
      <c r="AJ56" s="1663"/>
      <c r="AK56" s="2171"/>
      <c r="AL56" s="3126"/>
      <c r="AM56" s="2933"/>
      <c r="AN56" s="3126"/>
      <c r="AO56" s="2933"/>
      <c r="AP56" s="2263"/>
      <c r="AQ56" s="3077" t="s">
        <v>444</v>
      </c>
      <c r="AR56" s="1423">
        <f>STRCHECKDATE(X58:AP58)</f>
      </c>
      <c r="AS56" s="1412"/>
      <c r="AT56" s="1412" t="str">
        <f>IF(V56="","",V56)</f>
        <v/>
      </c>
      <c r="AU56" s="1412"/>
      <c r="AV56" s="1412"/>
    </row>
    <row customHeight="1" ht="0">
      <c r="A57" s="2182" t="s">
        <v>167</v>
      </c>
      <c r="B57" s="2182" t="s">
        <v>168</v>
      </c>
      <c r="C57" s="2182" t="s">
        <v>169</v>
      </c>
      <c r="D57" s="2182" t="s">
        <v>170</v>
      </c>
      <c r="E57" s="3114"/>
      <c r="F57" s="3114"/>
      <c r="G57" s="3114"/>
      <c r="H57" s="3128"/>
      <c r="I57" s="2927"/>
      <c r="J57" s="2927"/>
      <c r="K57" s="2927"/>
      <c r="L57" s="2953"/>
      <c r="M57" s="2225"/>
      <c r="Q57" s="3081"/>
      <c r="R57" s="3081"/>
      <c r="S57" s="1430"/>
      <c r="T57" s="1269"/>
      <c r="U57" s="2257"/>
      <c r="V57" s="1212"/>
      <c r="W57" s="1212"/>
      <c r="X57" s="1237"/>
      <c r="Y57" s="1237"/>
      <c r="Z57" s="1237"/>
      <c r="AA57" s="1237"/>
      <c r="AB57" s="2321" t="str">
        <f>AC55&amp;"-"&amp;AE55</f>
        <v>-</v>
      </c>
      <c r="AC57" s="3126"/>
      <c r="AD57" s="2933"/>
      <c r="AE57" s="3126"/>
      <c r="AF57" s="2933"/>
      <c r="AG57" s="2297"/>
      <c r="AH57" s="1237"/>
      <c r="AI57" s="1237"/>
      <c r="AJ57" s="1237"/>
      <c r="AK57" s="1240" t="str">
        <f>AL55&amp;"-"&amp;AN55</f>
        <v>-</v>
      </c>
      <c r="AL57" s="3126"/>
      <c r="AM57" s="2933"/>
      <c r="AN57" s="3126"/>
      <c r="AO57" s="2933"/>
      <c r="AP57" s="2264"/>
      <c r="AQ57" s="3078"/>
      <c r="AS57" s="1412"/>
      <c r="AT57" s="1412" t="str">
        <f>IF(V57="","",V57)</f>
        <v/>
      </c>
      <c r="AU57" s="1412"/>
      <c r="AV57" s="1412"/>
    </row>
    <row customHeight="1" ht="11.25">
      <c r="A58" s="2182" t="s">
        <v>167</v>
      </c>
      <c r="B58" s="2182" t="s">
        <v>168</v>
      </c>
      <c r="C58" s="2182" t="s">
        <v>169</v>
      </c>
      <c r="D58" s="2182" t="s">
        <v>170</v>
      </c>
      <c r="E58" s="3114"/>
      <c r="F58" s="3114"/>
      <c r="G58" s="3114"/>
      <c r="H58" s="3128"/>
      <c r="I58" s="2927"/>
      <c r="J58" s="2927"/>
      <c r="K58" s="2953"/>
      <c r="L58" s="2182"/>
      <c r="M58" s="2225"/>
      <c r="Q58" s="3081"/>
      <c r="R58" s="3081"/>
      <c r="S58" s="2246"/>
      <c r="T58" s="1268"/>
      <c r="U58" s="2193"/>
      <c r="V58" s="1200" t="s">
        <v>445</v>
      </c>
      <c r="W58" s="1279"/>
      <c r="X58" s="1279"/>
      <c r="Y58" s="1279"/>
      <c r="Z58" s="1279"/>
      <c r="AA58" s="1279"/>
      <c r="AB58" s="1279"/>
      <c r="AC58" s="3126"/>
      <c r="AD58" s="2933"/>
      <c r="AE58" s="3126"/>
      <c r="AF58" s="2933"/>
      <c r="AG58" s="1279"/>
      <c r="AH58" s="1279"/>
      <c r="AI58" s="1279"/>
      <c r="AJ58" s="1279"/>
      <c r="AK58" s="1279"/>
      <c r="AL58" s="3126"/>
      <c r="AM58" s="2933"/>
      <c r="AN58" s="3126"/>
      <c r="AO58" s="2933"/>
      <c r="AP58" s="1236"/>
      <c r="AQ58" s="3078"/>
      <c r="AS58" s="1412"/>
      <c r="AT58" s="1412" t="str">
        <f>IF(V58="","",V58)</f>
        <v>Добавить наименование поставщика</v>
      </c>
      <c r="AU58" s="1412"/>
      <c r="AV58" s="1412"/>
    </row>
    <row customHeight="1" ht="11.25">
      <c r="A59" s="2182" t="s">
        <v>167</v>
      </c>
      <c r="B59" s="2182" t="s">
        <v>168</v>
      </c>
      <c r="C59" s="2182" t="s">
        <v>169</v>
      </c>
      <c r="D59" s="2182" t="s">
        <v>170</v>
      </c>
      <c r="E59" s="3114"/>
      <c r="F59" s="3114"/>
      <c r="G59" s="3114"/>
      <c r="H59" s="3128"/>
      <c r="I59" s="2927"/>
      <c r="J59" s="2953"/>
      <c r="K59" s="2182"/>
      <c r="L59" s="2182"/>
      <c r="M59" s="2225"/>
      <c r="Q59" s="3081"/>
      <c r="R59" s="3081"/>
      <c r="S59" s="2246"/>
      <c r="T59" s="1268"/>
      <c r="U59" s="2193"/>
      <c r="V59" s="1199" t="s">
        <v>402</v>
      </c>
      <c r="W59" s="1279"/>
      <c r="X59" s="1279"/>
      <c r="Y59" s="1279"/>
      <c r="Z59" s="1279"/>
      <c r="AA59" s="1279"/>
      <c r="AB59" s="1279"/>
      <c r="AC59" s="2323"/>
      <c r="AD59" s="2323"/>
      <c r="AE59" s="2323"/>
      <c r="AF59" s="2323"/>
      <c r="AG59" s="1279"/>
      <c r="AH59" s="1279"/>
      <c r="AI59" s="1279"/>
      <c r="AJ59" s="1279"/>
      <c r="AK59" s="1279"/>
      <c r="AL59" s="1279"/>
      <c r="AM59" s="1279"/>
      <c r="AN59" s="1279"/>
      <c r="AO59" s="1279"/>
      <c r="AP59" s="1236"/>
      <c r="AQ59" s="3079"/>
      <c r="AS59" s="1412"/>
      <c r="AT59" s="1412" t="str">
        <f>IF(V59="","",V59)</f>
        <v>Добавить вид теплоносителя (параметры теплоносителя)</v>
      </c>
      <c r="AU59" s="1412"/>
      <c r="AV59" s="1412"/>
    </row>
    <row customHeight="1" ht="11.25">
      <c r="A60" s="2182" t="s">
        <v>167</v>
      </c>
      <c r="B60" s="2182" t="s">
        <v>168</v>
      </c>
      <c r="C60" s="2182" t="s">
        <v>169</v>
      </c>
      <c r="D60" s="2182" t="s">
        <v>170</v>
      </c>
      <c r="E60" s="3114"/>
      <c r="F60" s="3114"/>
      <c r="G60" s="3114"/>
      <c r="H60" s="3128"/>
      <c r="I60" s="2953"/>
      <c r="J60" s="2182"/>
      <c r="K60" s="2182"/>
      <c r="L60" s="2182"/>
      <c r="M60" s="2225"/>
      <c r="Q60" s="3081"/>
      <c r="R60" s="2246"/>
      <c r="S60" s="2246"/>
      <c r="T60" s="1268"/>
      <c r="U60" s="2193"/>
      <c r="V60" s="1277" t="s">
        <v>403</v>
      </c>
      <c r="W60" s="1279"/>
      <c r="X60" s="1279"/>
      <c r="Y60" s="1279"/>
      <c r="Z60" s="1279"/>
      <c r="AA60" s="1279"/>
      <c r="AB60" s="1279"/>
      <c r="AC60" s="1279"/>
      <c r="AD60" s="1279"/>
      <c r="AE60" s="1279"/>
      <c r="AF60" s="1278"/>
      <c r="AG60" s="1279"/>
      <c r="AH60" s="1279"/>
      <c r="AI60" s="1279"/>
      <c r="AJ60" s="1279"/>
      <c r="AK60" s="1279"/>
      <c r="AL60" s="1279"/>
      <c r="AM60" s="1279"/>
      <c r="AN60" s="1279"/>
      <c r="AO60" s="1278"/>
      <c r="AP60" s="1279"/>
      <c r="AQ60" s="1215"/>
      <c r="AS60" s="1412"/>
      <c r="AT60" s="1412" t="str">
        <f>IF(V60="","",V60)</f>
        <v>Добавить группу потребителей</v>
      </c>
      <c r="AU60" s="1412"/>
      <c r="AV60" s="1412"/>
    </row>
    <row customHeight="1" ht="0">
      <c r="A61" s="2182" t="s">
        <v>167</v>
      </c>
      <c r="B61" s="2182" t="s">
        <v>168</v>
      </c>
      <c r="C61" s="2182" t="s">
        <v>169</v>
      </c>
      <c r="D61" s="2182" t="s">
        <v>170</v>
      </c>
      <c r="E61" s="3114"/>
      <c r="F61" s="3114"/>
      <c r="G61" s="3114"/>
      <c r="H61" s="3127"/>
      <c r="I61" s="2182"/>
      <c r="J61" s="2182"/>
      <c r="K61" s="2182"/>
      <c r="L61" s="2182"/>
      <c r="M61" s="2225"/>
      <c r="N61" s="1600"/>
      <c r="O61" s="1600"/>
      <c r="P61" s="1421"/>
      <c r="Q61" s="1272"/>
      <c r="R61" s="1287"/>
      <c r="S61" s="1267"/>
      <c r="T61" s="1272"/>
      <c r="U61" s="2301"/>
      <c r="V61" s="2302"/>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4"/>
      <c r="AS61" s="1412"/>
      <c r="AT61" s="1412" t="str">
        <f>IF(V61="","",V61)</f>
        <v/>
      </c>
      <c r="AU61" s="1412"/>
      <c r="AV61" s="1412"/>
    </row>
    <row s="40110" customFormat="1" customHeight="1" ht="0">
      <c r="A62" s="2290" t="s">
        <v>167</v>
      </c>
      <c r="B62" s="2290" t="s">
        <v>168</v>
      </c>
      <c r="C62" s="2290" t="s">
        <v>169</v>
      </c>
      <c r="D62" s="2289"/>
      <c r="E62" s="3114"/>
      <c r="F62" s="3114"/>
      <c r="G62" s="3113"/>
      <c r="H62" s="2289"/>
      <c r="I62" s="2289"/>
      <c r="J62" s="2289"/>
      <c r="K62" s="2289"/>
      <c r="L62" s="2289"/>
      <c r="M62" s="2292"/>
      <c r="N62" s="2293"/>
      <c r="O62" s="2293"/>
      <c r="P62" s="1263"/>
      <c r="Q62" s="2231"/>
      <c r="R62" s="2232"/>
      <c r="S62" s="2231"/>
      <c r="T62" s="2231"/>
      <c r="U62" s="2237"/>
      <c r="V62" s="2240" t="s">
        <v>405</v>
      </c>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S62" s="1701"/>
      <c r="AT62" s="1701" t="str">
        <f>IF(V62="","",V62)</f>
        <v>Добавить источник для дифференциации</v>
      </c>
      <c r="AU62" s="1701"/>
      <c r="AV62" s="1701"/>
    </row>
    <row s="40110" customFormat="1" customHeight="1" ht="0">
      <c r="A63" s="2290" t="s">
        <v>167</v>
      </c>
      <c r="B63" s="2290" t="s">
        <v>168</v>
      </c>
      <c r="C63" s="2289"/>
      <c r="D63" s="2289"/>
      <c r="E63" s="3114"/>
      <c r="F63" s="3113"/>
      <c r="G63" s="2289"/>
      <c r="H63" s="2289"/>
      <c r="I63" s="2289"/>
      <c r="J63" s="2289"/>
      <c r="K63" s="2289"/>
      <c r="L63" s="2289"/>
      <c r="M63" s="2292"/>
      <c r="N63" s="2294"/>
      <c r="O63" s="2294"/>
      <c r="P63" s="1263"/>
      <c r="Q63" s="2231"/>
      <c r="R63" s="2232"/>
      <c r="S63" s="2231"/>
      <c r="T63" s="2231"/>
      <c r="U63" s="2237"/>
      <c r="V63" s="2240" t="s">
        <v>406</v>
      </c>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S63" s="1701"/>
      <c r="AT63" s="1701" t="str">
        <f>IF(V63="","",V63)</f>
        <v>Добавить централизованную систему для дифференциации</v>
      </c>
      <c r="AU63" s="1701"/>
      <c r="AV63" s="1701"/>
    </row>
    <row s="40202" customFormat="1" customHeight="1" ht="0">
      <c r="A64" s="2290" t="s">
        <v>167</v>
      </c>
      <c r="B64" s="2290"/>
      <c r="C64" s="2290"/>
      <c r="D64" s="2290"/>
      <c r="E64" s="3113"/>
      <c r="F64" s="2290"/>
      <c r="G64" s="2290"/>
      <c r="H64" s="2290"/>
      <c r="I64" s="2290"/>
      <c r="J64" s="2290"/>
      <c r="K64" s="2290"/>
      <c r="L64" s="2290"/>
      <c r="M64" s="2296"/>
      <c r="N64" s="2294"/>
      <c r="O64" s="2294"/>
      <c r="P64" s="1263"/>
      <c r="Q64" s="1292"/>
      <c r="R64" s="2259"/>
      <c r="S64" s="1292"/>
      <c r="T64" s="1292"/>
      <c r="U64" s="2237"/>
      <c r="V64" s="2240" t="s">
        <v>407</v>
      </c>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S64" s="1412"/>
      <c r="AT64" s="1412" t="str">
        <f>IF(V64="","",V64)</f>
        <v>Добавить территорию для дифференциации</v>
      </c>
      <c r="AU64" s="1412"/>
      <c r="AV64" s="1412"/>
    </row>
    <row s="40110" customFormat="1" customHeight="1" ht="5.25">
      <c r="A65" s="2289"/>
      <c r="B65" s="2289"/>
      <c r="C65" s="2289"/>
      <c r="D65" s="2289"/>
      <c r="E65" s="2290"/>
      <c r="F65" s="2289"/>
      <c r="G65" s="2289"/>
      <c r="H65" s="2289"/>
      <c r="I65" s="2289"/>
      <c r="J65" s="2289"/>
      <c r="K65" s="2289"/>
      <c r="L65" s="2289"/>
      <c r="M65" s="2292"/>
      <c r="N65" s="2294"/>
      <c r="O65" s="2294"/>
      <c r="P65" s="1263"/>
      <c r="Q65" s="2231"/>
      <c r="R65" s="2232"/>
      <c r="S65" s="2231"/>
      <c r="T65" s="2231"/>
      <c r="U65" s="2237"/>
      <c r="V65" s="2240" t="s">
        <v>439</v>
      </c>
      <c r="W65" s="2239"/>
      <c r="X65" s="2239"/>
      <c r="Y65" s="2239"/>
      <c r="Z65" s="2239"/>
      <c r="AA65" s="2239"/>
      <c r="AB65" s="2239"/>
      <c r="AC65" s="2239"/>
      <c r="AD65" s="2239"/>
      <c r="AE65" s="2239"/>
      <c r="AF65" s="2239"/>
      <c r="AG65" s="2239"/>
      <c r="AH65" s="2239"/>
      <c r="AI65" s="2239"/>
      <c r="AJ65" s="2239"/>
      <c r="AK65" s="2239"/>
      <c r="AL65" s="2239"/>
      <c r="AM65" s="2239"/>
      <c r="AN65" s="2239"/>
      <c r="AO65" s="2239"/>
      <c r="AP65" s="2239"/>
      <c r="AQ65" s="2239"/>
      <c r="AS65" s="1701"/>
      <c r="AT65" s="1701" t="str">
        <f>IF(V65="","",V65)</f>
        <v>Добавить наименование тарифа</v>
      </c>
      <c r="AU65" s="1701"/>
      <c r="AV65" s="1701"/>
    </row>
    <row customHeight="1" ht="11.25">
      <c r="N66" s="2069"/>
      <c r="O66" s="2069"/>
      <c r="P66" s="1421"/>
      <c r="Q66" s="2069"/>
      <c r="R66" s="2069"/>
      <c r="S66" s="2069"/>
      <c r="T66" s="2069"/>
      <c r="U66" s="2069"/>
      <c r="AR66" s="2069"/>
      <c r="AS66" s="2069"/>
      <c r="AT66" s="2069"/>
      <c r="AU66" s="2069"/>
      <c r="AV66" s="2069"/>
    </row>
    <row customHeight="1" ht="33.75">
      <c r="P67" s="1421"/>
      <c r="U67" s="2167"/>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row>
    <row customHeight="1" ht="19.5">
      <c r="P68" s="1421"/>
      <c r="V68" s="3109"/>
      <c r="W68" s="3109"/>
      <c r="X68" s="3109"/>
      <c r="Y68" s="3109"/>
      <c r="Z68" s="3109"/>
      <c r="AA68" s="3109"/>
      <c r="AB68" s="3109"/>
      <c r="AC68" s="3109"/>
      <c r="AD68" s="3109"/>
      <c r="AE68" s="3109"/>
      <c r="AF68" s="3109"/>
      <c r="AG68" s="3109"/>
      <c r="AH68" s="3109"/>
      <c r="AI68" s="3109"/>
      <c r="AJ68" s="3109"/>
      <c r="AK68" s="3109"/>
      <c r="AL68" s="3109"/>
      <c r="AM68" s="3109"/>
      <c r="AN68" s="3109"/>
      <c r="AO68" s="3109"/>
      <c r="AP68" s="3109"/>
      <c r="AQ68" s="3109"/>
    </row>
    <row customHeight="1" ht="14.25">
      <c r="P69" s="1421"/>
    </row>
    <row customHeight="1" ht="27">
      <c r="P70" s="1421"/>
      <c r="V70" s="3109"/>
      <c r="W70" s="3109"/>
      <c r="X70" s="3109"/>
      <c r="Y70" s="3109"/>
      <c r="Z70" s="3109"/>
      <c r="AA70" s="3109"/>
      <c r="AB70" s="3109"/>
      <c r="AC70" s="3109"/>
      <c r="AD70" s="3109"/>
      <c r="AE70" s="3109"/>
      <c r="AF70" s="3109"/>
      <c r="AG70" s="3109"/>
      <c r="AH70" s="3109"/>
      <c r="AI70" s="3109"/>
      <c r="AJ70" s="3109"/>
      <c r="AK70" s="3109"/>
      <c r="AL70" s="3109"/>
      <c r="AM70" s="3109"/>
      <c r="AN70" s="3109"/>
      <c r="AO70" s="3109"/>
      <c r="AP70" s="3109"/>
      <c r="AQ70" s="3109"/>
    </row>
    <row customHeight="1" ht="18">
      <c r="P71" s="1421"/>
      <c r="V71" s="3109"/>
      <c r="W71" s="3109"/>
      <c r="X71" s="3109"/>
      <c r="Y71" s="3109"/>
      <c r="Z71" s="3109"/>
      <c r="AA71" s="3109"/>
      <c r="AB71" s="3109"/>
      <c r="AC71" s="3109"/>
      <c r="AD71" s="3109"/>
      <c r="AE71" s="3109"/>
      <c r="AF71" s="3109"/>
      <c r="AG71" s="3109"/>
      <c r="AH71" s="3109"/>
      <c r="AI71" s="3109"/>
      <c r="AJ71" s="3109"/>
      <c r="AK71" s="3109"/>
      <c r="AL71" s="3109"/>
      <c r="AM71" s="3109"/>
      <c r="AN71" s="3109"/>
      <c r="AO71" s="3109"/>
      <c r="AP71" s="3109"/>
      <c r="AQ71" s="3109"/>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D9661F6-2ED1-01BC-40C8-C9F76BC8CFF1}" mc:Ignorable="x14ac xr xr2 xr3">
  <sheetPr>
    <tabColor rgb="FFCCCCFF"/>
  </sheetPr>
  <dimension ref="A1:P78"/>
  <sheetViews>
    <sheetView topLeftCell="C10" showGridLines="0" zoomScale="90" workbookViewId="0">
      <selection activeCell="I64" sqref="I64"/>
    </sheetView>
  </sheetViews>
  <sheetFormatPr defaultColWidth="9.140625" customHeight="1" defaultRowHeight="11.25"/>
  <cols>
    <col min="1" max="1" style="39448" width="10.7109375" hidden="1" customWidth="1"/>
    <col min="2" max="2" style="39449" width="10.7109375" hidden="1" customWidth="1"/>
    <col min="3" max="3" style="39450" width="3.7109375" customWidth="1"/>
    <col min="4" max="4" style="39451" width="1.7109375" customWidth="1"/>
    <col min="5" max="5" style="39451" width="55.28125" customWidth="1"/>
    <col min="6" max="6" style="39451" width="55.00390625" customWidth="1"/>
    <col min="7" max="7" style="39452" width="1.7109375" customWidth="1"/>
    <col min="8" max="8" style="39377" width="18.00390625" hidden="1" customWidth="1"/>
    <col min="9" max="9" style="39453" width="59.7109375" customWidth="1"/>
    <col min="10" max="10" style="39454" width="52.140625" hidden="1" customWidth="1"/>
    <col min="11" max="11" style="39451" width="9.140625"/>
    <col min="12" max="12" style="39451" width="78.00390625" customWidth="1"/>
    <col min="13" max="16" style="39451" width="9.140625"/>
  </cols>
  <sheetData>
    <row s="39336" customFormat="1" customHeight="1" ht="3">
      <c r="A1" s="1695"/>
      <c r="B1" s="1153"/>
      <c r="F1" s="1154">
        <v>26354809</v>
      </c>
      <c r="G1" s="1323"/>
      <c r="H1" s="983"/>
      <c r="I1" s="1323"/>
      <c r="J1" s="1783"/>
    </row>
    <row s="39343" customFormat="1" customHeight="1" ht="14.25">
      <c r="A2" s="1695"/>
      <c r="B2" s="1011"/>
      <c r="E2" s="2655" t="str">
        <f>code</f>
        <v>Код отчёта: PP110.OPEN.INFO.INVEST.HEAT.EIAS</v>
      </c>
      <c r="F2" s="1181"/>
      <c r="G2" s="1157"/>
      <c r="H2" s="1157"/>
      <c r="I2" s="1157"/>
      <c r="J2" s="1784"/>
      <c r="K2" s="1157"/>
    </row>
    <row customHeight="1" ht="14.25">
      <c r="E3" s="1158" t="str">
        <f>version</f>
        <v>Версия отчёта: 1.0.3</v>
      </c>
      <c r="F3" s="1181"/>
      <c r="G3" s="1682"/>
      <c r="H3" s="1682"/>
      <c r="I3" s="1682"/>
      <c r="J3" s="1785"/>
      <c r="K3" s="1000"/>
    </row>
    <row s="39353" customFormat="1" customHeight="1" ht="6">
      <c r="A4" s="1696"/>
      <c r="B4" s="1144"/>
      <c r="C4" s="1145"/>
      <c r="D4" s="1146"/>
      <c r="E4" s="1155"/>
      <c r="F4" s="1156"/>
      <c r="G4" s="1683"/>
      <c r="H4" s="1321"/>
      <c r="I4" s="1323"/>
      <c r="J4" s="1786"/>
    </row>
    <row customHeight="1" ht="37.5">
      <c r="D5" s="987"/>
      <c r="E5" s="2921" t="str">
        <f>NameTemplatesInTitle</f>
        <v>Информация об инвестиционных программах регулируемой организации в области теплоснабжения</v>
      </c>
      <c r="F5" s="2922"/>
      <c r="G5" s="1684"/>
      <c r="J5" s="1787"/>
    </row>
    <row s="39353" customFormat="1" customHeight="1" ht="6">
      <c r="A6" s="1696"/>
      <c r="B6" s="1144"/>
      <c r="C6" s="1145"/>
      <c r="D6" s="1146"/>
      <c r="E6" s="1149"/>
      <c r="F6" s="1150"/>
      <c r="G6" s="1684"/>
      <c r="H6" s="1321"/>
      <c r="I6" s="1323"/>
      <c r="J6" s="1786"/>
    </row>
    <row customHeight="1" ht="19.5">
      <c r="D7" s="987"/>
      <c r="E7" s="1303" t="s">
        <v>13</v>
      </c>
      <c r="F7" s="1127" t="s">
        <v>14</v>
      </c>
      <c r="G7" s="1684"/>
    </row>
    <row s="39353" customFormat="1" customHeight="1" ht="6">
      <c r="A8" s="1697"/>
      <c r="B8" s="1144"/>
      <c r="C8" s="1145"/>
      <c r="D8" s="1151"/>
      <c r="E8" s="1149"/>
      <c r="F8" s="1152"/>
      <c r="G8" s="989"/>
      <c r="H8" s="1321"/>
      <c r="I8" s="1323"/>
      <c r="J8" s="1789"/>
    </row>
    <row s="39377" customFormat="1" customHeight="1" ht="19.5" hidden="1">
      <c r="A9" s="1696"/>
      <c r="B9" s="1011"/>
      <c r="C9" s="1320"/>
      <c r="D9" s="1322"/>
      <c r="E9" s="2079" t="s">
        <v>15</v>
      </c>
      <c r="F9" s="2837"/>
      <c r="G9" s="1684"/>
      <c r="I9" s="2816" t="str">
        <f>IF(TITLE_STRUCTURE_INFO_ROIV="","","раскрывается "&amp;INDEX(ROIV_INFO_COMMENT,MATCH(TITLE_STRUCTURE_INFO_ROIV,ROIV_INFO_LIST,0)))</f>
        <v/>
      </c>
      <c r="J9" s="1788"/>
    </row>
    <row s="39384" customFormat="1" customHeight="1" ht="6">
      <c r="A10" s="1697"/>
      <c r="B10" s="1338"/>
      <c r="C10" s="1339"/>
      <c r="D10" s="1151"/>
      <c r="E10" s="1149"/>
      <c r="F10" s="1152"/>
      <c r="G10" s="989"/>
      <c r="H10" s="1321"/>
      <c r="I10" s="1323"/>
      <c r="J10" s="1789"/>
    </row>
    <row customHeight="1" ht="22.5" hidden="1">
      <c r="A11" s="2924" t="s">
        <v>16</v>
      </c>
      <c r="D11" s="987"/>
      <c r="E11" s="2079" t="s">
        <v>17</v>
      </c>
      <c r="F11" s="2647" t="s">
        <v>18</v>
      </c>
      <c r="G11" s="989"/>
      <c r="H11" s="1685" t="s">
        <v>19</v>
      </c>
      <c r="J11" s="1788" t="s">
        <v>20</v>
      </c>
    </row>
    <row customHeight="1" ht="22.5" hidden="1">
      <c r="A12" s="2924"/>
      <c r="D12" s="987"/>
      <c r="E12" s="2079" t="s">
        <v>21</v>
      </c>
      <c r="F12" s="2647"/>
      <c r="G12" s="985"/>
      <c r="J12" s="1788" t="s">
        <v>22</v>
      </c>
    </row>
    <row s="39377" customFormat="1" customHeight="1" ht="22.5" hidden="1">
      <c r="A13" s="1700" t="s">
        <v>23</v>
      </c>
      <c r="B13" s="1011"/>
      <c r="C13" s="1320"/>
      <c r="D13" s="1322"/>
      <c r="E13" s="2690" t="s">
        <v>24</v>
      </c>
      <c r="F13" s="2647" t="s">
        <v>18</v>
      </c>
      <c r="G13" s="989"/>
      <c r="H13" s="1682"/>
      <c r="I13" s="1323"/>
      <c r="J13" s="2691" t="s">
        <v>25</v>
      </c>
    </row>
    <row s="39377" customFormat="1" customHeight="1" ht="27">
      <c r="A14" s="1700" t="s">
        <v>26</v>
      </c>
      <c r="B14" s="1011"/>
      <c r="C14" s="1320"/>
      <c r="D14" s="1322"/>
      <c r="E14" s="2079" t="s">
        <v>27</v>
      </c>
      <c r="F14" s="8747">
        <v>2024</v>
      </c>
      <c r="G14" s="989"/>
      <c r="H14" s="1682"/>
      <c r="I14" s="1323"/>
      <c r="J14" s="1788" t="s">
        <v>28</v>
      </c>
    </row>
    <row s="39377" customFormat="1" customHeight="1" ht="19.5" hidden="1">
      <c r="A15" s="1700" t="s">
        <v>29</v>
      </c>
      <c r="B15" s="1011"/>
      <c r="C15" s="1320"/>
      <c r="D15" s="1322"/>
      <c r="E15" s="2079" t="s">
        <v>30</v>
      </c>
      <c r="F15" s="2682"/>
      <c r="G15" s="989"/>
      <c r="H15" s="1682"/>
      <c r="I15" s="1323"/>
      <c r="J15" s="1788" t="s">
        <v>31</v>
      </c>
    </row>
    <row s="39353" customFormat="1" customHeight="1" ht="6">
      <c r="A16" s="1697"/>
      <c r="B16" s="1144"/>
      <c r="C16" s="1145"/>
      <c r="D16" s="1151"/>
      <c r="E16" s="1149"/>
      <c r="F16" s="1152"/>
      <c r="G16" s="989"/>
      <c r="H16" s="1321"/>
      <c r="I16" s="1323"/>
      <c r="J16" s="1786"/>
    </row>
    <row customHeight="1" ht="19.5">
      <c r="D17" s="987"/>
      <c r="E17" s="1303" t="s">
        <v>32</v>
      </c>
      <c r="F17" s="5979" t="s">
        <v>33</v>
      </c>
      <c r="G17" s="985"/>
      <c r="H17" s="1685" t="s">
        <v>19</v>
      </c>
    </row>
    <row customHeight="1" ht="25.5" hidden="1">
      <c r="D18" s="987"/>
      <c r="E18" s="2690" t="s">
        <v>34</v>
      </c>
      <c r="F18" s="2648"/>
      <c r="G18" s="985"/>
      <c r="I18" s="1686"/>
      <c r="J18" s="2923" t="s">
        <v>35</v>
      </c>
    </row>
    <row customHeight="1" ht="25.5" hidden="1">
      <c r="D19" s="987"/>
      <c r="E19" s="207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648"/>
      <c r="G19" s="985"/>
      <c r="I19" s="1686"/>
      <c r="J19" s="2923"/>
    </row>
    <row customHeight="1" ht="22.5" hidden="1">
      <c r="D20" s="987"/>
      <c r="E20" s="988"/>
      <c r="F20" s="1182" t="str">
        <f>"Первичное "&amp;IF(TEMPLATE_GROUP="P","установление тарифов","предложение по тарифам")</f>
        <v>Первичное предложение по тарифам</v>
      </c>
      <c r="G20" s="985"/>
      <c r="I20" s="1306"/>
      <c r="J20" s="1787" t="s">
        <v>36</v>
      </c>
    </row>
    <row customHeight="1" ht="19.5" hidden="1">
      <c r="D21" s="987"/>
      <c r="E21" s="1303" t="str">
        <f>"Дата "&amp;IF(TEMPLATE_GROUP="P","документа","подачи заявления")&amp;" об утверждении тарифов"</f>
        <v>Дата подачи заявления об утверждении тарифов</v>
      </c>
      <c r="F21" s="2647"/>
      <c r="G21" s="985"/>
      <c r="I21" s="1687"/>
    </row>
    <row customHeight="1" ht="19.5" hidden="1">
      <c r="D22" s="987"/>
      <c r="E22" s="1303" t="str">
        <f>"Номер "&amp;IF(TEMPLATE_GROUP="P","документа","подачи заявления")&amp;" об утверждении тарифов"</f>
        <v>Номер подачи заявления об утверждении тарифов</v>
      </c>
      <c r="F22" s="1128"/>
      <c r="G22" s="985"/>
      <c r="I22" s="1687"/>
    </row>
    <row customHeight="1" ht="22.5" hidden="1">
      <c r="D23" s="987"/>
      <c r="E23" s="1303" t="s">
        <v>37</v>
      </c>
      <c r="F23" s="1128"/>
      <c r="G23" s="985"/>
    </row>
    <row customHeight="1" ht="19.5" hidden="1">
      <c r="D24" s="987"/>
      <c r="E24" s="1303" t="s">
        <v>38</v>
      </c>
      <c r="F24" s="1128"/>
      <c r="G24" s="985"/>
    </row>
    <row customHeight="1" ht="22.5" hidden="1">
      <c r="D25" s="987"/>
      <c r="E25" s="988"/>
      <c r="F25" s="1182" t="str">
        <f>"Изменение "&amp;IF(TEMPLATE_GROUP="P","тарифов","предложения по тарифам")</f>
        <v>Изменение предложения по тарифам</v>
      </c>
      <c r="G25" s="985"/>
      <c r="J25" s="1787" t="s">
        <v>39</v>
      </c>
    </row>
    <row customHeight="1" ht="19.5" hidden="1">
      <c r="D26" s="987"/>
      <c r="E26" s="1303" t="str">
        <f>"Дата "&amp;IF(TEMPLATE_GROUP="P","принятия решения","подачи заявления")&amp;" об изменении тарифов"</f>
        <v>Дата подачи заявления об изменении тарифов</v>
      </c>
      <c r="F26" s="2648"/>
      <c r="G26" s="985"/>
    </row>
    <row customHeight="1" ht="19.5" hidden="1">
      <c r="D27" s="987"/>
      <c r="E27" s="2079" t="str">
        <f>"Номер "&amp;IF(TEMPLATE_GROUP="P","принятия решения","заявления")&amp;" об изменении тарифов"</f>
        <v>Номер заявления об изменении тарифов</v>
      </c>
      <c r="F27" s="1130"/>
      <c r="G27" s="985"/>
    </row>
    <row customHeight="1" ht="24.75" hidden="1">
      <c r="D28" s="987"/>
      <c r="E28" s="1303" t="s">
        <v>40</v>
      </c>
      <c r="F28" s="1130"/>
      <c r="G28" s="985"/>
    </row>
    <row customHeight="1" ht="19.5" hidden="1">
      <c r="D29" s="987"/>
      <c r="E29" s="1303" t="s">
        <v>38</v>
      </c>
      <c r="F29" s="1130"/>
      <c r="G29" s="985"/>
    </row>
    <row s="39353" customFormat="1" customHeight="1" ht="6">
      <c r="A30" s="1697"/>
      <c r="B30" s="1144"/>
      <c r="C30" s="1145"/>
      <c r="D30" s="1151"/>
      <c r="E30" s="1149"/>
      <c r="F30" s="1152"/>
      <c r="G30" s="989"/>
      <c r="H30" s="1321"/>
      <c r="I30" s="1323"/>
      <c r="J30" s="1786"/>
    </row>
    <row customHeight="1" ht="19.5">
      <c r="C31" s="990"/>
      <c r="D31" s="991"/>
      <c r="E31" s="1303" t="str">
        <f>"Наименование "&amp;IF(TEMPLATE_GROUP="ROIV","органа тарифного регулирования","ЮЛ / ИП")</f>
        <v>Наименование ЮЛ / ИП</v>
      </c>
      <c r="F31" s="1129" t="s">
        <v>41</v>
      </c>
      <c r="G31" s="1688"/>
    </row>
    <row customHeight="1" ht="19.5" hidden="1">
      <c r="C32" s="990"/>
      <c r="D32" s="991"/>
      <c r="E32" s="1304" t="s">
        <v>42</v>
      </c>
      <c r="F32" s="1129"/>
      <c r="G32" s="1688"/>
    </row>
    <row customHeight="1" ht="19.5">
      <c r="C33" s="990"/>
      <c r="D33" s="991"/>
      <c r="E33" s="1303" t="s">
        <v>43</v>
      </c>
      <c r="F33" s="1129" t="s">
        <v>44</v>
      </c>
      <c r="G33" s="1688"/>
    </row>
    <row customHeight="1" ht="19.5">
      <c r="C34" s="990"/>
      <c r="D34" s="991"/>
      <c r="E34" s="1303" t="s">
        <v>45</v>
      </c>
      <c r="F34" s="1129" t="s">
        <v>46</v>
      </c>
      <c r="G34" s="1688"/>
      <c r="H34" s="992"/>
    </row>
    <row s="39353" customFormat="1" customHeight="1" ht="11.25">
      <c r="A35" s="1697"/>
      <c r="B35" s="1144"/>
      <c r="C35" s="1145"/>
      <c r="D35" s="1151"/>
      <c r="E35" s="1149"/>
      <c r="F35" s="1152"/>
      <c r="G35" s="989"/>
      <c r="H35" s="1321"/>
      <c r="I35" s="1323"/>
      <c r="J35" s="1786"/>
    </row>
    <row customHeight="1" ht="19.5">
      <c r="A36" s="1791"/>
      <c r="D36" s="991"/>
      <c r="E36" s="1303" t="s">
        <v>47</v>
      </c>
      <c r="F36" s="8766" t="s">
        <v>48</v>
      </c>
      <c r="G36" s="989"/>
    </row>
    <row customHeight="1" ht="19.5">
      <c r="A37" s="1791"/>
      <c r="D37" s="991"/>
      <c r="E37" s="1303" t="s">
        <v>49</v>
      </c>
      <c r="F37" s="5996" t="s">
        <v>50</v>
      </c>
      <c r="G37" s="989"/>
    </row>
    <row s="39353" customFormat="1" customHeight="1" ht="6">
      <c r="A38" s="1697"/>
      <c r="B38" s="1144"/>
      <c r="C38" s="1145"/>
      <c r="D38" s="1146"/>
      <c r="E38" s="1147"/>
      <c r="F38" s="1966"/>
      <c r="G38" s="985"/>
      <c r="H38" s="1321"/>
      <c r="I38" s="1323"/>
      <c r="J38" s="1788"/>
    </row>
    <row customHeight="1" ht="35.25">
      <c r="A39" s="1697"/>
      <c r="D39" s="987"/>
      <c r="E39" s="1303" t="s">
        <v>51</v>
      </c>
      <c r="F39" s="1622" t="s">
        <v>52</v>
      </c>
      <c r="G39" s="985"/>
      <c r="H39" s="1685" t="s">
        <v>19</v>
      </c>
    </row>
    <row s="39384" customFormat="1" customHeight="1" ht="6" hidden="1">
      <c r="A40" s="1696"/>
      <c r="B40" s="1338"/>
      <c r="C40" s="1339"/>
      <c r="D40" s="1340"/>
      <c r="E40" s="1341"/>
      <c r="F40" s="1966"/>
      <c r="G40" s="985"/>
      <c r="H40" s="1321"/>
      <c r="I40" s="1323"/>
      <c r="J40" s="1788"/>
    </row>
    <row s="39377" customFormat="1" customHeight="1" ht="26.25" hidden="1">
      <c r="A41" s="1700" t="s">
        <v>23</v>
      </c>
      <c r="B41" s="1325"/>
      <c r="C41" s="1320"/>
      <c r="D41" s="1322"/>
      <c r="E41" s="13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622" t="s">
        <v>52</v>
      </c>
      <c r="G41" s="985"/>
      <c r="I41" s="1323"/>
      <c r="J41" s="1788"/>
    </row>
    <row s="39384" customFormat="1" customHeight="1" ht="6" hidden="1">
      <c r="A42" s="1696"/>
      <c r="B42" s="1338"/>
      <c r="C42" s="1339"/>
      <c r="D42" s="1340"/>
      <c r="E42" s="1341"/>
      <c r="F42" s="1966"/>
      <c r="G42" s="985"/>
      <c r="H42" s="1321"/>
      <c r="I42" s="1323"/>
      <c r="J42" s="1786"/>
    </row>
    <row s="39377" customFormat="1" customHeight="1" ht="27" hidden="1">
      <c r="A43" s="1696"/>
      <c r="B43" s="1325"/>
      <c r="C43" s="1320"/>
      <c r="D43" s="1322"/>
      <c r="E43" s="1303" t="s">
        <v>53</v>
      </c>
      <c r="F43" s="1622" t="s">
        <v>52</v>
      </c>
      <c r="G43" s="985"/>
      <c r="I43" s="1323"/>
      <c r="J43" s="1788"/>
    </row>
    <row s="39377" customFormat="1" customHeight="1" ht="27" hidden="1">
      <c r="A44" s="1696"/>
      <c r="B44" s="1325"/>
      <c r="C44" s="1320"/>
      <c r="D44" s="1322"/>
      <c r="E44" s="2079" t="s">
        <v>54</v>
      </c>
      <c r="F44" s="2804"/>
      <c r="G44" s="985"/>
      <c r="I44" s="1323"/>
      <c r="J44" s="1788"/>
    </row>
    <row s="39384" customFormat="1" customHeight="1" ht="6" hidden="1">
      <c r="A45" s="1696"/>
      <c r="B45" s="1338"/>
      <c r="C45" s="1339"/>
      <c r="D45" s="1340"/>
      <c r="E45" s="1341"/>
      <c r="F45" s="1966"/>
      <c r="G45" s="985"/>
      <c r="H45" s="1321"/>
      <c r="I45" s="1323"/>
      <c r="J45" s="1788"/>
    </row>
    <row s="39384" customFormat="1" customHeight="1" ht="24.75" hidden="1">
      <c r="A46" s="1696"/>
      <c r="B46" s="1338"/>
      <c r="C46" s="1339"/>
      <c r="D46" s="1340"/>
      <c r="E46" s="2079" t="s">
        <v>55</v>
      </c>
      <c r="F46" s="1622" t="s">
        <v>52</v>
      </c>
      <c r="G46" s="985"/>
      <c r="H46" s="1321"/>
      <c r="I46" s="1323"/>
      <c r="J46" s="1788"/>
    </row>
    <row s="39377" customFormat="1" customHeight="1" ht="24.75" hidden="1">
      <c r="A47" s="1696"/>
      <c r="B47" s="1325"/>
      <c r="C47" s="1320"/>
      <c r="D47" s="1322"/>
      <c r="E47" s="2079" t="s">
        <v>56</v>
      </c>
      <c r="F47" s="1622" t="s">
        <v>52</v>
      </c>
      <c r="G47" s="985"/>
      <c r="I47" s="1323"/>
      <c r="J47" s="1788"/>
    </row>
    <row s="39353" customFormat="1" customHeight="1" ht="6" hidden="1">
      <c r="A48" s="1696"/>
      <c r="B48" s="1144"/>
      <c r="C48" s="1145"/>
      <c r="D48" s="1146"/>
      <c r="E48" s="1147"/>
      <c r="F48" s="1966"/>
      <c r="G48" s="985"/>
      <c r="H48" s="1321"/>
      <c r="I48" s="1323"/>
      <c r="J48" s="1788"/>
    </row>
    <row customHeight="1" ht="29.25" hidden="1">
      <c r="B49" s="1061"/>
      <c r="D49" s="987"/>
      <c r="E49" s="13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622"/>
      <c r="G49" s="985"/>
    </row>
    <row s="39384" customFormat="1" customHeight="1" ht="6" hidden="1">
      <c r="A50" s="1697"/>
      <c r="B50" s="1338"/>
      <c r="C50" s="1339"/>
      <c r="D50" s="1151"/>
      <c r="E50" s="1149"/>
      <c r="F50" s="1152"/>
      <c r="G50" s="989"/>
      <c r="H50" s="1321"/>
      <c r="I50" s="1323"/>
      <c r="J50" s="1788"/>
    </row>
    <row s="39423" customFormat="1" customHeight="1" ht="28.5" hidden="1">
      <c r="A51" s="1698"/>
      <c r="B51" s="1325"/>
      <c r="C51" s="1442"/>
      <c r="D51" s="1443"/>
      <c r="E51" s="1303" t="s">
        <v>57</v>
      </c>
      <c r="F51" s="1622" t="s">
        <v>52</v>
      </c>
      <c r="G51" s="1444"/>
      <c r="I51" s="1446"/>
      <c r="J51" s="1790"/>
      <c r="P51" s="1447"/>
    </row>
    <row s="39384" customFormat="1" customHeight="1" ht="6" hidden="1">
      <c r="A52" s="1697"/>
      <c r="B52" s="1338"/>
      <c r="C52" s="1339"/>
      <c r="D52" s="1151"/>
      <c r="E52" s="1149"/>
      <c r="F52" s="1152"/>
      <c r="G52" s="989"/>
      <c r="H52" s="1321"/>
      <c r="I52" s="1323"/>
      <c r="J52" s="1786"/>
    </row>
    <row s="39423" customFormat="1" customHeight="1" ht="27" hidden="1">
      <c r="A53" s="1698"/>
      <c r="B53" s="1325"/>
      <c r="C53" s="1442"/>
      <c r="D53" s="1443"/>
      <c r="E53" s="1303" t="s">
        <v>58</v>
      </c>
      <c r="F53" s="1961" t="s">
        <v>52</v>
      </c>
      <c r="G53" s="1444"/>
      <c r="I53" s="1446"/>
      <c r="J53" s="1790"/>
      <c r="P53" s="1447"/>
    </row>
    <row s="39423" customFormat="1" customHeight="1" ht="27" hidden="1">
      <c r="A54" s="1698"/>
      <c r="B54" s="1325"/>
      <c r="C54" s="1442"/>
      <c r="D54" s="1443"/>
      <c r="E54" s="1303" t="s">
        <v>59</v>
      </c>
      <c r="F54" s="2689"/>
      <c r="G54" s="1444"/>
      <c r="I54" s="1446"/>
      <c r="J54" s="1790"/>
      <c r="P54" s="1447"/>
    </row>
    <row s="39384" customFormat="1" customHeight="1" ht="6" hidden="1">
      <c r="A55" s="1697"/>
      <c r="B55" s="1338"/>
      <c r="C55" s="1339"/>
      <c r="D55" s="1151"/>
      <c r="E55" s="1149"/>
      <c r="F55" s="1152"/>
      <c r="G55" s="989"/>
      <c r="H55" s="1321"/>
      <c r="I55" s="1323"/>
      <c r="J55" s="1786"/>
    </row>
    <row s="39423" customFormat="1" customHeight="1" ht="25.5" hidden="1">
      <c r="A56" s="1698"/>
      <c r="B56" s="1325"/>
      <c r="C56" s="1442"/>
      <c r="D56" s="1443"/>
      <c r="E56" s="1303" t="s">
        <v>60</v>
      </c>
      <c r="F56" s="1961" t="s">
        <v>52</v>
      </c>
      <c r="G56" s="1444"/>
      <c r="I56" s="1446"/>
      <c r="J56" s="1790"/>
      <c r="P56" s="1447"/>
    </row>
    <row s="39384" customFormat="1" customHeight="1" ht="6" hidden="1">
      <c r="A57" s="1697"/>
      <c r="B57" s="1338"/>
      <c r="C57" s="1339"/>
      <c r="D57" s="1151"/>
      <c r="E57" s="1149"/>
      <c r="F57" s="1152"/>
      <c r="G57" s="989"/>
      <c r="H57" s="1321"/>
      <c r="I57" s="1323"/>
      <c r="J57" s="1786"/>
    </row>
    <row s="39423" customFormat="1" customHeight="1" ht="15" hidden="1">
      <c r="A58" s="1698"/>
      <c r="B58" s="1325"/>
      <c r="C58" s="1442"/>
      <c r="D58" s="1443"/>
      <c r="E58" s="1303" t="s">
        <v>61</v>
      </c>
      <c r="F58" s="1961" t="s">
        <v>62</v>
      </c>
      <c r="G58" s="1444"/>
      <c r="I58" s="1446"/>
      <c r="J58" s="1790"/>
      <c r="P58" s="1447"/>
    </row>
    <row s="39423" customFormat="1" customHeight="1" ht="75">
      <c r="A59" s="1698"/>
      <c r="B59" s="1325"/>
      <c r="C59" s="1442"/>
      <c r="D59" s="1443"/>
      <c r="E59" s="13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2103" t="s">
        <v>62</v>
      </c>
      <c r="G59" s="1444"/>
      <c r="I59" s="1446"/>
      <c r="J59" s="1790"/>
      <c r="P59" s="1447"/>
    </row>
    <row s="39423" customFormat="1" customHeight="1" ht="15">
      <c r="A60" s="1698"/>
      <c r="B60" s="1325"/>
      <c r="C60" s="1442"/>
      <c r="D60" s="1443"/>
      <c r="E60" s="2079" t="s">
        <v>63</v>
      </c>
      <c r="F60" s="36643" t="s">
        <v>64</v>
      </c>
      <c r="G60" s="1444"/>
      <c r="I60" s="1446"/>
      <c r="J60" s="1790"/>
      <c r="P60" s="1447"/>
    </row>
    <row s="39384" customFormat="1" customHeight="1" ht="6" hidden="1">
      <c r="A61" s="1697"/>
      <c r="B61" s="1338"/>
      <c r="C61" s="1339"/>
      <c r="D61" s="1340"/>
      <c r="E61" s="1341"/>
      <c r="F61" s="1966"/>
      <c r="G61" s="985"/>
      <c r="H61" s="1321"/>
      <c r="I61" s="1323"/>
      <c r="J61" s="1788"/>
    </row>
    <row s="39377" customFormat="1" customHeight="1" ht="33.75" hidden="1">
      <c r="A62" s="1697"/>
      <c r="B62" s="1011"/>
      <c r="C62" s="1320"/>
      <c r="D62" s="1322"/>
      <c r="E62" s="2079" t="s">
        <v>65</v>
      </c>
      <c r="F62" s="2586" t="s">
        <v>62</v>
      </c>
      <c r="G62" s="985"/>
      <c r="H62" s="1685" t="s">
        <v>19</v>
      </c>
      <c r="I62" s="1323"/>
      <c r="J62" s="1788"/>
    </row>
    <row s="39353" customFormat="1" customHeight="1" ht="6">
      <c r="A63" s="1697"/>
      <c r="B63" s="1144"/>
      <c r="C63" s="1145"/>
      <c r="D63" s="1151"/>
      <c r="E63" s="1149"/>
      <c r="F63" s="1152"/>
      <c r="G63" s="989"/>
      <c r="H63" s="1321"/>
      <c r="I63" s="1323"/>
      <c r="J63" s="1786"/>
    </row>
    <row customHeight="1" ht="19.5">
      <c r="A64" s="1699"/>
      <c r="B64" s="1012"/>
      <c r="D64" s="994"/>
      <c r="E64" s="1303" t="s">
        <v>66</v>
      </c>
      <c r="F64" s="1128" t="s">
        <v>67</v>
      </c>
      <c r="G64" s="989"/>
    </row>
    <row customHeight="1" ht="19.5">
      <c r="A65" s="1699"/>
      <c r="B65" s="1012"/>
      <c r="D65" s="994"/>
      <c r="E65" s="1303" t="s">
        <v>68</v>
      </c>
      <c r="F65" s="1128" t="s">
        <v>69</v>
      </c>
      <c r="G65" s="989"/>
    </row>
    <row customHeight="1" ht="35.25">
      <c r="D66" s="987"/>
      <c r="E66" s="1305" t="s">
        <v>70</v>
      </c>
      <c r="F66" s="1967"/>
      <c r="G66" s="985"/>
    </row>
    <row customHeight="1" ht="19.5">
      <c r="A67" s="1699"/>
      <c r="D67" s="1322"/>
      <c r="E67" s="1303" t="s">
        <v>71</v>
      </c>
      <c r="F67" s="1183" t="s">
        <v>72</v>
      </c>
      <c r="G67" s="989"/>
    </row>
    <row customHeight="1" ht="19.5">
      <c r="A68" s="1699"/>
      <c r="B68" s="1012"/>
      <c r="D68" s="994"/>
      <c r="E68" s="1303" t="s">
        <v>73</v>
      </c>
      <c r="F68" s="1183" t="s">
        <v>74</v>
      </c>
      <c r="G68" s="989"/>
    </row>
    <row customHeight="1" ht="19.5">
      <c r="A69" s="1699"/>
      <c r="B69" s="1012"/>
      <c r="D69" s="994"/>
      <c r="E69" s="1303" t="s">
        <v>75</v>
      </c>
      <c r="F69" s="1183" t="s">
        <v>76</v>
      </c>
      <c r="G69" s="989"/>
    </row>
    <row customHeight="1" ht="19.5">
      <c r="D70" s="1322"/>
      <c r="E70" s="1303" t="s">
        <v>77</v>
      </c>
      <c r="F70" s="33860" t="s">
        <v>78</v>
      </c>
      <c r="G70" s="985"/>
    </row>
    <row customHeight="1" ht="20.25">
      <c r="A71" s="1699"/>
      <c r="D71" s="985"/>
      <c r="F71" s="1046"/>
      <c r="G71" s="989"/>
    </row>
    <row customHeight="1" ht="19.5">
      <c r="A72" s="1699"/>
      <c r="B72" s="1012"/>
      <c r="D72" s="994"/>
      <c r="E72" s="993"/>
      <c r="F72" s="1047"/>
      <c r="G72" s="989"/>
    </row>
    <row customHeight="1" ht="19.5">
      <c r="A73" s="1699"/>
      <c r="B73" s="1012"/>
      <c r="D73" s="994"/>
      <c r="E73" s="993"/>
      <c r="F73" s="1047"/>
      <c r="G73" s="989"/>
    </row>
    <row customHeight="1" ht="19.5">
      <c r="A74" s="1699"/>
      <c r="B74" s="1012"/>
      <c r="D74" s="994"/>
      <c r="E74" s="998"/>
      <c r="F74" s="1047"/>
      <c r="G74" s="989"/>
    </row>
    <row customHeight="1" ht="19.5">
      <c r="A75" s="1699"/>
      <c r="B75" s="1012"/>
      <c r="D75" s="994"/>
      <c r="E75" s="993"/>
      <c r="F75" s="1047"/>
      <c r="G75" s="989"/>
    </row>
    <row r="78" customHeight="1" ht="11.25">
      <c r="E78" s="1302"/>
      <c r="F78" s="1302"/>
      <c r="G78" s="1302"/>
      <c r="H78" s="1302"/>
      <c r="I78" s="1302"/>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12B31B9A-D18A-4773-F152-29E2AB535287}"/>
    <hyperlink ref="H17" location="Титульный!H9" display="Как заполнить?" tooltip="Помощь по работе с полями отчётной формы" xr:uid="{D8705D4F-F3A3-E319-ACBA-7C99D8C8FC94}"/>
    <hyperlink ref="H39" location="Титульный!H9" display="Как заполнить?" tooltip="Помощь по работе с полями отчётной формы" xr:uid="{F133B3F4-D0CB-0089-7387-7E2ADE8B50A1}"/>
    <hyperlink ref="H62" location="Титульный!H9" display="Как заполнить?" tooltip="Помощь по работе с полями отчётной формы" xr:uid="{E5BA1321-50FD-9F66-2A41-CDF73288E661}"/>
    <hyperlink ref="F70" r:id="rId4" xr:uid="{197D42DB-DA44-A673-6FD4-8A5123FE4C6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7AD995-565B-3259-E866-1F98DEFF2841}" mc:Ignorable="x14ac xr xr2 xr3">
  <sheetPr>
    <tabColor theme="6" tint="0.4"/>
  </sheetPr>
  <dimension ref="A1:AZ69"/>
  <sheetViews>
    <sheetView topLeftCell="T43" showGridLines="0" zoomScale="90" workbookViewId="0">
      <selection activeCell="T62" sqref="T62"/>
    </sheetView>
  </sheetViews>
  <sheetFormatPr defaultColWidth="10.57421875" customHeight="1" defaultRowHeight="14.25"/>
  <cols>
    <col min="1" max="1" style="40129" width="10.57421875"/>
    <col min="2" max="2" style="40129" width="11.00390625" customWidth="1"/>
    <col min="3" max="3" style="40129" width="10.57421875"/>
    <col min="4" max="4" style="40129" width="11.8515625" customWidth="1"/>
    <col min="5" max="5" style="40129" width="10.00390625" customWidth="1"/>
    <col min="6" max="6" style="40129" width="8.7109375" customWidth="1"/>
    <col min="7" max="7" style="40129" width="7.57421875" customWidth="1"/>
    <col min="8" max="8" style="40129" width="11.421875" customWidth="1"/>
    <col min="9" max="9" style="40129" width="12.00390625" customWidth="1"/>
    <col min="10" max="10" style="40129" width="9.8515625" customWidth="1"/>
    <col min="11" max="11" style="40129" width="11.421875" customWidth="1"/>
    <col min="12" max="12" style="40210" width="19.140625" customWidth="1"/>
    <col min="13" max="14" style="40211" width="12.28125" customWidth="1"/>
    <col min="15" max="15" style="40211" width="23.421875" customWidth="1"/>
    <col min="16" max="16" style="40211" width="3.7109375" customWidth="1"/>
    <col min="17" max="17" style="40384" width="3.7109375" customWidth="1"/>
    <col min="18" max="18" style="40213" width="3.7109375" customWidth="1"/>
    <col min="19" max="19" style="40214" width="12.7109375" customWidth="1"/>
    <col min="20" max="20" style="40215" width="32.00390625" customWidth="1"/>
    <col min="21" max="21" style="40215" width="0.140625" customWidth="1"/>
    <col min="22" max="23" style="40215" width="21.7109375" customWidth="1"/>
    <col min="24" max="24" style="40215" width="11.7109375" customWidth="1"/>
    <col min="25" max="25" style="40215" width="3.7109375" customWidth="1"/>
    <col min="26" max="26" style="40215" width="11.7109375" customWidth="1"/>
    <col min="27" max="27" style="40215" width="8.57421875" customWidth="1"/>
    <col min="28" max="28" style="40215" width="5.421875" customWidth="1"/>
    <col min="29" max="30" style="40215" width="3.7109375" customWidth="1"/>
    <col min="31" max="31" style="40215" width="24.7109375" customWidth="1"/>
    <col min="32" max="34" style="40215" width="3.7109375" customWidth="1"/>
    <col min="35" max="35" style="40215" width="24.7109375" customWidth="1"/>
    <col min="36" max="38" style="40215" width="3.7109375" customWidth="1"/>
    <col min="39" max="39" style="40215" width="18.8515625" customWidth="1"/>
    <col min="40" max="41" style="40215" width="21.7109375" customWidth="1"/>
    <col min="42" max="42" style="40215" width="11.7109375" customWidth="1"/>
    <col min="43" max="43" style="40215" width="3.7109375" customWidth="1"/>
    <col min="44" max="44" style="40215" width="11.7109375" customWidth="1"/>
    <col min="45" max="45" style="40215" width="8.57421875" customWidth="1"/>
    <col min="46" max="46" style="40215" width="4.7109375" customWidth="1"/>
    <col min="47" max="47" style="40215" width="115.7109375" customWidth="1"/>
    <col min="48" max="49" style="40202" width="10.57421875"/>
    <col min="50" max="50" style="40202" width="11.140625" customWidth="1"/>
    <col min="51" max="52" style="40202" width="10.57421875"/>
  </cols>
  <sheetData>
    <row customHeight="1" ht="14.25">
      <c r="W1" s="1239"/>
      <c r="X1" s="1239"/>
      <c r="AO1" s="1239"/>
      <c r="AP1" s="1239"/>
    </row>
    <row customHeight="1" ht="21">
      <c r="A2" s="2278"/>
      <c r="B2" s="2278"/>
      <c r="C2" s="2278"/>
      <c r="D2" s="2278"/>
      <c r="E2" s="3082">
        <v>1</v>
      </c>
      <c r="F2" s="2278"/>
      <c r="G2" s="2278"/>
      <c r="H2" s="2278"/>
      <c r="I2" s="2278"/>
      <c r="J2" s="2278"/>
      <c r="K2" s="2278"/>
      <c r="L2" s="2279"/>
      <c r="M2" s="2280"/>
      <c r="N2" s="2280"/>
      <c r="O2" s="2280"/>
      <c r="P2" s="2324"/>
      <c r="Q2" s="1785"/>
      <c r="R2" s="1267"/>
      <c r="S2" s="2251">
        <f>INDEX(PT_DIFFERENTIATION_NUM_NTAR,MATCH(A2,PT_DIFFERENTIATION_NTAR_ID,0))</f>
      </c>
      <c r="T2" s="1210" t="s">
        <v>116</v>
      </c>
      <c r="U2" s="1212"/>
      <c r="V2" s="3067"/>
      <c r="W2" s="3067"/>
      <c r="X2" s="3067"/>
      <c r="Y2" s="3067"/>
      <c r="Z2" s="3067"/>
      <c r="AA2" s="3068"/>
      <c r="AB2" s="3066">
        <f>INDEX(PT_DIFFERENTIATION_NTAR,MATCH(A2,PT_DIFFERENTIATION_NTAR_ID,0))</f>
      </c>
      <c r="AC2" s="3067"/>
      <c r="AD2" s="3067"/>
      <c r="AE2" s="3067"/>
      <c r="AF2" s="3067"/>
      <c r="AG2" s="3067"/>
      <c r="AH2" s="3067"/>
      <c r="AI2" s="3067"/>
      <c r="AJ2" s="3067"/>
      <c r="AK2" s="3067"/>
      <c r="AL2" s="3067"/>
      <c r="AM2" s="3067"/>
      <c r="AN2" s="3067"/>
      <c r="AO2" s="3067"/>
      <c r="AP2" s="3067"/>
      <c r="AQ2" s="3067"/>
      <c r="AR2" s="3067"/>
      <c r="AS2" s="3067"/>
      <c r="AT2" s="3068"/>
      <c r="AU2" s="2172" t="s">
        <v>387</v>
      </c>
      <c r="AW2" s="1412"/>
      <c r="AX2" s="1412" t="str">
        <f>IF(T2="","",T2)</f>
        <v>Наименование тарифа</v>
      </c>
      <c r="AY2" s="1412"/>
      <c r="AZ2" s="1412"/>
    </row>
    <row customHeight="1" ht="21">
      <c r="A3" s="2278"/>
      <c r="B3" s="2278"/>
      <c r="C3" s="2278"/>
      <c r="D3" s="2278"/>
      <c r="E3" s="3083"/>
      <c r="F3" s="3082">
        <v>1</v>
      </c>
      <c r="G3" s="2278"/>
      <c r="H3" s="2278"/>
      <c r="I3" s="2278"/>
      <c r="J3" s="2278"/>
      <c r="K3" s="2278"/>
      <c r="L3" s="2279"/>
      <c r="M3" s="2280"/>
      <c r="N3" s="2280"/>
      <c r="O3" s="2280"/>
      <c r="P3" s="2325"/>
      <c r="Q3" s="2326"/>
      <c r="R3" s="1265"/>
      <c r="S3" s="2251">
        <f>INDEX(PT_DIFFERENTIATION_NUM_TER,MATCH(B3,PT_DIFFERENTIATION_TER_ID,0))</f>
      </c>
      <c r="T3" s="1220" t="s">
        <v>388</v>
      </c>
      <c r="U3" s="1212"/>
      <c r="V3" s="3067"/>
      <c r="W3" s="3067"/>
      <c r="X3" s="3067"/>
      <c r="Y3" s="3067"/>
      <c r="Z3" s="3067"/>
      <c r="AA3" s="3068"/>
      <c r="AB3" s="3066">
        <f>INDEX(PT_DIFFERENTIATION_TER,MATCH(B3,PT_DIFFERENTIATION_TER_ID,0))</f>
      </c>
      <c r="AC3" s="3067"/>
      <c r="AD3" s="3067"/>
      <c r="AE3" s="3067"/>
      <c r="AF3" s="3067"/>
      <c r="AG3" s="3067"/>
      <c r="AH3" s="3067"/>
      <c r="AI3" s="3067"/>
      <c r="AJ3" s="3067"/>
      <c r="AK3" s="3067"/>
      <c r="AL3" s="3067"/>
      <c r="AM3" s="3067"/>
      <c r="AN3" s="3067"/>
      <c r="AO3" s="3067"/>
      <c r="AP3" s="3067"/>
      <c r="AQ3" s="3067"/>
      <c r="AR3" s="3067"/>
      <c r="AS3" s="3067"/>
      <c r="AT3" s="3068"/>
      <c r="AU3" s="2172" t="s">
        <v>389</v>
      </c>
      <c r="AW3" s="1412"/>
      <c r="AX3" s="1412" t="str">
        <f>IF(T3="","",T3)</f>
        <v>Территория действия тарифа</v>
      </c>
      <c r="AY3" s="1412"/>
      <c r="AZ3" s="1412"/>
    </row>
    <row customHeight="1" ht="22.5">
      <c r="A4" s="2278"/>
      <c r="B4" s="2278"/>
      <c r="C4" s="2278"/>
      <c r="D4" s="2278"/>
      <c r="E4" s="3083"/>
      <c r="F4" s="3083"/>
      <c r="G4" s="3082">
        <v>1</v>
      </c>
      <c r="H4" s="2278"/>
      <c r="I4" s="2278"/>
      <c r="J4" s="2278"/>
      <c r="K4" s="2278"/>
      <c r="L4" s="2279"/>
      <c r="M4" s="2280"/>
      <c r="N4" s="2280"/>
      <c r="O4" s="2280"/>
      <c r="P4" s="2327"/>
      <c r="Q4" s="2326"/>
      <c r="R4" s="1265"/>
      <c r="S4" s="2251">
        <f>INDEX(PT_DIFFERENTIATION_NUM_CS,MATCH(C4,PT_DIFFERENTIATION_CS_ID,0))</f>
      </c>
      <c r="T4" s="1221" t="s">
        <v>390</v>
      </c>
      <c r="U4" s="1212"/>
      <c r="V4" s="3067"/>
      <c r="W4" s="3067"/>
      <c r="X4" s="3067"/>
      <c r="Y4" s="3067"/>
      <c r="Z4" s="3067"/>
      <c r="AA4" s="3068"/>
      <c r="AB4" s="3066">
        <f>INDEX(PT_DIFFERENTIATION_CS,MATCH(C4,PT_DIFFERENTIATION_CS_ID,0))</f>
      </c>
      <c r="AC4" s="3067"/>
      <c r="AD4" s="3067"/>
      <c r="AE4" s="3067"/>
      <c r="AF4" s="3067"/>
      <c r="AG4" s="3067"/>
      <c r="AH4" s="3067"/>
      <c r="AI4" s="3067"/>
      <c r="AJ4" s="3067"/>
      <c r="AK4" s="3067"/>
      <c r="AL4" s="3067"/>
      <c r="AM4" s="3067"/>
      <c r="AN4" s="3067"/>
      <c r="AO4" s="3067"/>
      <c r="AP4" s="3067"/>
      <c r="AQ4" s="3067"/>
      <c r="AR4" s="3067"/>
      <c r="AS4" s="3067"/>
      <c r="AT4" s="3068"/>
      <c r="AU4" s="2172" t="s">
        <v>391</v>
      </c>
      <c r="AW4" s="1412"/>
      <c r="AX4" s="1412" t="str">
        <f>IF(T4="","",T4)</f>
        <v>Наименование системы теплоснабжения </v>
      </c>
      <c r="AY4" s="1412"/>
      <c r="AZ4" s="1412"/>
    </row>
    <row customHeight="1" ht="21">
      <c r="A5" s="2278"/>
      <c r="B5" s="2278"/>
      <c r="C5" s="2278"/>
      <c r="D5" s="2278"/>
      <c r="E5" s="3083"/>
      <c r="F5" s="3083"/>
      <c r="G5" s="3083"/>
      <c r="H5" s="3082">
        <v>1</v>
      </c>
      <c r="I5" s="2278"/>
      <c r="J5" s="2278"/>
      <c r="K5" s="2278"/>
      <c r="L5" s="2279"/>
      <c r="M5" s="2280"/>
      <c r="N5" s="2280"/>
      <c r="O5" s="2280"/>
      <c r="P5" s="2327"/>
      <c r="Q5" s="2326"/>
      <c r="R5" s="1265"/>
      <c r="S5" s="2251">
        <f>INDEX(PT_DIFFERENTIATION_NUM_IST_TE,MATCH(D5,PT_DIFFERENTIATION_IST_TE_ID,0))</f>
      </c>
      <c r="T5" s="1222" t="s">
        <v>392</v>
      </c>
      <c r="U5" s="1212"/>
      <c r="V5" s="3067"/>
      <c r="W5" s="3067"/>
      <c r="X5" s="3067"/>
      <c r="Y5" s="3067"/>
      <c r="Z5" s="3067"/>
      <c r="AA5" s="3068"/>
      <c r="AB5" s="3066">
        <f>INDEX(PT_DIFFERENTIATION_IST_TE,MATCH(D5,PT_DIFFERENTIATION_IST_TE_ID,0))</f>
      </c>
      <c r="AC5" s="3067"/>
      <c r="AD5" s="3067"/>
      <c r="AE5" s="3067"/>
      <c r="AF5" s="3067"/>
      <c r="AG5" s="3067"/>
      <c r="AH5" s="3067"/>
      <c r="AI5" s="3067"/>
      <c r="AJ5" s="3067"/>
      <c r="AK5" s="3067"/>
      <c r="AL5" s="3067"/>
      <c r="AM5" s="3067"/>
      <c r="AN5" s="3067"/>
      <c r="AO5" s="3067"/>
      <c r="AP5" s="3067"/>
      <c r="AQ5" s="3067"/>
      <c r="AR5" s="3067"/>
      <c r="AS5" s="3067"/>
      <c r="AT5" s="3068"/>
      <c r="AU5" s="2172" t="s">
        <v>393</v>
      </c>
      <c r="AW5" s="1412"/>
      <c r="AX5" s="1412" t="str">
        <f>IF(T5="","",T5)</f>
        <v>Источник тепловой энергии  </v>
      </c>
      <c r="AY5" s="1412"/>
      <c r="AZ5" s="1412"/>
    </row>
    <row s="40202" customFormat="1" customHeight="1" ht="0">
      <c r="A6" s="2258"/>
      <c r="B6" s="2258"/>
      <c r="C6" s="2258"/>
      <c r="D6" s="2258"/>
      <c r="E6" s="3083"/>
      <c r="F6" s="3083"/>
      <c r="G6" s="3083"/>
      <c r="H6" s="3083"/>
      <c r="I6" s="3080">
        <f>S5&amp;".1"</f>
      </c>
      <c r="J6" s="2258"/>
      <c r="K6" s="2258"/>
      <c r="L6" s="2261" t="s">
        <v>394</v>
      </c>
      <c r="M6" s="1422"/>
      <c r="N6" s="1422"/>
      <c r="O6" s="1422"/>
      <c r="P6" s="3081">
        <v>1</v>
      </c>
      <c r="Q6" s="2246"/>
      <c r="R6" s="1268"/>
      <c r="S6" s="1955"/>
      <c r="T6" s="2298"/>
      <c r="U6" s="2299"/>
      <c r="V6" s="3121"/>
      <c r="W6" s="3121"/>
      <c r="X6" s="3121"/>
      <c r="Y6" s="3121"/>
      <c r="Z6" s="3121"/>
      <c r="AA6" s="3122"/>
      <c r="AB6" s="3120"/>
      <c r="AC6" s="3121"/>
      <c r="AD6" s="3121"/>
      <c r="AE6" s="3121"/>
      <c r="AF6" s="3121"/>
      <c r="AG6" s="3121"/>
      <c r="AH6" s="3121"/>
      <c r="AI6" s="3121"/>
      <c r="AJ6" s="3121"/>
      <c r="AK6" s="3121"/>
      <c r="AL6" s="3121"/>
      <c r="AM6" s="3121"/>
      <c r="AN6" s="3121"/>
      <c r="AO6" s="3121"/>
      <c r="AP6" s="3121"/>
      <c r="AQ6" s="3121"/>
      <c r="AR6" s="3121"/>
      <c r="AS6" s="3121"/>
      <c r="AT6" s="3122"/>
      <c r="AU6" s="2300"/>
      <c r="AW6" s="1412"/>
      <c r="AX6" s="1412" t="str">
        <f>IF(T6="","",T6)</f>
        <v/>
      </c>
      <c r="AY6" s="1412"/>
      <c r="AZ6" s="1412"/>
    </row>
    <row s="40202" customFormat="1" customHeight="1" ht="0">
      <c r="A7" s="2258"/>
      <c r="B7" s="2258"/>
      <c r="C7" s="2258"/>
      <c r="D7" s="2258"/>
      <c r="E7" s="3083"/>
      <c r="F7" s="3083"/>
      <c r="G7" s="3083"/>
      <c r="H7" s="3083"/>
      <c r="I7" s="3110"/>
      <c r="J7" s="3080">
        <f>S5&amp;".1"</f>
      </c>
      <c r="K7" s="2258"/>
      <c r="L7" s="2261"/>
      <c r="M7" s="1422"/>
      <c r="N7" s="1422"/>
      <c r="O7" s="1422"/>
      <c r="P7" s="3081"/>
      <c r="Q7" s="3081">
        <v>1</v>
      </c>
      <c r="R7" s="1269"/>
      <c r="S7" s="1955"/>
      <c r="T7" s="2314"/>
      <c r="U7" s="2299"/>
      <c r="V7" s="3121"/>
      <c r="W7" s="3121"/>
      <c r="X7" s="3121"/>
      <c r="Y7" s="3121"/>
      <c r="Z7" s="3121"/>
      <c r="AA7" s="3122"/>
      <c r="AB7" s="3120"/>
      <c r="AC7" s="3121"/>
      <c r="AD7" s="3121"/>
      <c r="AE7" s="3121"/>
      <c r="AF7" s="3121"/>
      <c r="AG7" s="3121"/>
      <c r="AH7" s="3121"/>
      <c r="AI7" s="3121"/>
      <c r="AJ7" s="3121"/>
      <c r="AK7" s="3121"/>
      <c r="AL7" s="3121"/>
      <c r="AM7" s="3121"/>
      <c r="AN7" s="3121"/>
      <c r="AO7" s="3121"/>
      <c r="AP7" s="3121"/>
      <c r="AQ7" s="3121"/>
      <c r="AR7" s="3121"/>
      <c r="AS7" s="3121"/>
      <c r="AT7" s="3122"/>
      <c r="AU7" s="2300"/>
      <c r="AW7" s="1412"/>
      <c r="AX7" s="1412" t="str">
        <f>IF(T7="","",T7)</f>
        <v/>
      </c>
      <c r="AY7" s="1412"/>
      <c r="AZ7" s="1412"/>
    </row>
    <row customHeight="1" ht="21">
      <c r="A8" s="2278"/>
      <c r="B8" s="2278"/>
      <c r="C8" s="2278"/>
      <c r="D8" s="2278"/>
      <c r="E8" s="3083"/>
      <c r="F8" s="3083"/>
      <c r="G8" s="3083"/>
      <c r="H8" s="3083"/>
      <c r="I8" s="3110"/>
      <c r="J8" s="3110"/>
      <c r="K8" s="3080">
        <f>S5&amp;".1"</f>
      </c>
      <c r="L8" s="2279"/>
      <c r="P8" s="3081"/>
      <c r="Q8" s="3081"/>
      <c r="R8" s="3163">
        <v>1</v>
      </c>
      <c r="S8" s="3157">
        <f>$K8</f>
      </c>
      <c r="T8" s="3160"/>
      <c r="U8" s="1212"/>
      <c r="V8" s="1663"/>
      <c r="W8" s="2171"/>
      <c r="X8" s="3089"/>
      <c r="Y8" s="2933" t="s">
        <v>62</v>
      </c>
      <c r="Z8" s="3089"/>
      <c r="AA8" s="2933" t="s">
        <v>62</v>
      </c>
      <c r="AB8" s="2933" t="s">
        <v>52</v>
      </c>
      <c r="AC8" s="3143"/>
      <c r="AD8" s="3029">
        <v>1</v>
      </c>
      <c r="AE8" s="3144"/>
      <c r="AF8" s="2933" t="s">
        <v>52</v>
      </c>
      <c r="AG8" s="3143"/>
      <c r="AH8" s="3029">
        <v>1</v>
      </c>
      <c r="AI8" s="3144"/>
      <c r="AJ8" s="2933" t="s">
        <v>52</v>
      </c>
      <c r="AK8" s="1223"/>
      <c r="AL8" s="2252">
        <v>1</v>
      </c>
      <c r="AM8" s="2313"/>
      <c r="AN8" s="1663"/>
      <c r="AO8" s="2171"/>
      <c r="AP8" s="2649"/>
      <c r="AQ8" s="2374" t="s">
        <v>62</v>
      </c>
      <c r="AR8" s="2649"/>
      <c r="AS8" s="2374" t="s">
        <v>62</v>
      </c>
      <c r="AT8" s="2263"/>
      <c r="AU8" s="3077" t="s">
        <v>455</v>
      </c>
      <c r="AV8" s="1423">
        <f>STRCHECKDATE(V11:AT11)</f>
      </c>
      <c r="AW8" s="1412"/>
      <c r="AX8" s="1412" t="str">
        <f>IF(T8="","",T8)</f>
        <v/>
      </c>
      <c r="AY8" s="1412"/>
      <c r="AZ8" s="1412"/>
    </row>
    <row customHeight="1" ht="11.25">
      <c r="A9" s="2278"/>
      <c r="B9" s="2278"/>
      <c r="C9" s="2278"/>
      <c r="D9" s="2278"/>
      <c r="E9" s="3083"/>
      <c r="F9" s="3083"/>
      <c r="G9" s="3083"/>
      <c r="H9" s="3083"/>
      <c r="I9" s="3110"/>
      <c r="J9" s="3110"/>
      <c r="K9" s="3080"/>
      <c r="L9" s="2279"/>
      <c r="P9" s="3081"/>
      <c r="Q9" s="3081"/>
      <c r="R9" s="3163"/>
      <c r="S9" s="3158"/>
      <c r="T9" s="3161"/>
      <c r="U9" s="1212"/>
      <c r="V9" s="2308"/>
      <c r="W9" s="2312"/>
      <c r="X9" s="3089"/>
      <c r="Y9" s="2933"/>
      <c r="Z9" s="3089"/>
      <c r="AA9" s="2933"/>
      <c r="AB9" s="2933"/>
      <c r="AC9" s="3143"/>
      <c r="AD9" s="3029"/>
      <c r="AE9" s="3144"/>
      <c r="AF9" s="2933"/>
      <c r="AG9" s="3143"/>
      <c r="AH9" s="3029"/>
      <c r="AI9" s="3144"/>
      <c r="AJ9" s="2933"/>
      <c r="AK9" s="1228"/>
      <c r="AL9" s="1328"/>
      <c r="AM9" s="1327" t="s">
        <v>456</v>
      </c>
      <c r="AN9" s="2308"/>
      <c r="AO9" s="2411"/>
      <c r="AP9" s="2308"/>
      <c r="AQ9" s="2308"/>
      <c r="AR9" s="2308"/>
      <c r="AS9" s="2308"/>
      <c r="AT9" s="2305"/>
      <c r="AU9" s="3078"/>
      <c r="AW9" s="1412"/>
      <c r="AX9" s="1412"/>
      <c r="AY9" s="1412"/>
      <c r="AZ9" s="1412"/>
    </row>
    <row customHeight="1" ht="11.25">
      <c r="A10" s="2278"/>
      <c r="B10" s="2278"/>
      <c r="C10" s="2278"/>
      <c r="D10" s="2278"/>
      <c r="E10" s="3083"/>
      <c r="F10" s="3083"/>
      <c r="G10" s="3083"/>
      <c r="H10" s="3083"/>
      <c r="I10" s="3110"/>
      <c r="J10" s="3110"/>
      <c r="K10" s="3080"/>
      <c r="L10" s="2279"/>
      <c r="P10" s="3081"/>
      <c r="Q10" s="3081"/>
      <c r="R10" s="3163"/>
      <c r="S10" s="3158"/>
      <c r="T10" s="3161"/>
      <c r="U10" s="1212"/>
      <c r="V10" s="2308"/>
      <c r="W10" s="2312"/>
      <c r="X10" s="3089"/>
      <c r="Y10" s="2933"/>
      <c r="Z10" s="3089"/>
      <c r="AA10" s="2933"/>
      <c r="AB10" s="2933"/>
      <c r="AC10" s="3143"/>
      <c r="AD10" s="3029"/>
      <c r="AE10" s="3144"/>
      <c r="AF10" s="2933"/>
      <c r="AG10" s="1206"/>
      <c r="AH10" s="1327"/>
      <c r="AI10" s="1327" t="s">
        <v>457</v>
      </c>
      <c r="AJ10" s="2308"/>
      <c r="AK10" s="2308"/>
      <c r="AL10" s="2308"/>
      <c r="AM10" s="2308"/>
      <c r="AN10" s="2308"/>
      <c r="AO10" s="2411"/>
      <c r="AP10" s="2308"/>
      <c r="AQ10" s="2308"/>
      <c r="AR10" s="2308"/>
      <c r="AS10" s="2308"/>
      <c r="AT10" s="2305"/>
      <c r="AU10" s="3078"/>
      <c r="AW10" s="1412"/>
      <c r="AX10" s="1412"/>
      <c r="AY10" s="1412"/>
      <c r="AZ10" s="1412"/>
    </row>
    <row customHeight="1" ht="11.25">
      <c r="A11" s="2278"/>
      <c r="B11" s="2278"/>
      <c r="C11" s="2278"/>
      <c r="D11" s="2278"/>
      <c r="E11" s="3083"/>
      <c r="F11" s="3083"/>
      <c r="G11" s="3083"/>
      <c r="H11" s="3083"/>
      <c r="I11" s="3110"/>
      <c r="J11" s="3110"/>
      <c r="K11" s="3080"/>
      <c r="L11" s="2279"/>
      <c r="P11" s="3081"/>
      <c r="Q11" s="3081"/>
      <c r="R11" s="3163"/>
      <c r="S11" s="3159"/>
      <c r="T11" s="3162"/>
      <c r="U11" s="1212"/>
      <c r="V11" s="2308"/>
      <c r="W11" s="2311" t="str">
        <f>X8&amp;"-"&amp;Z8</f>
        <v>-</v>
      </c>
      <c r="X11" s="3090"/>
      <c r="Y11" s="2933"/>
      <c r="Z11" s="3090"/>
      <c r="AA11" s="2933"/>
      <c r="AB11" s="2933"/>
      <c r="AC11" s="1224"/>
      <c r="AD11" s="1226"/>
      <c r="AE11" s="1327" t="s">
        <v>458</v>
      </c>
      <c r="AF11" s="2308"/>
      <c r="AG11" s="2308"/>
      <c r="AH11" s="2308"/>
      <c r="AI11" s="2308"/>
      <c r="AJ11" s="2308"/>
      <c r="AK11" s="2308"/>
      <c r="AL11" s="2308"/>
      <c r="AM11" s="2308"/>
      <c r="AN11" s="2308"/>
      <c r="AO11" s="2309" t="str">
        <f>AP8&amp;"-"&amp;AR8</f>
        <v>-</v>
      </c>
      <c r="AP11" s="2308"/>
      <c r="AQ11" s="2308"/>
      <c r="AR11" s="2308"/>
      <c r="AS11" s="2308"/>
      <c r="AT11" s="2264"/>
      <c r="AU11" s="3078"/>
      <c r="AW11" s="1412"/>
      <c r="AX11" s="1412" t="str">
        <f>IF(T11="","",T11)</f>
        <v/>
      </c>
      <c r="AY11" s="1412"/>
      <c r="AZ11" s="1412"/>
    </row>
    <row customHeight="1" ht="11.25">
      <c r="A12" s="2278"/>
      <c r="B12" s="2278"/>
      <c r="C12" s="2278"/>
      <c r="D12" s="2278"/>
      <c r="E12" s="3083"/>
      <c r="F12" s="3083"/>
      <c r="G12" s="3083"/>
      <c r="H12" s="3083"/>
      <c r="I12" s="3110"/>
      <c r="J12" s="3080"/>
      <c r="K12" s="2278"/>
      <c r="L12" s="2279"/>
      <c r="P12" s="3081"/>
      <c r="Q12" s="3081"/>
      <c r="R12" s="1268"/>
      <c r="S12" s="2193"/>
      <c r="T12" s="1199" t="s">
        <v>459</v>
      </c>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36"/>
      <c r="AU12" s="3079"/>
      <c r="AW12" s="1412"/>
      <c r="AX12" s="1412" t="str">
        <f>IF(T12="","",T12)</f>
        <v>Добавить строку</v>
      </c>
      <c r="AY12" s="1412"/>
      <c r="AZ12" s="1412"/>
    </row>
    <row s="40202" customFormat="1" customHeight="1" ht="0">
      <c r="A13" s="2258"/>
      <c r="B13" s="2258"/>
      <c r="C13" s="2258"/>
      <c r="D13" s="2258"/>
      <c r="E13" s="3083"/>
      <c r="F13" s="3083"/>
      <c r="G13" s="3083"/>
      <c r="H13" s="3083"/>
      <c r="I13" s="3080"/>
      <c r="J13" s="2258"/>
      <c r="K13" s="2258"/>
      <c r="L13" s="2261"/>
      <c r="M13" s="1422"/>
      <c r="N13" s="1422"/>
      <c r="O13" s="1422"/>
      <c r="P13" s="3081"/>
      <c r="Q13" s="2246"/>
      <c r="R13" s="1268"/>
      <c r="S13" s="2301"/>
      <c r="T13" s="2302"/>
      <c r="U13" s="2303"/>
      <c r="V13" s="2303"/>
      <c r="W13" s="2303"/>
      <c r="X13" s="2303"/>
      <c r="Y13" s="2303"/>
      <c r="Z13" s="2303"/>
      <c r="AA13" s="2303"/>
      <c r="AB13" s="2303"/>
      <c r="AC13" s="2303"/>
      <c r="AD13" s="2303"/>
      <c r="AE13" s="2303"/>
      <c r="AF13" s="2303"/>
      <c r="AG13" s="2303"/>
      <c r="AH13" s="2303"/>
      <c r="AI13" s="2303"/>
      <c r="AJ13" s="2303"/>
      <c r="AK13" s="2303"/>
      <c r="AL13" s="2303"/>
      <c r="AM13" s="2303"/>
      <c r="AN13" s="2303"/>
      <c r="AO13" s="2303"/>
      <c r="AP13" s="2303"/>
      <c r="AQ13" s="2303"/>
      <c r="AR13" s="2303"/>
      <c r="AS13" s="2303"/>
      <c r="AT13" s="2303"/>
      <c r="AU13" s="2304"/>
      <c r="AW13" s="1412"/>
      <c r="AX13" s="1412" t="str">
        <f>IF(T13="","",T13)</f>
        <v/>
      </c>
      <c r="AY13" s="1412"/>
      <c r="AZ13" s="1412"/>
    </row>
    <row s="40202" customFormat="1" customHeight="1" ht="0">
      <c r="A14" s="2258"/>
      <c r="B14" s="2258"/>
      <c r="C14" s="2258"/>
      <c r="D14" s="2258"/>
      <c r="E14" s="3083"/>
      <c r="F14" s="3083"/>
      <c r="G14" s="3083"/>
      <c r="H14" s="3082"/>
      <c r="I14" s="2258"/>
      <c r="J14" s="2258"/>
      <c r="K14" s="2258"/>
      <c r="L14" s="2261"/>
      <c r="M14" s="2230"/>
      <c r="N14" s="2230"/>
      <c r="O14" s="1430"/>
      <c r="P14" s="1292"/>
      <c r="Q14" s="2259"/>
      <c r="R14" s="2316"/>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4"/>
      <c r="AW14" s="1412"/>
      <c r="AX14" s="1412" t="str">
        <f>IF(T14="","",T14)</f>
        <v/>
      </c>
      <c r="AY14" s="1412"/>
      <c r="AZ14" s="1412"/>
    </row>
    <row s="40110" customFormat="1" customHeight="1" ht="0">
      <c r="A15" s="2258"/>
      <c r="B15" s="2258"/>
      <c r="C15" s="2258"/>
      <c r="D15" s="2229"/>
      <c r="E15" s="3083"/>
      <c r="F15" s="3083"/>
      <c r="G15" s="3082"/>
      <c r="H15" s="2229"/>
      <c r="I15" s="2229"/>
      <c r="J15" s="2229"/>
      <c r="K15" s="2229"/>
      <c r="L15" s="2254"/>
      <c r="M15" s="2230"/>
      <c r="N15" s="2230"/>
      <c r="P15" s="2231"/>
      <c r="Q15" s="2232"/>
      <c r="R15" s="2231"/>
      <c r="S15" s="2237"/>
      <c r="T15" s="2240" t="s">
        <v>405</v>
      </c>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c r="AT15" s="2239"/>
      <c r="AU15" s="2239"/>
      <c r="AW15" s="1701"/>
      <c r="AX15" s="1701" t="str">
        <f>IF(T15="","",T15)</f>
        <v>Добавить источник для дифференциации</v>
      </c>
      <c r="AY15" s="1701"/>
      <c r="AZ15" s="1701"/>
    </row>
    <row s="40110" customFormat="1" customHeight="1" ht="0">
      <c r="A16" s="2258"/>
      <c r="B16" s="2258"/>
      <c r="C16" s="2229"/>
      <c r="D16" s="2229"/>
      <c r="E16" s="3083"/>
      <c r="F16" s="3082"/>
      <c r="G16" s="2229"/>
      <c r="H16" s="2229"/>
      <c r="I16" s="2229"/>
      <c r="J16" s="2229"/>
      <c r="K16" s="2229"/>
      <c r="L16" s="2254"/>
      <c r="M16" s="2236"/>
      <c r="N16" s="2236"/>
      <c r="P16" s="2231"/>
      <c r="Q16" s="2232"/>
      <c r="R16" s="2231"/>
      <c r="S16" s="2237"/>
      <c r="T16" s="2240" t="s">
        <v>406</v>
      </c>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W16" s="1701"/>
      <c r="AX16" s="1701" t="str">
        <f>IF(T16="","",T16)</f>
        <v>Добавить централизованную систему для дифференциации</v>
      </c>
      <c r="AY16" s="1701"/>
      <c r="AZ16" s="1701"/>
    </row>
    <row s="40202" customFormat="1" customHeight="1" ht="0">
      <c r="A17" s="2258"/>
      <c r="B17" s="2258"/>
      <c r="C17" s="2258"/>
      <c r="D17" s="2258"/>
      <c r="E17" s="3082"/>
      <c r="F17" s="2258"/>
      <c r="G17" s="2258"/>
      <c r="H17" s="2258"/>
      <c r="I17" s="2258"/>
      <c r="J17" s="2258"/>
      <c r="K17" s="2258"/>
      <c r="L17" s="2261"/>
      <c r="M17" s="2236"/>
      <c r="N17" s="2236"/>
      <c r="O17" s="1430"/>
      <c r="P17" s="1292"/>
      <c r="Q17" s="2259"/>
      <c r="R17" s="1292"/>
      <c r="S17" s="2237"/>
      <c r="T17" s="2240" t="s">
        <v>407</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W17" s="1412"/>
      <c r="AX17" s="1412" t="str">
        <f>IF(T17="","",T17)</f>
        <v>Добавить территорию для дифференциации</v>
      </c>
      <c r="AY17" s="1412"/>
      <c r="AZ17" s="1412"/>
    </row>
    <row customHeight="1" ht="14.25">
      <c r="AA18" s="1239"/>
      <c r="AS18" s="1239"/>
    </row>
    <row customHeight="1" ht="14.25">
      <c r="AB19" s="2239" t="s">
        <v>52</v>
      </c>
      <c r="AC19" s="2416"/>
      <c r="AD19" s="1460">
        <v>1</v>
      </c>
      <c r="AE19" s="2417"/>
      <c r="AF19" s="2239" t="s">
        <v>52</v>
      </c>
      <c r="AG19" s="2416"/>
      <c r="AH19" s="1460">
        <v>1</v>
      </c>
      <c r="AI19" s="2417"/>
      <c r="AJ19" s="2239" t="s">
        <v>52</v>
      </c>
      <c r="AK19" s="2418"/>
      <c r="AL19" s="1460">
        <v>1</v>
      </c>
      <c r="AM19" s="2421"/>
      <c r="AN19" s="2318"/>
      <c r="AO19" s="2319"/>
      <c r="AP19" s="2651"/>
      <c r="AQ19" s="2375" t="s">
        <v>62</v>
      </c>
      <c r="AR19" s="2651"/>
      <c r="AS19" s="2375" t="s">
        <v>62</v>
      </c>
    </row>
    <row customHeight="1" ht="14.25">
      <c r="AV20" s="1408"/>
      <c r="AW20" s="1408"/>
      <c r="AX20" s="1408"/>
      <c r="AY20" s="1408"/>
      <c r="AZ20" s="1408"/>
    </row>
    <row customHeight="1" ht="14.25">
      <c r="O21" s="2282" t="s">
        <v>408</v>
      </c>
      <c r="X21" s="2260"/>
      <c r="Z21" s="2260"/>
      <c r="AA21" s="1239"/>
      <c r="AP21" s="2260"/>
      <c r="AR21" s="2260"/>
      <c r="AS21" s="1239"/>
      <c r="AV21" s="1408"/>
      <c r="AW21" s="1408"/>
      <c r="AX21" s="1408"/>
      <c r="AY21" s="1408"/>
      <c r="AZ21" s="1408"/>
    </row>
    <row customHeight="1" ht="14.25">
      <c r="AA22" s="1239"/>
      <c r="AS22" s="1239"/>
      <c r="AV22" s="1408"/>
      <c r="AW22" s="1408"/>
      <c r="AX22" s="1408"/>
      <c r="AY22" s="1408"/>
      <c r="AZ22" s="1408"/>
    </row>
    <row s="40358" customFormat="1" customHeight="1" ht="14.25">
      <c r="M23" s="2423"/>
      <c r="N23" s="2423"/>
      <c r="O23" s="2424" t="s">
        <v>409</v>
      </c>
      <c r="P23" s="2423"/>
      <c r="Q23" s="2425"/>
      <c r="R23" s="2425"/>
      <c r="Y23" s="2422" t="s">
        <v>411</v>
      </c>
      <c r="AA23" s="2422" t="s">
        <v>412</v>
      </c>
      <c r="AB23" s="2422" t="s">
        <v>460</v>
      </c>
      <c r="AE23" s="2422" t="s">
        <v>461</v>
      </c>
      <c r="AF23" s="2422" t="s">
        <v>460</v>
      </c>
      <c r="AI23" s="2422" t="s">
        <v>462</v>
      </c>
      <c r="AJ23" s="2422" t="s">
        <v>460</v>
      </c>
      <c r="AM23" s="2422" t="s">
        <v>463</v>
      </c>
      <c r="AQ23" s="2422" t="s">
        <v>411</v>
      </c>
      <c r="AS23" s="2422" t="s">
        <v>412</v>
      </c>
      <c r="AV23" s="2426"/>
      <c r="AW23" s="2426"/>
      <c r="AX23" s="2426"/>
      <c r="AY23" s="2426"/>
      <c r="AZ23" s="2426"/>
    </row>
    <row customHeight="1" ht="14.25">
      <c r="O24" s="2279"/>
      <c r="AV24" s="1408"/>
      <c r="AW24" s="1408"/>
      <c r="AX24" s="1408"/>
      <c r="AY24" s="1408"/>
      <c r="AZ24" s="1408"/>
    </row>
    <row customHeight="1" ht="14.25">
      <c r="O25" s="2279"/>
      <c r="AV25" s="1408"/>
      <c r="AW25" s="1408"/>
      <c r="AX25" s="1408"/>
      <c r="AY25" s="1408"/>
      <c r="AZ25" s="1408"/>
    </row>
    <row customHeight="1" ht="14.25">
      <c r="Q26" s="1203"/>
      <c r="R26" s="1288"/>
      <c r="S26" s="2190"/>
      <c r="T26" s="1275"/>
      <c r="U26" s="1275"/>
      <c r="V26" s="1421"/>
      <c r="W26" s="1421"/>
      <c r="X26" s="1421"/>
      <c r="Y26" s="1421"/>
      <c r="Z26" s="1421"/>
      <c r="AA26" s="1421"/>
      <c r="AB26" s="1421"/>
      <c r="AC26" s="1421"/>
      <c r="AD26" s="1421"/>
      <c r="AE26" s="1421"/>
      <c r="AF26" s="1421"/>
      <c r="AG26" s="1421"/>
      <c r="AH26" s="1421"/>
      <c r="AI26" s="1421"/>
      <c r="AJ26" s="1421"/>
      <c r="AK26" s="1421"/>
      <c r="AL26" s="1421"/>
      <c r="AM26" s="1421"/>
      <c r="AN26" s="1421"/>
      <c r="AO26" s="1421"/>
      <c r="AP26" s="1421"/>
      <c r="AQ26" s="1421"/>
      <c r="AR26" s="1421"/>
      <c r="AS26" s="1421"/>
    </row>
    <row customHeight="1" ht="26.25">
      <c r="Q27" s="1203"/>
      <c r="R27" s="1288"/>
      <c r="S27" s="30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72"/>
      <c r="U27" s="3072"/>
      <c r="V27" s="3072"/>
      <c r="W27" s="3072"/>
      <c r="X27" s="3072"/>
      <c r="Y27" s="3072"/>
      <c r="Z27" s="3072"/>
      <c r="AA27" s="3072"/>
      <c r="AB27" s="3072"/>
      <c r="AC27" s="3072"/>
      <c r="AD27" s="3072"/>
      <c r="AE27" s="3072"/>
      <c r="AF27" s="3072"/>
      <c r="AG27" s="3072"/>
      <c r="AH27" s="3072"/>
      <c r="AI27" s="3072"/>
      <c r="AJ27" s="3072"/>
      <c r="AK27" s="3072"/>
      <c r="AL27" s="3072"/>
      <c r="AM27" s="3072"/>
      <c r="AN27" s="3072"/>
      <c r="AO27" s="3072"/>
      <c r="AP27" s="3072"/>
      <c r="AQ27" s="3072"/>
      <c r="AR27" s="3072"/>
      <c r="AS27" s="2157"/>
    </row>
    <row customHeight="1" ht="14.25">
      <c r="Q28" s="1203"/>
      <c r="R28" s="1288"/>
      <c r="S28" s="3073" t="str">
        <f>IF(org=0,"Не определено",org)</f>
        <v>ПАО "ТГК-1" филиал "Невский"</v>
      </c>
      <c r="T28" s="3073"/>
      <c r="U28" s="3073"/>
      <c r="V28" s="3073"/>
      <c r="W28" s="3073"/>
      <c r="X28" s="3073"/>
      <c r="Y28" s="3073"/>
      <c r="Z28" s="3073"/>
      <c r="AA28" s="3073"/>
      <c r="AB28" s="3073"/>
      <c r="AC28" s="3073"/>
      <c r="AD28" s="3073"/>
      <c r="AE28" s="3073"/>
      <c r="AF28" s="3073"/>
      <c r="AG28" s="3073"/>
      <c r="AH28" s="3073"/>
      <c r="AI28" s="3073"/>
      <c r="AJ28" s="3073"/>
      <c r="AK28" s="3073"/>
      <c r="AL28" s="3073"/>
      <c r="AM28" s="3073"/>
      <c r="AN28" s="3073"/>
      <c r="AO28" s="3073"/>
      <c r="AP28" s="3073"/>
      <c r="AQ28" s="3073"/>
      <c r="AR28" s="3073"/>
      <c r="AS28" s="2157"/>
    </row>
    <row customHeight="1" ht="14.25" hidden="1">
      <c r="Q29" s="1203"/>
      <c r="R29" s="1288"/>
      <c r="S29" s="2190"/>
      <c r="T29" s="1275"/>
      <c r="U29" s="1275"/>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421"/>
    </row>
    <row s="40143" customFormat="1" customHeight="1" ht="25.5" hidden="1">
      <c r="A30" s="2283"/>
      <c r="B30" s="2283"/>
      <c r="C30" s="2283"/>
      <c r="D30" s="2283"/>
      <c r="E30" s="2283"/>
      <c r="F30" s="2283"/>
      <c r="G30" s="2283"/>
      <c r="H30" s="2283"/>
      <c r="I30" s="2283"/>
      <c r="J30" s="2283"/>
      <c r="K30" s="2283"/>
      <c r="L30" s="2284"/>
      <c r="M30" s="2283"/>
      <c r="N30" s="2283"/>
      <c r="O30" s="2283"/>
      <c r="P30" s="2283"/>
      <c r="Q30" s="2283"/>
      <c r="S30" s="3074" t="s">
        <v>37</v>
      </c>
      <c r="T30" s="3074"/>
      <c r="U30" s="2287"/>
      <c r="V30" s="3075" t="str">
        <f>IF(TITLE_NAME_OR_PR_CHANGE="",IF(TITLE_NAME_OR_PR="","",TITLE_NAME_OR_PR),TITLE_NAME_OR_PR_CHANGE)</f>
        <v/>
      </c>
      <c r="W30" s="3075"/>
      <c r="X30" s="3075"/>
      <c r="Y30" s="3075"/>
      <c r="Z30" s="3075"/>
      <c r="AA30" s="1238"/>
      <c r="AB30" s="3075" t="str">
        <f>IF(TITLE_NAME_OR_PR_CHANGE="",IF(TITLE_NAME_OR_PR="","",TITLE_NAME_OR_PR),TITLE_NAME_OR_PR_CHANGE)</f>
        <v/>
      </c>
      <c r="AC30" s="3075"/>
      <c r="AD30" s="3075"/>
      <c r="AE30" s="3075"/>
      <c r="AF30" s="3075"/>
      <c r="AG30" s="3075"/>
      <c r="AH30" s="3075"/>
      <c r="AI30" s="3075"/>
      <c r="AJ30" s="3075"/>
      <c r="AK30" s="3075"/>
      <c r="AL30" s="3075"/>
      <c r="AM30" s="3075"/>
      <c r="AN30" s="3075"/>
      <c r="AO30" s="3075"/>
      <c r="AP30" s="3075"/>
      <c r="AQ30" s="3075"/>
      <c r="AR30" s="3075"/>
      <c r="AS30" s="1238"/>
      <c r="AT30" s="1238"/>
      <c r="AU30" s="1192"/>
      <c r="AV30" s="1280"/>
      <c r="AW30" s="1280"/>
      <c r="AX30" s="1280"/>
      <c r="AY30" s="1280"/>
      <c r="AZ30" s="1280"/>
    </row>
    <row s="40143" customFormat="1" customHeight="1" ht="18.75" hidden="1">
      <c r="A31" s="2283"/>
      <c r="B31" s="2283"/>
      <c r="C31" s="2283"/>
      <c r="D31" s="2283"/>
      <c r="E31" s="2283"/>
      <c r="F31" s="2283"/>
      <c r="G31" s="2283"/>
      <c r="H31" s="2283"/>
      <c r="I31" s="2283"/>
      <c r="J31" s="2283"/>
      <c r="K31" s="2283"/>
      <c r="L31" s="2284"/>
      <c r="M31" s="2283"/>
      <c r="N31" s="2283"/>
      <c r="O31" s="2283"/>
      <c r="P31" s="2283"/>
      <c r="Q31" s="2283"/>
      <c r="S31" s="3074" t="s">
        <v>414</v>
      </c>
      <c r="T31" s="3074"/>
      <c r="U31" s="2287"/>
      <c r="V31" s="3088" t="str">
        <f>IF(TITLE_DATE_PR_CHANGE="",IF(TITLE_DATE_PR="","",TITLE_DATE_PR),TITLE_DATE_PR_CHANGE)</f>
        <v/>
      </c>
      <c r="W31" s="3088"/>
      <c r="X31" s="3088"/>
      <c r="Y31" s="3088"/>
      <c r="Z31" s="3088"/>
      <c r="AA31" s="1238"/>
      <c r="AB31" s="3088" t="str">
        <f>IF(TITLE_DATE_PR_CHANGE="",IF(TITLE_DATE_PR="","",TITLE_DATE_PR),TITLE_DATE_PR_CHANGE)</f>
        <v/>
      </c>
      <c r="AC31" s="3088"/>
      <c r="AD31" s="3088"/>
      <c r="AE31" s="3088"/>
      <c r="AF31" s="3088"/>
      <c r="AG31" s="3088"/>
      <c r="AH31" s="3088"/>
      <c r="AI31" s="3088"/>
      <c r="AJ31" s="3088"/>
      <c r="AK31" s="3088"/>
      <c r="AL31" s="3088"/>
      <c r="AM31" s="3088"/>
      <c r="AN31" s="3088"/>
      <c r="AO31" s="3088"/>
      <c r="AP31" s="3088"/>
      <c r="AQ31" s="3088"/>
      <c r="AR31" s="3088"/>
      <c r="AS31" s="1238"/>
      <c r="AT31" s="1238"/>
      <c r="AU31" s="1192"/>
      <c r="AV31" s="1280"/>
      <c r="AW31" s="1280"/>
      <c r="AX31" s="1280"/>
      <c r="AY31" s="1280"/>
      <c r="AZ31" s="1280"/>
    </row>
    <row s="40143"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415</v>
      </c>
      <c r="T32" s="3074"/>
      <c r="U32" s="2287"/>
      <c r="V32" s="3075" t="str">
        <f>IF(TITLE_NUMBER_PR_CHANGE="",IF(TITLE_NUMBER_PR="","",TITLE_NUMBER_PR),TITLE_NUMBER_PR_CHANGE)</f>
        <v/>
      </c>
      <c r="W32" s="3075"/>
      <c r="X32" s="3075"/>
      <c r="Y32" s="3075"/>
      <c r="Z32" s="3075"/>
      <c r="AA32" s="1238"/>
      <c r="AB32" s="3075" t="str">
        <f>IF(TITLE_NUMBER_PR_CHANGE="",IF(TITLE_NUMBER_PR="","",TITLE_NUMBER_PR),TITLE_NUMBER_PR_CHANGE)</f>
        <v/>
      </c>
      <c r="AC32" s="3075"/>
      <c r="AD32" s="3075"/>
      <c r="AE32" s="3075"/>
      <c r="AF32" s="3075"/>
      <c r="AG32" s="3075"/>
      <c r="AH32" s="3075"/>
      <c r="AI32" s="3075"/>
      <c r="AJ32" s="3075"/>
      <c r="AK32" s="3075"/>
      <c r="AL32" s="3075"/>
      <c r="AM32" s="3075"/>
      <c r="AN32" s="3075"/>
      <c r="AO32" s="3075"/>
      <c r="AP32" s="3075"/>
      <c r="AQ32" s="3075"/>
      <c r="AR32" s="3075"/>
      <c r="AS32" s="1238"/>
      <c r="AT32" s="1238"/>
      <c r="AU32" s="1192"/>
      <c r="AV32" s="1280"/>
      <c r="AW32" s="1280"/>
      <c r="AX32" s="1280"/>
      <c r="AY32" s="1280"/>
      <c r="AZ32" s="1280"/>
    </row>
    <row s="40143"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38</v>
      </c>
      <c r="T33" s="3074"/>
      <c r="U33" s="2287"/>
      <c r="V33" s="3075" t="str">
        <f>IF(TITLE_IST_PUB_CHANGE="",IF(TITLE_IST_PUB="","",TITLE_IST_PUB),TITLE_IST_PUB_CHANGE)</f>
        <v/>
      </c>
      <c r="W33" s="3075"/>
      <c r="X33" s="3075"/>
      <c r="Y33" s="3075"/>
      <c r="Z33" s="3075"/>
      <c r="AA33" s="1238"/>
      <c r="AB33" s="3075" t="str">
        <f>IF(TITLE_IST_PUB_CHANGE="",IF(TITLE_IST_PUB="","",TITLE_IST_PUB),TITLE_IST_PUB_CHANGE)</f>
        <v/>
      </c>
      <c r="AC33" s="3075"/>
      <c r="AD33" s="3075"/>
      <c r="AE33" s="3075"/>
      <c r="AF33" s="3075"/>
      <c r="AG33" s="3075"/>
      <c r="AH33" s="3075"/>
      <c r="AI33" s="3075"/>
      <c r="AJ33" s="3075"/>
      <c r="AK33" s="3075"/>
      <c r="AL33" s="3075"/>
      <c r="AM33" s="3075"/>
      <c r="AN33" s="3075"/>
      <c r="AO33" s="3075"/>
      <c r="AP33" s="3075"/>
      <c r="AQ33" s="3075"/>
      <c r="AR33" s="3075"/>
      <c r="AS33" s="1238"/>
      <c r="AT33" s="1238"/>
      <c r="AU33" s="1192"/>
      <c r="AV33" s="1280"/>
      <c r="AW33" s="1280"/>
      <c r="AX33" s="1280"/>
      <c r="AY33" s="1280"/>
      <c r="AZ33" s="1280"/>
    </row>
    <row customHeight="1" ht="14.25" hidden="1">
      <c r="Q34" s="1203"/>
      <c r="R34" s="1288"/>
      <c r="S34" s="2190"/>
      <c r="T34" s="1275"/>
      <c r="U34" s="1275"/>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421"/>
    </row>
    <row s="40143" customFormat="1" customHeight="1" ht="18.75" hidden="1">
      <c r="A35" s="2283"/>
      <c r="B35" s="2283"/>
      <c r="C35" s="2283"/>
      <c r="D35" s="2283"/>
      <c r="E35" s="2283"/>
      <c r="F35" s="2283"/>
      <c r="G35" s="2283"/>
      <c r="H35" s="2283"/>
      <c r="I35" s="2283"/>
      <c r="J35" s="2283"/>
      <c r="K35" s="2283"/>
      <c r="L35" s="2284"/>
      <c r="M35" s="2283"/>
      <c r="N35" s="2283"/>
      <c r="O35" s="2283"/>
      <c r="P35" s="2283"/>
      <c r="Q35" s="2283"/>
      <c r="S35" s="3074" t="s">
        <v>414</v>
      </c>
      <c r="T35" s="3074"/>
      <c r="U35" s="2287"/>
      <c r="V35" s="3088" t="str">
        <f>IF(TITLE_DATE_PR_CHANGE="",IF(TITLE_DATE_PR="","",TITLE_DATE_PR),TITLE_DATE_PR_CHANGE)</f>
        <v/>
      </c>
      <c r="W35" s="3088"/>
      <c r="X35" s="3088"/>
      <c r="Y35" s="3088"/>
      <c r="Z35" s="3088"/>
      <c r="AA35" s="1238"/>
      <c r="AB35" s="3088" t="str">
        <f>IF(TITLE_DATE_PR_CHANGE="",IF(TITLE_DATE_PR="","",TITLE_DATE_PR),TITLE_DATE_PR_CHANGE)</f>
        <v/>
      </c>
      <c r="AC35" s="3088"/>
      <c r="AD35" s="3088"/>
      <c r="AE35" s="3088"/>
      <c r="AF35" s="3088"/>
      <c r="AG35" s="3088"/>
      <c r="AH35" s="3088"/>
      <c r="AI35" s="3088"/>
      <c r="AJ35" s="3088"/>
      <c r="AK35" s="3088"/>
      <c r="AL35" s="3088"/>
      <c r="AM35" s="3088"/>
      <c r="AN35" s="3088"/>
      <c r="AO35" s="3088"/>
      <c r="AP35" s="3088"/>
      <c r="AQ35" s="3088"/>
      <c r="AR35" s="3088"/>
      <c r="AS35" s="1238"/>
      <c r="AT35" s="1238"/>
      <c r="AU35" s="1192"/>
      <c r="AV35" s="1280"/>
      <c r="AW35" s="1280"/>
      <c r="AX35" s="1280"/>
      <c r="AY35" s="1280"/>
      <c r="AZ35" s="1280"/>
    </row>
    <row s="40143" customFormat="1" customHeight="1" ht="18" hidden="1">
      <c r="A36" s="2283"/>
      <c r="B36" s="2283"/>
      <c r="C36" s="2283"/>
      <c r="D36" s="2283"/>
      <c r="E36" s="2283"/>
      <c r="F36" s="2283"/>
      <c r="G36" s="2283"/>
      <c r="H36" s="2283"/>
      <c r="I36" s="2283"/>
      <c r="J36" s="2283"/>
      <c r="K36" s="2283"/>
      <c r="L36" s="2284"/>
      <c r="M36" s="2283"/>
      <c r="N36" s="2283"/>
      <c r="O36" s="2283"/>
      <c r="P36" s="2283"/>
      <c r="Q36" s="2283"/>
      <c r="S36" s="3074" t="s">
        <v>415</v>
      </c>
      <c r="T36" s="3074"/>
      <c r="U36" s="2287"/>
      <c r="V36" s="3075" t="str">
        <f>IF(TITLE_NUMBER_PR_CHANGE="",IF(TITLE_NUMBER_PR="","",TITLE_NUMBER_PR),TITLE_NUMBER_PR_CHANGE)</f>
        <v/>
      </c>
      <c r="W36" s="3075"/>
      <c r="X36" s="3075"/>
      <c r="Y36" s="3075"/>
      <c r="Z36" s="3075"/>
      <c r="AA36" s="1238"/>
      <c r="AB36" s="3075" t="str">
        <f>IF(TITLE_NUMBER_PR_CHANGE="",IF(TITLE_NUMBER_PR="","",TITLE_NUMBER_PR),TITLE_NUMBER_PR_CHANGE)</f>
        <v/>
      </c>
      <c r="AC36" s="3075"/>
      <c r="AD36" s="3075"/>
      <c r="AE36" s="3075"/>
      <c r="AF36" s="3075"/>
      <c r="AG36" s="3075"/>
      <c r="AH36" s="3075"/>
      <c r="AI36" s="3075"/>
      <c r="AJ36" s="3075"/>
      <c r="AK36" s="3075"/>
      <c r="AL36" s="3075"/>
      <c r="AM36" s="3075"/>
      <c r="AN36" s="3075"/>
      <c r="AO36" s="3075"/>
      <c r="AP36" s="3075"/>
      <c r="AQ36" s="3075"/>
      <c r="AR36" s="3075"/>
      <c r="AS36" s="1238"/>
      <c r="AT36" s="1238"/>
      <c r="AU36" s="1192"/>
      <c r="AV36" s="1280"/>
      <c r="AW36" s="1280"/>
      <c r="AX36" s="1280"/>
      <c r="AY36" s="1280"/>
      <c r="AZ36" s="1280"/>
    </row>
    <row s="40143" customFormat="1" customHeight="1" ht="0.75">
      <c r="A37" s="2283"/>
      <c r="B37" s="2283"/>
      <c r="C37" s="2283"/>
      <c r="D37" s="2283"/>
      <c r="E37" s="2283"/>
      <c r="F37" s="2283"/>
      <c r="G37" s="2283"/>
      <c r="H37" s="2283"/>
      <c r="I37" s="2283"/>
      <c r="J37" s="2283"/>
      <c r="K37" s="2283"/>
      <c r="L37" s="2284"/>
      <c r="M37" s="2283"/>
      <c r="N37" s="2283"/>
      <c r="O37" s="2283"/>
      <c r="P37" s="2283"/>
      <c r="Q37" s="2283"/>
      <c r="S37" s="1235"/>
      <c r="T37" s="1235"/>
      <c r="U37" s="2255"/>
      <c r="V37" s="1238"/>
      <c r="W37" s="1238"/>
      <c r="X37" s="1238"/>
      <c r="Y37" s="1238"/>
      <c r="Z37" s="1238"/>
      <c r="AA37" s="1190" t="s">
        <v>418</v>
      </c>
      <c r="AB37" s="1238"/>
      <c r="AC37" s="1238"/>
      <c r="AD37" s="1238"/>
      <c r="AE37" s="1238"/>
      <c r="AF37" s="1238"/>
      <c r="AG37" s="1238"/>
      <c r="AH37" s="1238"/>
      <c r="AI37" s="1238"/>
      <c r="AJ37" s="1238"/>
      <c r="AK37" s="1238"/>
      <c r="AL37" s="1238"/>
      <c r="AM37" s="1238"/>
      <c r="AN37" s="1238"/>
      <c r="AO37" s="1238"/>
      <c r="AP37" s="1238"/>
      <c r="AQ37" s="1238"/>
      <c r="AR37" s="1238"/>
      <c r="AS37" s="1190" t="s">
        <v>418</v>
      </c>
      <c r="AV37" s="1280"/>
      <c r="AW37" s="1280"/>
      <c r="AX37" s="1280"/>
      <c r="AY37" s="1280"/>
      <c r="AZ37" s="1280"/>
    </row>
    <row customHeight="1" ht="14.25">
      <c r="Q38" s="1203"/>
      <c r="R38" s="1288"/>
      <c r="S38" s="2190"/>
      <c r="T38" s="1275"/>
      <c r="U38" s="2158"/>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row>
    <row customHeight="1" ht="14.25">
      <c r="Q39" s="1203"/>
      <c r="R39" s="1288"/>
      <c r="S39" s="2953" t="s">
        <v>291</v>
      </c>
      <c r="T39" s="2953"/>
      <c r="U39" s="2953"/>
      <c r="V39" s="2953"/>
      <c r="W39" s="2953"/>
      <c r="X39" s="2953"/>
      <c r="Y39" s="2953"/>
      <c r="Z39" s="2953"/>
      <c r="AA39" s="2953"/>
      <c r="AB39" s="2999"/>
      <c r="AC39" s="2999"/>
      <c r="AD39" s="2999"/>
      <c r="AE39" s="2999"/>
      <c r="AF39" s="2953"/>
      <c r="AG39" s="2953"/>
      <c r="AH39" s="2953"/>
      <c r="AI39" s="2953"/>
      <c r="AJ39" s="2953"/>
      <c r="AK39" s="2953"/>
      <c r="AL39" s="2953"/>
      <c r="AM39" s="2953"/>
      <c r="AN39" s="2953"/>
      <c r="AO39" s="2953"/>
      <c r="AP39" s="2953"/>
      <c r="AQ39" s="2953"/>
      <c r="AR39" s="2953"/>
      <c r="AS39" s="2953"/>
      <c r="AT39" s="2953"/>
      <c r="AU39" s="2953" t="s">
        <v>292</v>
      </c>
    </row>
    <row customHeight="1" ht="14.25">
      <c r="Q40" s="1203"/>
      <c r="R40" s="1288"/>
      <c r="S40" s="3097" t="s">
        <v>84</v>
      </c>
      <c r="T40" s="3033" t="s">
        <v>464</v>
      </c>
      <c r="U40" s="1213"/>
      <c r="V40" s="3099"/>
      <c r="W40" s="3099"/>
      <c r="X40" s="3099"/>
      <c r="Y40" s="3099"/>
      <c r="Z40" s="3100"/>
      <c r="AA40" s="3153" t="s">
        <v>421</v>
      </c>
      <c r="AB40" s="3145" t="s">
        <v>465</v>
      </c>
      <c r="AC40" s="3115"/>
      <c r="AD40" s="3115"/>
      <c r="AE40" s="3146"/>
      <c r="AF40" s="3115" t="s">
        <v>466</v>
      </c>
      <c r="AG40" s="3115"/>
      <c r="AH40" s="3115"/>
      <c r="AI40" s="3146"/>
      <c r="AJ40" s="3145" t="s">
        <v>467</v>
      </c>
      <c r="AK40" s="3115"/>
      <c r="AL40" s="3115"/>
      <c r="AM40" s="3146"/>
      <c r="AN40" s="3145" t="s">
        <v>420</v>
      </c>
      <c r="AO40" s="3115"/>
      <c r="AP40" s="3099"/>
      <c r="AQ40" s="3099"/>
      <c r="AR40" s="3100"/>
      <c r="AS40" s="3101" t="s">
        <v>421</v>
      </c>
      <c r="AT40" s="3104" t="s">
        <v>423</v>
      </c>
      <c r="AU40" s="2953"/>
    </row>
    <row customHeight="1" ht="33.75">
      <c r="Q41" s="1203"/>
      <c r="R41" s="1288"/>
      <c r="S41" s="3097"/>
      <c r="T41" s="3033"/>
      <c r="U41" s="1944"/>
      <c r="V41" s="3016" t="s">
        <v>468</v>
      </c>
      <c r="W41" s="3017"/>
      <c r="X41" s="3118" t="s">
        <v>427</v>
      </c>
      <c r="Y41" s="3130"/>
      <c r="Z41" s="3131"/>
      <c r="AA41" s="3154"/>
      <c r="AB41" s="3147"/>
      <c r="AC41" s="3148"/>
      <c r="AD41" s="3148"/>
      <c r="AE41" s="3149"/>
      <c r="AF41" s="3148"/>
      <c r="AG41" s="3148"/>
      <c r="AH41" s="3148"/>
      <c r="AI41" s="3149"/>
      <c r="AJ41" s="3147"/>
      <c r="AK41" s="3148"/>
      <c r="AL41" s="3148"/>
      <c r="AM41" s="3148"/>
      <c r="AN41" s="2953" t="s">
        <v>469</v>
      </c>
      <c r="AO41" s="2953"/>
      <c r="AP41" s="3130" t="s">
        <v>427</v>
      </c>
      <c r="AQ41" s="3130"/>
      <c r="AR41" s="3131"/>
      <c r="AS41" s="3102"/>
      <c r="AT41" s="3105"/>
      <c r="AU41" s="2953"/>
    </row>
    <row customHeight="1" ht="14.25">
      <c r="Q42" s="1203"/>
      <c r="R42" s="1288"/>
      <c r="S42" s="3097"/>
      <c r="T42" s="3033"/>
      <c r="U42" s="1944"/>
      <c r="V42" s="3024"/>
      <c r="W42" s="3025"/>
      <c r="X42" s="3119"/>
      <c r="Y42" s="3132"/>
      <c r="Z42" s="3133"/>
      <c r="AA42" s="3154"/>
      <c r="AB42" s="3147"/>
      <c r="AC42" s="3148"/>
      <c r="AD42" s="3148"/>
      <c r="AE42" s="3149"/>
      <c r="AF42" s="3148"/>
      <c r="AG42" s="3148"/>
      <c r="AH42" s="3148"/>
      <c r="AI42" s="3149"/>
      <c r="AJ42" s="3147"/>
      <c r="AK42" s="3148"/>
      <c r="AL42" s="3148"/>
      <c r="AM42" s="3148"/>
      <c r="AN42" s="3156"/>
      <c r="AO42" s="3156"/>
      <c r="AP42" s="3132"/>
      <c r="AQ42" s="3132"/>
      <c r="AR42" s="3133"/>
      <c r="AS42" s="3102"/>
      <c r="AT42" s="3105"/>
      <c r="AU42" s="2953"/>
    </row>
    <row customHeight="1" ht="14.25">
      <c r="A43" s="2285"/>
      <c r="B43" s="2285" t="s">
        <v>128</v>
      </c>
      <c r="C43" s="2285" t="s">
        <v>129</v>
      </c>
      <c r="D43" s="2285" t="s">
        <v>130</v>
      </c>
      <c r="E43" s="2279" t="s">
        <v>428</v>
      </c>
      <c r="F43" s="2279" t="s">
        <v>429</v>
      </c>
      <c r="G43" s="2279" t="s">
        <v>430</v>
      </c>
      <c r="H43" s="2279" t="s">
        <v>431</v>
      </c>
      <c r="I43" s="2279" t="s">
        <v>432</v>
      </c>
      <c r="J43" s="2279" t="s">
        <v>433</v>
      </c>
      <c r="K43" s="2279" t="s">
        <v>434</v>
      </c>
      <c r="L43" s="2279" t="s">
        <v>409</v>
      </c>
      <c r="Q43" s="1203"/>
      <c r="R43" s="1288"/>
      <c r="S43" s="3097"/>
      <c r="T43" s="3033"/>
      <c r="U43" s="1214"/>
      <c r="V43" s="2245" t="s">
        <v>470</v>
      </c>
      <c r="W43" s="2245" t="s">
        <v>471</v>
      </c>
      <c r="X43" s="2253" t="s">
        <v>437</v>
      </c>
      <c r="Y43" s="3094" t="s">
        <v>438</v>
      </c>
      <c r="Z43" s="3095"/>
      <c r="AA43" s="3155"/>
      <c r="AB43" s="3150"/>
      <c r="AC43" s="3151"/>
      <c r="AD43" s="3151"/>
      <c r="AE43" s="3152"/>
      <c r="AF43" s="3151"/>
      <c r="AG43" s="3151"/>
      <c r="AH43" s="3151"/>
      <c r="AI43" s="3152"/>
      <c r="AJ43" s="3150"/>
      <c r="AK43" s="3151"/>
      <c r="AL43" s="3151"/>
      <c r="AM43" s="3152"/>
      <c r="AN43" s="2776" t="s">
        <v>470</v>
      </c>
      <c r="AO43" s="2776" t="s">
        <v>471</v>
      </c>
      <c r="AP43" s="2253" t="s">
        <v>437</v>
      </c>
      <c r="AQ43" s="3094" t="s">
        <v>438</v>
      </c>
      <c r="AR43" s="3095"/>
      <c r="AS43" s="3103"/>
      <c r="AT43" s="3106"/>
      <c r="AU43" s="2953"/>
    </row>
    <row s="39960" customFormat="1" customHeight="1" ht="11.25" hidden="1">
      <c r="A44" s="2285"/>
      <c r="B44" s="2285"/>
      <c r="C44" s="2285"/>
      <c r="D44" s="2285"/>
      <c r="E44" s="2285"/>
      <c r="F44" s="2285"/>
      <c r="G44" s="2285"/>
      <c r="H44" s="2285"/>
      <c r="I44" s="2285"/>
      <c r="J44" s="2285"/>
      <c r="K44" s="2285"/>
      <c r="L44" s="2279"/>
      <c r="M44" s="2277"/>
      <c r="N44" s="2277"/>
      <c r="O44" s="2277"/>
      <c r="P44" s="1422"/>
      <c r="Q44" s="2168"/>
      <c r="R44" s="2168">
        <v>1</v>
      </c>
      <c r="S44" s="2192" t="s">
        <v>102</v>
      </c>
      <c r="T44" s="2169" t="s">
        <v>103</v>
      </c>
      <c r="U44" s="2159" t="str">
        <f>OFFSET(U44,0,-1)</f>
        <v>2</v>
      </c>
      <c r="V44" s="2250">
        <f>OFFSET(V44,0,-1)+1</f>
        <v>3</v>
      </c>
      <c r="W44" s="2250">
        <f>OFFSET(W44,0,-1)+1</f>
        <v>4</v>
      </c>
      <c r="X44" s="2250">
        <f>OFFSET(X44,0,-1)+1</f>
        <v>5</v>
      </c>
      <c r="Y44" s="3096">
        <f>OFFSET(Y44,0,-1)+1</f>
        <v>6</v>
      </c>
      <c r="Z44" s="3096"/>
      <c r="AA44" s="2250">
        <f>OFFSET(AA44,0,-2)+1</f>
        <v>7</v>
      </c>
      <c r="AB44" s="2256">
        <f>OFFSET(AB44,0,-1)+1</f>
        <v>8</v>
      </c>
      <c r="AC44" s="2256"/>
      <c r="AD44" s="2256"/>
      <c r="AE44" s="2256"/>
      <c r="AF44" s="2250"/>
      <c r="AG44" s="2250"/>
      <c r="AH44" s="2250"/>
      <c r="AI44" s="2250"/>
      <c r="AJ44" s="2250"/>
      <c r="AK44" s="2250"/>
      <c r="AL44" s="2250"/>
      <c r="AM44" s="2250"/>
      <c r="AN44" s="2250">
        <f>OFFSET(AN44,0,-1)+1</f>
        <v>1</v>
      </c>
      <c r="AO44" s="2250">
        <f>OFFSET(AO44,0,-1)+1</f>
        <v>2</v>
      </c>
      <c r="AP44" s="2250">
        <f>OFFSET(AP44,0,-1)+1</f>
        <v>3</v>
      </c>
      <c r="AQ44" s="3096">
        <f>OFFSET(AQ44,0,-1)+1</f>
        <v>4</v>
      </c>
      <c r="AR44" s="3096"/>
      <c r="AS44" s="2250">
        <f>OFFSET(AS44,0,-2)+1</f>
        <v>5</v>
      </c>
      <c r="AT44" s="2159">
        <f>OFFSET(AT44,0,-1)</f>
        <v>5</v>
      </c>
      <c r="AU44" s="2250">
        <f>OFFSET(AU44,0,-1)+1</f>
        <v>6</v>
      </c>
      <c r="AV44" s="1423"/>
      <c r="AW44" s="1423"/>
      <c r="AX44" s="1423"/>
      <c r="AY44" s="1423"/>
      <c r="AZ44" s="1423"/>
    </row>
    <row customHeight="1" ht="102">
      <c r="A45" s="2278" t="s">
        <v>191</v>
      </c>
      <c r="B45" s="2278"/>
      <c r="C45" s="2278"/>
      <c r="D45" s="2278"/>
      <c r="E45" s="3082">
        <v>1</v>
      </c>
      <c r="F45" s="2278"/>
      <c r="G45" s="2278"/>
      <c r="H45" s="2278"/>
      <c r="I45" s="2278"/>
      <c r="J45" s="2278"/>
      <c r="K45" s="2278"/>
      <c r="L45" s="2279"/>
      <c r="M45" s="2280"/>
      <c r="N45" s="2280"/>
      <c r="O45" s="2280"/>
      <c r="P45" s="2324"/>
      <c r="Q45" s="1785"/>
      <c r="R45" s="1267"/>
      <c r="S45" s="2251">
        <f>INDEX(PT_DIFFERENTIATION_NUM_NTAR,MATCH(A45,PT_DIFFERENTIATION_NTAR_ID,0))</f>
        <v>0</v>
      </c>
      <c r="T45" s="1210" t="s">
        <v>116</v>
      </c>
      <c r="U45" s="1212"/>
      <c r="V45" s="3067"/>
      <c r="W45" s="3067"/>
      <c r="X45" s="3067"/>
      <c r="Y45" s="3067"/>
      <c r="Z45" s="3067"/>
      <c r="AA45" s="3068"/>
      <c r="AB45" s="3066" t="str">
        <f>INDEX(PT_DIFFERENTIATION_NTAR,MATCH(A45,PT_DIFFERENTIATION_NTAR_ID,0))</f>
        <v/>
      </c>
      <c r="AC45" s="3067"/>
      <c r="AD45" s="3067"/>
      <c r="AE45" s="3067"/>
      <c r="AF45" s="3067"/>
      <c r="AG45" s="3067"/>
      <c r="AH45" s="3067"/>
      <c r="AI45" s="3067"/>
      <c r="AJ45" s="3067"/>
      <c r="AK45" s="3067"/>
      <c r="AL45" s="3067"/>
      <c r="AM45" s="3067"/>
      <c r="AN45" s="3067"/>
      <c r="AO45" s="3067"/>
      <c r="AP45" s="3067"/>
      <c r="AQ45" s="3067"/>
      <c r="AR45" s="3067"/>
      <c r="AS45" s="3067"/>
      <c r="AT45" s="3068"/>
      <c r="AU45"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412"/>
      <c r="AX45" s="1412" t="str">
        <f>IF(T45="","",T45)</f>
        <v>Наименование тарифа</v>
      </c>
      <c r="AY45" s="1412"/>
      <c r="AZ45" s="1412"/>
    </row>
    <row customHeight="1" ht="21">
      <c r="A46" s="2278" t="s">
        <v>191</v>
      </c>
      <c r="B46" s="2278" t="s">
        <v>192</v>
      </c>
      <c r="C46" s="2278"/>
      <c r="D46" s="2278"/>
      <c r="E46" s="3083"/>
      <c r="F46" s="3082">
        <v>1</v>
      </c>
      <c r="G46" s="2278"/>
      <c r="H46" s="2278"/>
      <c r="I46" s="2278"/>
      <c r="J46" s="2278"/>
      <c r="K46" s="2278"/>
      <c r="L46" s="2279"/>
      <c r="M46" s="2280"/>
      <c r="N46" s="2280"/>
      <c r="O46" s="2280"/>
      <c r="P46" s="2325"/>
      <c r="Q46" s="2326"/>
      <c r="R46" s="1265"/>
      <c r="S46" s="2251" t="str">
        <f>INDEX(PT_DIFFERENTIATION_NUM_TER,MATCH(B46,PT_DIFFERENTIATION_TER_ID,0))</f>
        <v>.</v>
      </c>
      <c r="T46" s="1220" t="s">
        <v>388</v>
      </c>
      <c r="U46" s="1212"/>
      <c r="V46" s="3067"/>
      <c r="W46" s="3067"/>
      <c r="X46" s="3067"/>
      <c r="Y46" s="3067"/>
      <c r="Z46" s="3067"/>
      <c r="AA46" s="3068"/>
      <c r="AB46" s="3066" t="str">
        <f>INDEX(PT_DIFFERENTIATION_TER,MATCH(B46,PT_DIFFERENTIATION_TER_ID,0))</f>
        <v/>
      </c>
      <c r="AC46" s="3067"/>
      <c r="AD46" s="3067"/>
      <c r="AE46" s="3067"/>
      <c r="AF46" s="3067"/>
      <c r="AG46" s="3067"/>
      <c r="AH46" s="3067"/>
      <c r="AI46" s="3067"/>
      <c r="AJ46" s="3067"/>
      <c r="AK46" s="3067"/>
      <c r="AL46" s="3067"/>
      <c r="AM46" s="3067"/>
      <c r="AN46" s="3067"/>
      <c r="AO46" s="3067"/>
      <c r="AP46" s="3067"/>
      <c r="AQ46" s="3067"/>
      <c r="AR46" s="3067"/>
      <c r="AS46" s="3067"/>
      <c r="AT46" s="3068"/>
      <c r="AU46" s="2172" t="s">
        <v>389</v>
      </c>
      <c r="AW46" s="1412"/>
      <c r="AX46" s="1412" t="str">
        <f>IF(T46="","",T46)</f>
        <v>Территория действия тарифа</v>
      </c>
      <c r="AY46" s="1412"/>
      <c r="AZ46" s="1412"/>
    </row>
    <row customHeight="1" ht="23.25">
      <c r="A47" s="2278" t="s">
        <v>191</v>
      </c>
      <c r="B47" s="2278" t="s">
        <v>192</v>
      </c>
      <c r="C47" s="2278" t="s">
        <v>193</v>
      </c>
      <c r="D47" s="2278"/>
      <c r="E47" s="3083"/>
      <c r="F47" s="3083"/>
      <c r="G47" s="3082">
        <v>1</v>
      </c>
      <c r="H47" s="2278"/>
      <c r="I47" s="2278"/>
      <c r="J47" s="2278"/>
      <c r="K47" s="2278"/>
      <c r="L47" s="2279"/>
      <c r="M47" s="2280"/>
      <c r="N47" s="2280"/>
      <c r="O47" s="2280"/>
      <c r="P47" s="2327"/>
      <c r="Q47" s="2326"/>
      <c r="R47" s="1265"/>
      <c r="S47" s="2251" t="str">
        <f>INDEX(PT_DIFFERENTIATION_NUM_CS,MATCH(C47,PT_DIFFERENTIATION_CS_ID,0))</f>
        <v>..</v>
      </c>
      <c r="T47" s="1221" t="s">
        <v>390</v>
      </c>
      <c r="U47" s="1212"/>
      <c r="V47" s="3067"/>
      <c r="W47" s="3067"/>
      <c r="X47" s="3067"/>
      <c r="Y47" s="3067"/>
      <c r="Z47" s="3067"/>
      <c r="AA47" s="3068"/>
      <c r="AB47" s="3066" t="str">
        <f>INDEX(PT_DIFFERENTIATION_CS,MATCH(C47,PT_DIFFERENTIATION_CS_ID,0))</f>
        <v/>
      </c>
      <c r="AC47" s="3067"/>
      <c r="AD47" s="3067"/>
      <c r="AE47" s="3067"/>
      <c r="AF47" s="3067"/>
      <c r="AG47" s="3067"/>
      <c r="AH47" s="3067"/>
      <c r="AI47" s="3067"/>
      <c r="AJ47" s="3067"/>
      <c r="AK47" s="3067"/>
      <c r="AL47" s="3067"/>
      <c r="AM47" s="3067"/>
      <c r="AN47" s="3067"/>
      <c r="AO47" s="3067"/>
      <c r="AP47" s="3067"/>
      <c r="AQ47" s="3067"/>
      <c r="AR47" s="3067"/>
      <c r="AS47" s="3067"/>
      <c r="AT47" s="3068"/>
      <c r="AU47" s="2172" t="s">
        <v>391</v>
      </c>
      <c r="AW47" s="1412"/>
      <c r="AX47" s="1412" t="str">
        <f>IF(T47="","",T47)</f>
        <v>Наименование системы теплоснабжения </v>
      </c>
      <c r="AY47" s="1412"/>
      <c r="AZ47" s="1412"/>
    </row>
    <row customHeight="1" ht="21">
      <c r="A48" s="2278" t="s">
        <v>191</v>
      </c>
      <c r="B48" s="2278" t="s">
        <v>192</v>
      </c>
      <c r="C48" s="2278" t="s">
        <v>193</v>
      </c>
      <c r="D48" s="2278" t="s">
        <v>194</v>
      </c>
      <c r="E48" s="3083"/>
      <c r="F48" s="3083"/>
      <c r="G48" s="3083"/>
      <c r="H48" s="3082">
        <v>1</v>
      </c>
      <c r="I48" s="2278"/>
      <c r="J48" s="2278"/>
      <c r="K48" s="2278"/>
      <c r="L48" s="2279"/>
      <c r="M48" s="2280"/>
      <c r="N48" s="2280"/>
      <c r="O48" s="2280"/>
      <c r="P48" s="2327"/>
      <c r="Q48" s="2326"/>
      <c r="R48" s="1265"/>
      <c r="S48" s="2251" t="str">
        <f>INDEX(PT_DIFFERENTIATION_NUM_IST_TE,MATCH(D48,PT_DIFFERENTIATION_IST_TE_ID,0))</f>
        <v>...</v>
      </c>
      <c r="T48" s="1222" t="s">
        <v>392</v>
      </c>
      <c r="U48" s="1212"/>
      <c r="V48" s="3067"/>
      <c r="W48" s="3067"/>
      <c r="X48" s="3067"/>
      <c r="Y48" s="3067"/>
      <c r="Z48" s="3067"/>
      <c r="AA48" s="3068"/>
      <c r="AB48" s="3066" t="str">
        <f>INDEX(PT_DIFFERENTIATION_IST_TE,MATCH(D48,PT_DIFFERENTIATION_IST_TE_ID,0))</f>
        <v/>
      </c>
      <c r="AC48" s="3067"/>
      <c r="AD48" s="3067"/>
      <c r="AE48" s="3067"/>
      <c r="AF48" s="3067"/>
      <c r="AG48" s="3067"/>
      <c r="AH48" s="3067"/>
      <c r="AI48" s="3067"/>
      <c r="AJ48" s="3067"/>
      <c r="AK48" s="3067"/>
      <c r="AL48" s="3067"/>
      <c r="AM48" s="3067"/>
      <c r="AN48" s="3067"/>
      <c r="AO48" s="3067"/>
      <c r="AP48" s="3067"/>
      <c r="AQ48" s="3067"/>
      <c r="AR48" s="3067"/>
      <c r="AS48" s="3067"/>
      <c r="AT48" s="3068"/>
      <c r="AU48" s="2172" t="s">
        <v>393</v>
      </c>
      <c r="AW48" s="1412"/>
      <c r="AX48" s="1412" t="str">
        <f>IF(T48="","",T48)</f>
        <v>Источник тепловой энергии  </v>
      </c>
      <c r="AY48" s="1412"/>
      <c r="AZ48" s="1412"/>
    </row>
    <row s="40202" customFormat="1" customHeight="1" ht="0">
      <c r="A49" s="2258" t="s">
        <v>191</v>
      </c>
      <c r="B49" s="2258" t="s">
        <v>192</v>
      </c>
      <c r="C49" s="2258" t="s">
        <v>193</v>
      </c>
      <c r="D49" s="2258" t="s">
        <v>194</v>
      </c>
      <c r="E49" s="3083"/>
      <c r="F49" s="3083"/>
      <c r="G49" s="3083"/>
      <c r="H49" s="3083"/>
      <c r="I49" s="3080" t="str">
        <f>S48&amp;".1"</f>
        <v>....1</v>
      </c>
      <c r="J49" s="2258"/>
      <c r="K49" s="2258"/>
      <c r="L49" s="2261" t="s">
        <v>394</v>
      </c>
      <c r="M49" s="1422"/>
      <c r="N49" s="1422"/>
      <c r="O49" s="1422"/>
      <c r="P49" s="3081">
        <v>1</v>
      </c>
      <c r="Q49" s="2246"/>
      <c r="R49" s="1268"/>
      <c r="S49" s="1955"/>
      <c r="T49" s="2298"/>
      <c r="U49" s="2299"/>
      <c r="V49" s="3121"/>
      <c r="W49" s="3121"/>
      <c r="X49" s="3121"/>
      <c r="Y49" s="3121"/>
      <c r="Z49" s="3121"/>
      <c r="AA49" s="3122"/>
      <c r="AB49" s="3120"/>
      <c r="AC49" s="3121"/>
      <c r="AD49" s="3121"/>
      <c r="AE49" s="3121"/>
      <c r="AF49" s="3121"/>
      <c r="AG49" s="3121"/>
      <c r="AH49" s="3121"/>
      <c r="AI49" s="3121"/>
      <c r="AJ49" s="3121"/>
      <c r="AK49" s="3121"/>
      <c r="AL49" s="3121"/>
      <c r="AM49" s="3121"/>
      <c r="AN49" s="3121"/>
      <c r="AO49" s="3121"/>
      <c r="AP49" s="3121"/>
      <c r="AQ49" s="3121"/>
      <c r="AR49" s="3121"/>
      <c r="AS49" s="3121"/>
      <c r="AT49" s="3122"/>
      <c r="AU49" s="2300"/>
      <c r="AW49" s="1412"/>
      <c r="AX49" s="1412" t="str">
        <f>IF(T49="","",T49)</f>
        <v/>
      </c>
      <c r="AY49" s="1412"/>
      <c r="AZ49" s="1412"/>
    </row>
    <row s="40202" customFormat="1" customHeight="1" ht="0">
      <c r="A50" s="2258" t="s">
        <v>191</v>
      </c>
      <c r="B50" s="2258" t="s">
        <v>192</v>
      </c>
      <c r="C50" s="2258" t="s">
        <v>193</v>
      </c>
      <c r="D50" s="2258" t="s">
        <v>194</v>
      </c>
      <c r="E50" s="3083"/>
      <c r="F50" s="3083"/>
      <c r="G50" s="3083"/>
      <c r="H50" s="3083"/>
      <c r="I50" s="3110"/>
      <c r="J50" s="3080" t="str">
        <f>S48&amp;".1"</f>
        <v>....1</v>
      </c>
      <c r="K50" s="2258"/>
      <c r="L50" s="2261"/>
      <c r="M50" s="1422"/>
      <c r="N50" s="1422"/>
      <c r="O50" s="1422"/>
      <c r="P50" s="3081"/>
      <c r="Q50" s="3081">
        <v>1</v>
      </c>
      <c r="R50" s="1269"/>
      <c r="S50" s="1955"/>
      <c r="T50" s="2314"/>
      <c r="U50" s="2299"/>
      <c r="V50" s="3121"/>
      <c r="W50" s="3121"/>
      <c r="X50" s="3121"/>
      <c r="Y50" s="3121"/>
      <c r="Z50" s="3121"/>
      <c r="AA50" s="3122"/>
      <c r="AB50" s="3120"/>
      <c r="AC50" s="3121"/>
      <c r="AD50" s="3121"/>
      <c r="AE50" s="3121"/>
      <c r="AF50" s="3121"/>
      <c r="AG50" s="3121"/>
      <c r="AH50" s="3121"/>
      <c r="AI50" s="3121"/>
      <c r="AJ50" s="3121"/>
      <c r="AK50" s="3121"/>
      <c r="AL50" s="3121"/>
      <c r="AM50" s="3121"/>
      <c r="AN50" s="3121"/>
      <c r="AO50" s="3121"/>
      <c r="AP50" s="3121"/>
      <c r="AQ50" s="3121"/>
      <c r="AR50" s="3121"/>
      <c r="AS50" s="3121"/>
      <c r="AT50" s="3122"/>
      <c r="AU50" s="2300"/>
      <c r="AW50" s="1412"/>
      <c r="AX50" s="1412" t="str">
        <f>IF(T50="","",T50)</f>
        <v/>
      </c>
      <c r="AY50" s="1412"/>
      <c r="AZ50" s="1412"/>
    </row>
    <row customHeight="1" ht="21">
      <c r="A51" s="2278" t="s">
        <v>191</v>
      </c>
      <c r="B51" s="2278" t="s">
        <v>192</v>
      </c>
      <c r="C51" s="2278" t="s">
        <v>193</v>
      </c>
      <c r="D51" s="2278" t="s">
        <v>194</v>
      </c>
      <c r="E51" s="3083"/>
      <c r="F51" s="3083"/>
      <c r="G51" s="3083"/>
      <c r="H51" s="3083"/>
      <c r="I51" s="3110"/>
      <c r="J51" s="3110"/>
      <c r="K51" s="3080" t="str">
        <f>S48&amp;".1"</f>
        <v>....1</v>
      </c>
      <c r="L51" s="2279"/>
      <c r="P51" s="3081"/>
      <c r="Q51" s="3081"/>
      <c r="R51" s="1269">
        <v>1</v>
      </c>
      <c r="S51" s="3157" t="str">
        <f>$K51</f>
        <v>....1</v>
      </c>
      <c r="T51" s="3160"/>
      <c r="U51" s="1212"/>
      <c r="V51" s="1663"/>
      <c r="W51" s="2171"/>
      <c r="X51" s="2649"/>
      <c r="Y51" s="2374" t="s">
        <v>62</v>
      </c>
      <c r="Z51" s="2649"/>
      <c r="AA51" s="2374" t="s">
        <v>62</v>
      </c>
      <c r="AB51" s="2933" t="s">
        <v>52</v>
      </c>
      <c r="AC51" s="3143"/>
      <c r="AD51" s="3029">
        <v>1</v>
      </c>
      <c r="AE51" s="3164" t="s">
        <v>18</v>
      </c>
      <c r="AF51" s="2933" t="s">
        <v>52</v>
      </c>
      <c r="AG51" s="3143"/>
      <c r="AH51" s="3029">
        <v>1</v>
      </c>
      <c r="AI51" s="3164" t="s">
        <v>18</v>
      </c>
      <c r="AJ51" s="2933" t="s">
        <v>52</v>
      </c>
      <c r="AK51" s="1223"/>
      <c r="AL51" s="2252">
        <v>1</v>
      </c>
      <c r="AM51" s="2317"/>
      <c r="AN51" s="1663"/>
      <c r="AO51" s="2171"/>
      <c r="AP51" s="2649"/>
      <c r="AQ51" s="2374" t="s">
        <v>62</v>
      </c>
      <c r="AR51" s="2649"/>
      <c r="AS51" s="2374" t="s">
        <v>62</v>
      </c>
      <c r="AT51" s="2263"/>
      <c r="AU51" s="3077" t="s">
        <v>472</v>
      </c>
      <c r="AV51" s="1423">
        <f>STRCHECKDATE(V54:AT54)</f>
      </c>
      <c r="AW51" s="1412"/>
      <c r="AX51" s="1412" t="str">
        <f>IF(T51="","",T51)</f>
        <v/>
      </c>
      <c r="AY51" s="1412"/>
      <c r="AZ51" s="1412"/>
    </row>
    <row customHeight="1" ht="11.25">
      <c r="A52" s="2278" t="s">
        <v>191</v>
      </c>
      <c r="B52" s="2278"/>
      <c r="C52" s="2278"/>
      <c r="D52" s="2278"/>
      <c r="E52" s="3083"/>
      <c r="F52" s="3083"/>
      <c r="G52" s="3083"/>
      <c r="H52" s="3083"/>
      <c r="I52" s="3110"/>
      <c r="J52" s="3110"/>
      <c r="K52" s="3080"/>
      <c r="L52" s="2279"/>
      <c r="P52" s="3081"/>
      <c r="Q52" s="3081"/>
      <c r="R52" s="1269"/>
      <c r="S52" s="3158"/>
      <c r="T52" s="3161"/>
      <c r="U52" s="1212"/>
      <c r="V52" s="2308"/>
      <c r="W52" s="2411"/>
      <c r="X52" s="2308"/>
      <c r="Y52" s="2308"/>
      <c r="Z52" s="2308"/>
      <c r="AA52" s="2308"/>
      <c r="AB52" s="2933"/>
      <c r="AC52" s="3143"/>
      <c r="AD52" s="3029"/>
      <c r="AE52" s="3164"/>
      <c r="AF52" s="2933"/>
      <c r="AG52" s="3143"/>
      <c r="AH52" s="3029"/>
      <c r="AI52" s="3164"/>
      <c r="AJ52" s="2933"/>
      <c r="AK52" s="1228"/>
      <c r="AL52" s="1328"/>
      <c r="AM52" s="1327" t="s">
        <v>456</v>
      </c>
      <c r="AN52" s="2308"/>
      <c r="AO52" s="2411"/>
      <c r="AP52" s="2308"/>
      <c r="AQ52" s="2308"/>
      <c r="AR52" s="2308"/>
      <c r="AS52" s="2308"/>
      <c r="AT52" s="2305"/>
      <c r="AU52" s="3078"/>
      <c r="AW52" s="1412"/>
      <c r="AX52" s="1412"/>
      <c r="AY52" s="1412"/>
      <c r="AZ52" s="1412"/>
    </row>
    <row customHeight="1" ht="11.25">
      <c r="A53" s="2278" t="s">
        <v>191</v>
      </c>
      <c r="B53" s="2278"/>
      <c r="C53" s="2278"/>
      <c r="D53" s="2278"/>
      <c r="E53" s="3083"/>
      <c r="F53" s="3083"/>
      <c r="G53" s="3083"/>
      <c r="H53" s="3083"/>
      <c r="I53" s="3110"/>
      <c r="J53" s="3110"/>
      <c r="K53" s="3080"/>
      <c r="L53" s="2279"/>
      <c r="P53" s="3081"/>
      <c r="Q53" s="3081"/>
      <c r="R53" s="1269"/>
      <c r="S53" s="3158"/>
      <c r="T53" s="3161"/>
      <c r="U53" s="1212"/>
      <c r="V53" s="2308"/>
      <c r="W53" s="2411"/>
      <c r="X53" s="2308"/>
      <c r="Y53" s="2308"/>
      <c r="Z53" s="2308"/>
      <c r="AA53" s="2308"/>
      <c r="AB53" s="2933"/>
      <c r="AC53" s="3143"/>
      <c r="AD53" s="3029"/>
      <c r="AE53" s="3164"/>
      <c r="AF53" s="2933"/>
      <c r="AG53" s="1206"/>
      <c r="AH53" s="1327"/>
      <c r="AI53" s="1327" t="s">
        <v>457</v>
      </c>
      <c r="AJ53" s="2308"/>
      <c r="AK53" s="2308"/>
      <c r="AL53" s="2308"/>
      <c r="AM53" s="2308"/>
      <c r="AN53" s="2308"/>
      <c r="AO53" s="2411"/>
      <c r="AP53" s="2308"/>
      <c r="AQ53" s="2308"/>
      <c r="AR53" s="2308"/>
      <c r="AS53" s="2308"/>
      <c r="AT53" s="2305"/>
      <c r="AU53" s="3078"/>
      <c r="AW53" s="1412"/>
      <c r="AX53" s="1412"/>
      <c r="AY53" s="1412"/>
      <c r="AZ53" s="1412"/>
    </row>
    <row customHeight="1" ht="11.25">
      <c r="A54" s="2278" t="s">
        <v>191</v>
      </c>
      <c r="B54" s="2278" t="s">
        <v>192</v>
      </c>
      <c r="C54" s="2278" t="s">
        <v>193</v>
      </c>
      <c r="D54" s="2278" t="s">
        <v>194</v>
      </c>
      <c r="E54" s="3083"/>
      <c r="F54" s="3083"/>
      <c r="G54" s="3083"/>
      <c r="H54" s="3083"/>
      <c r="I54" s="3110"/>
      <c r="J54" s="3110"/>
      <c r="K54" s="3080"/>
      <c r="L54" s="2279"/>
      <c r="P54" s="3081"/>
      <c r="Q54" s="3081"/>
      <c r="R54" s="1269"/>
      <c r="S54" s="3159"/>
      <c r="T54" s="3162"/>
      <c r="U54" s="1212"/>
      <c r="V54" s="2308"/>
      <c r="W54" s="2309" t="str">
        <f>X51&amp;"-"&amp;Z51</f>
        <v>-</v>
      </c>
      <c r="X54" s="2308"/>
      <c r="Y54" s="2308"/>
      <c r="Z54" s="2308"/>
      <c r="AA54" s="2308"/>
      <c r="AB54" s="2933"/>
      <c r="AC54" s="1224"/>
      <c r="AD54" s="1226"/>
      <c r="AE54" s="1327" t="s">
        <v>458</v>
      </c>
      <c r="AF54" s="2308"/>
      <c r="AG54" s="2308"/>
      <c r="AH54" s="2308"/>
      <c r="AI54" s="2308"/>
      <c r="AJ54" s="2308"/>
      <c r="AK54" s="2308"/>
      <c r="AL54" s="2308"/>
      <c r="AM54" s="2308"/>
      <c r="AN54" s="2308"/>
      <c r="AO54" s="2309" t="str">
        <f>AP51&amp;"-"&amp;AR51</f>
        <v>-</v>
      </c>
      <c r="AP54" s="2308"/>
      <c r="AQ54" s="2308"/>
      <c r="AR54" s="2308"/>
      <c r="AS54" s="2308"/>
      <c r="AT54" s="2264"/>
      <c r="AU54" s="3078"/>
      <c r="AW54" s="1412"/>
      <c r="AX54" s="1412" t="str">
        <f>IF(T54="","",T54)</f>
        <v/>
      </c>
      <c r="AY54" s="1412"/>
      <c r="AZ54" s="1412"/>
    </row>
    <row customHeight="1" ht="11.25">
      <c r="A55" s="2278" t="s">
        <v>191</v>
      </c>
      <c r="B55" s="2278" t="s">
        <v>192</v>
      </c>
      <c r="C55" s="2278" t="s">
        <v>193</v>
      </c>
      <c r="D55" s="2278" t="s">
        <v>194</v>
      </c>
      <c r="E55" s="3083"/>
      <c r="F55" s="3083"/>
      <c r="G55" s="3083"/>
      <c r="H55" s="3083"/>
      <c r="I55" s="3110"/>
      <c r="J55" s="3080"/>
      <c r="K55" s="2278"/>
      <c r="L55" s="2279"/>
      <c r="P55" s="3081"/>
      <c r="Q55" s="3081"/>
      <c r="R55" s="1268"/>
      <c r="S55" s="2193"/>
      <c r="T55" s="1199" t="s">
        <v>459</v>
      </c>
      <c r="U55" s="1279"/>
      <c r="V55" s="1279"/>
      <c r="W55" s="1279"/>
      <c r="X55" s="1279"/>
      <c r="Y55" s="1279"/>
      <c r="Z55" s="1279"/>
      <c r="AA55" s="1236"/>
      <c r="AB55" s="2420"/>
      <c r="AC55" s="1279"/>
      <c r="AD55" s="1279"/>
      <c r="AE55" s="1279"/>
      <c r="AF55" s="1279"/>
      <c r="AG55" s="1279"/>
      <c r="AH55" s="1279"/>
      <c r="AI55" s="1279"/>
      <c r="AJ55" s="1279"/>
      <c r="AK55" s="1279"/>
      <c r="AL55" s="1279"/>
      <c r="AM55" s="1279"/>
      <c r="AN55" s="1279"/>
      <c r="AO55" s="1279"/>
      <c r="AP55" s="1279"/>
      <c r="AQ55" s="1279"/>
      <c r="AR55" s="1279"/>
      <c r="AS55" s="1279"/>
      <c r="AT55" s="1236"/>
      <c r="AU55" s="3079"/>
      <c r="AW55" s="1412"/>
      <c r="AX55" s="1412" t="str">
        <f>IF(T55="","",T55)</f>
        <v>Добавить строку</v>
      </c>
      <c r="AY55" s="1412"/>
      <c r="AZ55" s="1412"/>
    </row>
    <row s="40202" customFormat="1" customHeight="1" ht="5.25">
      <c r="A56" s="2258" t="s">
        <v>191</v>
      </c>
      <c r="B56" s="2258" t="s">
        <v>192</v>
      </c>
      <c r="C56" s="2258" t="s">
        <v>193</v>
      </c>
      <c r="D56" s="2258" t="s">
        <v>194</v>
      </c>
      <c r="E56" s="3083"/>
      <c r="F56" s="3083"/>
      <c r="G56" s="3083"/>
      <c r="H56" s="3083"/>
      <c r="I56" s="3080"/>
      <c r="J56" s="2258"/>
      <c r="K56" s="2258"/>
      <c r="L56" s="2261"/>
      <c r="M56" s="1422"/>
      <c r="N56" s="1422"/>
      <c r="O56" s="1422"/>
      <c r="P56" s="3081"/>
      <c r="Q56" s="2246"/>
      <c r="R56" s="1268"/>
      <c r="S56" s="2301"/>
      <c r="T56" s="2302" t="s">
        <v>403</v>
      </c>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c r="AS56" s="2303"/>
      <c r="AT56" s="2303"/>
      <c r="AU56" s="2304"/>
      <c r="AW56" s="1412"/>
      <c r="AX56" s="1412" t="str">
        <f>IF(T56="","",T56)</f>
        <v>Добавить группу потребителей</v>
      </c>
      <c r="AY56" s="1412"/>
      <c r="AZ56" s="1412"/>
    </row>
    <row s="39960" customFormat="1" customHeight="1" ht="5.25">
      <c r="A57" s="2258" t="s">
        <v>191</v>
      </c>
      <c r="B57" s="2258" t="s">
        <v>192</v>
      </c>
      <c r="C57" s="2258" t="s">
        <v>193</v>
      </c>
      <c r="D57" s="2258" t="s">
        <v>194</v>
      </c>
      <c r="E57" s="3083"/>
      <c r="F57" s="3083"/>
      <c r="G57" s="3083"/>
      <c r="H57" s="3082"/>
      <c r="I57" s="2258"/>
      <c r="J57" s="2258"/>
      <c r="K57" s="2258"/>
      <c r="L57" s="2261"/>
      <c r="M57" s="2230"/>
      <c r="N57" s="2230"/>
      <c r="O57" s="1430"/>
      <c r="P57" s="1292"/>
      <c r="Q57" s="2259"/>
      <c r="R57" s="2315"/>
      <c r="S57" s="2301"/>
      <c r="T57" s="2302"/>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c r="AS57" s="2303"/>
      <c r="AT57" s="2303"/>
      <c r="AU57" s="2304"/>
      <c r="AV57" s="1423"/>
      <c r="AW57" s="1412"/>
      <c r="AX57" s="1412" t="str">
        <f>IF(T57="","",T57)</f>
        <v/>
      </c>
      <c r="AY57" s="1412"/>
      <c r="AZ57" s="1412"/>
    </row>
    <row s="40110" customFormat="1" customHeight="1" ht="5.25">
      <c r="A58" s="2258" t="s">
        <v>191</v>
      </c>
      <c r="B58" s="2258" t="s">
        <v>192</v>
      </c>
      <c r="C58" s="2258" t="s">
        <v>193</v>
      </c>
      <c r="D58" s="2229"/>
      <c r="E58" s="3083"/>
      <c r="F58" s="3083"/>
      <c r="G58" s="3082"/>
      <c r="H58" s="2229"/>
      <c r="I58" s="2229"/>
      <c r="J58" s="2229"/>
      <c r="K58" s="2229"/>
      <c r="L58" s="2254"/>
      <c r="M58" s="2230"/>
      <c r="N58" s="2230"/>
      <c r="P58" s="2231"/>
      <c r="Q58" s="2232"/>
      <c r="R58" s="2231"/>
      <c r="S58" s="2237"/>
      <c r="T58" s="2240" t="s">
        <v>405</v>
      </c>
      <c r="U58" s="2239"/>
      <c r="V58" s="2239"/>
      <c r="W58" s="2239"/>
      <c r="X58" s="2239"/>
      <c r="Y58" s="2239"/>
      <c r="Z58" s="2239"/>
      <c r="AA58" s="2239"/>
      <c r="AB58" s="2239"/>
      <c r="AC58" s="2239"/>
      <c r="AD58" s="2239"/>
      <c r="AE58" s="2239"/>
      <c r="AF58" s="2239"/>
      <c r="AG58" s="2239"/>
      <c r="AH58" s="2239"/>
      <c r="AI58" s="2239"/>
      <c r="AJ58" s="2239"/>
      <c r="AK58" s="2239"/>
      <c r="AL58" s="2239"/>
      <c r="AM58" s="2239"/>
      <c r="AN58" s="2239"/>
      <c r="AO58" s="2239"/>
      <c r="AP58" s="2239"/>
      <c r="AQ58" s="2239"/>
      <c r="AR58" s="2239"/>
      <c r="AS58" s="2239"/>
      <c r="AT58" s="2239"/>
      <c r="AU58" s="2239"/>
      <c r="AW58" s="1701"/>
      <c r="AX58" s="1701" t="str">
        <f>IF(T58="","",T58)</f>
        <v>Добавить источник для дифференциации</v>
      </c>
      <c r="AY58" s="1701"/>
      <c r="AZ58" s="1701"/>
    </row>
    <row s="40110" customFormat="1" customHeight="1" ht="5.25">
      <c r="A59" s="2258" t="s">
        <v>191</v>
      </c>
      <c r="B59" s="2258" t="s">
        <v>192</v>
      </c>
      <c r="C59" s="2229"/>
      <c r="D59" s="2229"/>
      <c r="E59" s="3083"/>
      <c r="F59" s="3082"/>
      <c r="G59" s="2229"/>
      <c r="H59" s="2229"/>
      <c r="I59" s="2229"/>
      <c r="J59" s="2229"/>
      <c r="K59" s="2229"/>
      <c r="L59" s="2254"/>
      <c r="M59" s="2236"/>
      <c r="N59" s="2236"/>
      <c r="P59" s="2231"/>
      <c r="Q59" s="2232"/>
      <c r="R59" s="2231"/>
      <c r="S59" s="2237"/>
      <c r="T59" s="2240" t="s">
        <v>406</v>
      </c>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c r="AS59" s="2239"/>
      <c r="AT59" s="2239"/>
      <c r="AU59" s="2239"/>
      <c r="AW59" s="1701"/>
      <c r="AX59" s="1701" t="str">
        <f>IF(T59="","",T59)</f>
        <v>Добавить централизованную систему для дифференциации</v>
      </c>
      <c r="AY59" s="1701"/>
      <c r="AZ59" s="1701"/>
    </row>
    <row s="40202" customFormat="1" customHeight="1" ht="5.25">
      <c r="A60" s="2258" t="s">
        <v>191</v>
      </c>
      <c r="B60" s="2258"/>
      <c r="C60" s="2258"/>
      <c r="D60" s="2258"/>
      <c r="E60" s="3083"/>
      <c r="F60" s="2258"/>
      <c r="G60" s="2258"/>
      <c r="H60" s="2258"/>
      <c r="I60" s="2258"/>
      <c r="J60" s="2258"/>
      <c r="K60" s="2258"/>
      <c r="L60" s="2261"/>
      <c r="M60" s="2236"/>
      <c r="N60" s="2236"/>
      <c r="O60" s="1430"/>
      <c r="P60" s="1292"/>
      <c r="Q60" s="2259"/>
      <c r="R60" s="1292"/>
      <c r="S60" s="2237"/>
      <c r="T60" s="2240" t="s">
        <v>407</v>
      </c>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W60" s="1412"/>
      <c r="AX60" s="1412" t="str">
        <f>IF(T60="","",T60)</f>
        <v>Добавить территорию для дифференциации</v>
      </c>
      <c r="AY60" s="1412"/>
      <c r="AZ60" s="1412"/>
    </row>
    <row s="40202" customFormat="1" customHeight="1" ht="5.25">
      <c r="A61" s="2258" t="s">
        <v>191</v>
      </c>
      <c r="B61" s="2258"/>
      <c r="C61" s="2258"/>
      <c r="D61" s="2258"/>
      <c r="E61" s="3082"/>
      <c r="F61" s="2258"/>
      <c r="G61" s="2258"/>
      <c r="H61" s="2258"/>
      <c r="I61" s="2258"/>
      <c r="J61" s="2258"/>
      <c r="K61" s="2258"/>
      <c r="L61" s="2261"/>
      <c r="M61" s="2236"/>
      <c r="N61" s="2236"/>
      <c r="O61" s="1430"/>
      <c r="P61" s="1292"/>
      <c r="Q61" s="2259"/>
      <c r="R61" s="1292"/>
      <c r="S61" s="2237"/>
      <c r="T61" s="2240" t="s">
        <v>407</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W61" s="1412"/>
      <c r="AX61" s="1412" t="str">
        <f>IF(T61="","",T61)</f>
        <v>Добавить территорию для дифференциации</v>
      </c>
      <c r="AY61" s="1412"/>
      <c r="AZ61" s="1412"/>
    </row>
    <row s="40110" customFormat="1" customHeight="1" ht="5.25">
      <c r="A62" s="2229"/>
      <c r="B62" s="2229"/>
      <c r="C62" s="2229"/>
      <c r="D62" s="2229"/>
      <c r="E62" s="2258"/>
      <c r="F62" s="2229"/>
      <c r="G62" s="2229"/>
      <c r="H62" s="2229"/>
      <c r="I62" s="2229"/>
      <c r="J62" s="2229"/>
      <c r="K62" s="2229"/>
      <c r="L62" s="2254"/>
      <c r="M62" s="2236"/>
      <c r="N62" s="2236"/>
      <c r="P62" s="2231"/>
      <c r="Q62" s="2232"/>
      <c r="R62" s="2231"/>
      <c r="S62" s="2237"/>
      <c r="T62" s="2240" t="s">
        <v>439</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W62" s="1701"/>
      <c r="AX62" s="1701" t="str">
        <f>IF(T62="","",T62)</f>
        <v>Добавить наименование тарифа</v>
      </c>
      <c r="AY62" s="1701"/>
      <c r="AZ62" s="1701"/>
    </row>
    <row customHeight="1" ht="11.25">
      <c r="M63" s="2074"/>
      <c r="N63" s="2074"/>
      <c r="O63" s="1449"/>
      <c r="P63" s="2074"/>
      <c r="Q63" s="2074"/>
      <c r="R63" s="2069"/>
      <c r="S63" s="2069"/>
      <c r="AV63" s="2069"/>
      <c r="AW63" s="2069"/>
      <c r="AX63" s="2069"/>
      <c r="AY63" s="2069"/>
      <c r="AZ63" s="2069"/>
    </row>
    <row customHeight="1" ht="18.7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c r="AN64" s="3109"/>
      <c r="AO64" s="3109"/>
      <c r="AP64" s="3109"/>
      <c r="AQ64" s="3109"/>
      <c r="AR64" s="3109"/>
      <c r="AS64" s="3109"/>
      <c r="AT64" s="3109"/>
      <c r="AU64" s="3109"/>
    </row>
    <row customHeight="1" ht="19.5">
      <c r="O65" s="1449"/>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row>
    <row customHeight="1" ht="14.25">
      <c r="O66" s="1449"/>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c r="AS66" s="2248"/>
      <c r="AT66" s="2248"/>
      <c r="AU66" s="2248"/>
    </row>
    <row customHeight="1" ht="18.75">
      <c r="O67" s="1449"/>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row>
    <row customHeight="1" ht="15.75">
      <c r="O68" s="1449"/>
      <c r="T68" s="3109"/>
      <c r="U68" s="3109"/>
      <c r="V68" s="3109"/>
      <c r="W68" s="3109"/>
      <c r="X68" s="3109"/>
      <c r="Y68" s="3109"/>
      <c r="Z68" s="3109"/>
      <c r="AA68" s="3109"/>
      <c r="AB68" s="3109"/>
      <c r="AC68" s="3109"/>
      <c r="AD68" s="3109"/>
      <c r="AE68" s="3109"/>
      <c r="AF68" s="3109"/>
      <c r="AG68" s="3109"/>
      <c r="AH68" s="3109"/>
      <c r="AI68" s="3109"/>
      <c r="AJ68" s="3109"/>
      <c r="AK68" s="3109"/>
      <c r="AL68" s="3109"/>
      <c r="AM68" s="3109"/>
      <c r="AN68" s="3109"/>
      <c r="AO68" s="3109"/>
      <c r="AP68" s="3109"/>
      <c r="AQ68" s="3109"/>
      <c r="AR68" s="3109"/>
      <c r="AS68" s="3109"/>
      <c r="AT68" s="3109"/>
      <c r="AU68" s="3109"/>
    </row>
    <row customHeight="1" ht="14.25">
      <c r="O69" s="1449"/>
    </row>
  </sheetData>
  <sheetProtection formatColumns="0" formatRows="0" autoFilter="0" sort="0" insertRows="0" insertColumns="1" deleteRows="0" deleteColumns="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0D66C9-3722-6AF9-3D49-41D454436E58}"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12" width="19.140625" hidden="1" customWidth="1"/>
    <col min="13" max="14" style="40211" width="12.28125" hidden="1" customWidth="1"/>
    <col min="15" max="15" style="40211" width="23.421875" hidden="1" customWidth="1"/>
    <col min="16" max="16" style="40413"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40">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38"/>
      <c r="Q3" s="1264"/>
      <c r="R3" s="1265"/>
      <c r="S3" s="2340">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40">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37"/>
      <c r="R5" s="1268"/>
      <c r="S5" s="2340">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40">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40">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39"/>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37"/>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14.25"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341"/>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36"/>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36"/>
      <c r="M19" s="2277"/>
      <c r="N19" s="2277"/>
      <c r="O19" s="2277"/>
      <c r="P19" s="2277"/>
      <c r="Q19" s="2286"/>
      <c r="R19" s="2286"/>
      <c r="S19" s="1641"/>
      <c r="AB19" s="2281"/>
      <c r="AI19" s="2281"/>
      <c r="AL19" s="1423"/>
      <c r="AM19" s="1423"/>
      <c r="AN19" s="1423"/>
      <c r="AO19" s="1423"/>
      <c r="AP19" s="1423"/>
    </row>
    <row s="40129" customFormat="1" customHeight="1" ht="12" hidden="1">
      <c r="L20" s="2336"/>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270"/>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267" t="s">
        <v>481</v>
      </c>
      <c r="W38" s="3086" t="s">
        <v>426</v>
      </c>
      <c r="X38" s="3087"/>
      <c r="Y38" s="3086" t="s">
        <v>427</v>
      </c>
      <c r="Z38" s="3093"/>
      <c r="AA38" s="3087"/>
      <c r="AB38" s="3102"/>
      <c r="AC38" s="22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267" t="s">
        <v>484</v>
      </c>
      <c r="W39" s="2136" t="s">
        <v>485</v>
      </c>
      <c r="X39" s="2136" t="s">
        <v>486</v>
      </c>
      <c r="Y39" s="2272" t="s">
        <v>437</v>
      </c>
      <c r="Z39" s="3094" t="s">
        <v>438</v>
      </c>
      <c r="AA39" s="3095"/>
      <c r="AB39" s="3103"/>
      <c r="AC39" s="2267" t="s">
        <v>484</v>
      </c>
      <c r="AD39" s="2136" t="s">
        <v>485</v>
      </c>
      <c r="AE39" s="2136" t="s">
        <v>486</v>
      </c>
      <c r="AF39" s="2272" t="s">
        <v>437</v>
      </c>
      <c r="AG39" s="3094" t="s">
        <v>438</v>
      </c>
      <c r="AH39" s="3095"/>
      <c r="AI39" s="3103"/>
      <c r="AJ39" s="3106"/>
      <c r="AK39" s="2953"/>
    </row>
    <row s="39960" customFormat="1" customHeight="1" ht="11.25" hidden="1">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268">
        <f>OFFSET(V40,0,-1)+1</f>
        <v>3</v>
      </c>
      <c r="W40" s="2268">
        <f>OFFSET(W40,0,-1)+1</f>
        <v>4</v>
      </c>
      <c r="X40" s="2268">
        <f>OFFSET(X40,0,-1)+1</f>
        <v>5</v>
      </c>
      <c r="Y40" s="2268">
        <f>OFFSET(Y40,0,-1)+1</f>
        <v>6</v>
      </c>
      <c r="Z40" s="3096">
        <f>OFFSET(Z40,0,-1)+1</f>
        <v>7</v>
      </c>
      <c r="AA40" s="3096"/>
      <c r="AB40" s="2268">
        <f>OFFSET(AB40,0,-2)+1</f>
        <v>8</v>
      </c>
      <c r="AC40" s="2268">
        <f>OFFSET(AC40,0,-1)+1</f>
        <v>9</v>
      </c>
      <c r="AD40" s="2268">
        <f>OFFSET(AD40,0,-1)+1</f>
        <v>10</v>
      </c>
      <c r="AE40" s="2268">
        <f>OFFSET(AE40,0,-1)+1</f>
        <v>11</v>
      </c>
      <c r="AF40" s="2268">
        <f>OFFSET(AF40,0,-1)+1</f>
        <v>12</v>
      </c>
      <c r="AG40" s="3096">
        <f>OFFSET(AG40,0,-1)+1</f>
        <v>13</v>
      </c>
      <c r="AH40" s="3096"/>
      <c r="AI40" s="2268">
        <f>OFFSET(AI40,0,-2)+1</f>
        <v>14</v>
      </c>
      <c r="AJ40" s="2159">
        <f>OFFSET(AJ40,0,-1)</f>
        <v>14</v>
      </c>
      <c r="AK40" s="2268">
        <f>OFFSET(AK40,0,-1)+1</f>
        <v>15</v>
      </c>
      <c r="AL40" s="1423"/>
      <c r="AM40" s="1423"/>
      <c r="AN40" s="1423"/>
      <c r="AO40" s="1423"/>
      <c r="AP40" s="1423"/>
    </row>
    <row customHeight="1" ht="23.25">
      <c r="A41" s="2278" t="s">
        <v>217</v>
      </c>
      <c r="B41" s="2278"/>
      <c r="C41" s="2278"/>
      <c r="D41" s="2278"/>
      <c r="E41" s="3082">
        <v>1</v>
      </c>
      <c r="F41" s="2278"/>
      <c r="G41" s="2278"/>
      <c r="H41" s="2278"/>
      <c r="I41" s="2278"/>
      <c r="J41" s="2278"/>
      <c r="K41" s="2278"/>
      <c r="L41" s="2279"/>
      <c r="M41" s="2280"/>
      <c r="N41" s="2280"/>
      <c r="O41" s="2280"/>
      <c r="P41" s="1273"/>
      <c r="Q41" s="1272"/>
      <c r="R41" s="1267"/>
      <c r="S41" s="2273">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217</v>
      </c>
      <c r="B42" s="2278" t="s">
        <v>218</v>
      </c>
      <c r="C42" s="2278"/>
      <c r="D42" s="2278"/>
      <c r="E42" s="3083"/>
      <c r="F42" s="3082">
        <v>1</v>
      </c>
      <c r="G42" s="2278"/>
      <c r="H42" s="2278"/>
      <c r="I42" s="2278"/>
      <c r="J42" s="2278"/>
      <c r="K42" s="2278"/>
      <c r="L42" s="2279"/>
      <c r="M42" s="2280"/>
      <c r="N42" s="2280"/>
      <c r="O42" s="2280"/>
      <c r="P42" s="2271"/>
      <c r="Q42" s="1264"/>
      <c r="R42" s="1265"/>
      <c r="S42" s="2273"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217</v>
      </c>
      <c r="B43" s="2278" t="s">
        <v>218</v>
      </c>
      <c r="C43" s="2278" t="s">
        <v>219</v>
      </c>
      <c r="D43" s="2278"/>
      <c r="E43" s="3083"/>
      <c r="F43" s="3083"/>
      <c r="G43" s="3082">
        <v>1</v>
      </c>
      <c r="H43" s="2278"/>
      <c r="I43" s="2278"/>
      <c r="J43" s="2278"/>
      <c r="K43" s="2278"/>
      <c r="L43" s="2279"/>
      <c r="M43" s="2280"/>
      <c r="N43" s="2280"/>
      <c r="O43" s="2280"/>
      <c r="P43" s="1266"/>
      <c r="Q43" s="1264"/>
      <c r="R43" s="1265"/>
      <c r="S43" s="2273"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217</v>
      </c>
      <c r="B44" s="2278" t="s">
        <v>218</v>
      </c>
      <c r="C44" s="2278" t="s">
        <v>219</v>
      </c>
      <c r="D44" s="2278" t="s">
        <v>487</v>
      </c>
      <c r="E44" s="3083"/>
      <c r="F44" s="3083"/>
      <c r="G44" s="3083"/>
      <c r="H44" s="3083"/>
      <c r="I44" s="3080" t="str">
        <f>S43&amp;".1"</f>
        <v>...1</v>
      </c>
      <c r="J44" s="2278"/>
      <c r="K44" s="2278"/>
      <c r="L44" s="2279"/>
      <c r="P44" s="3081">
        <v>1</v>
      </c>
      <c r="Q44" s="2269"/>
      <c r="R44" s="1268"/>
      <c r="S44" s="2273"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217</v>
      </c>
      <c r="B45" s="2278" t="s">
        <v>218</v>
      </c>
      <c r="C45" s="2278" t="s">
        <v>219</v>
      </c>
      <c r="D45" s="2278" t="s">
        <v>487</v>
      </c>
      <c r="E45" s="3083"/>
      <c r="F45" s="3083"/>
      <c r="G45" s="3083"/>
      <c r="H45" s="3083"/>
      <c r="I45" s="3110"/>
      <c r="J45" s="3080" t="str">
        <f>I44&amp;".1"</f>
        <v>...1.1</v>
      </c>
      <c r="K45" s="2278"/>
      <c r="L45" s="2279" t="s">
        <v>397</v>
      </c>
      <c r="P45" s="3081"/>
      <c r="Q45" s="3081">
        <v>1</v>
      </c>
      <c r="R45" s="1269"/>
      <c r="S45" s="2273"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217</v>
      </c>
      <c r="B46" s="2278" t="s">
        <v>218</v>
      </c>
      <c r="C46" s="2278" t="s">
        <v>219</v>
      </c>
      <c r="D46" s="2278" t="s">
        <v>487</v>
      </c>
      <c r="E46" s="3083"/>
      <c r="F46" s="3083"/>
      <c r="G46" s="3083"/>
      <c r="H46" s="3083"/>
      <c r="I46" s="3110"/>
      <c r="J46" s="3110"/>
      <c r="K46" s="3080" t="str">
        <f>J45&amp;".1"</f>
        <v>...1.1.1</v>
      </c>
      <c r="L46" s="2279"/>
      <c r="P46" s="3081"/>
      <c r="Q46" s="3081"/>
      <c r="R46" s="1269">
        <v>1</v>
      </c>
      <c r="S46" s="2273"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217</v>
      </c>
      <c r="B47" s="2278" t="s">
        <v>218</v>
      </c>
      <c r="C47" s="2278" t="s">
        <v>219</v>
      </c>
      <c r="D47" s="2278" t="s">
        <v>487</v>
      </c>
      <c r="E47" s="3083"/>
      <c r="F47" s="3083"/>
      <c r="G47" s="3083"/>
      <c r="H47" s="3083"/>
      <c r="I47" s="3110"/>
      <c r="J47" s="3110"/>
      <c r="K47" s="3080"/>
      <c r="L47" s="2279"/>
      <c r="P47" s="3081"/>
      <c r="Q47" s="3081"/>
      <c r="R47" s="1269"/>
      <c r="S47" s="2274"/>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217</v>
      </c>
      <c r="B48" s="2278" t="s">
        <v>218</v>
      </c>
      <c r="C48" s="2278" t="s">
        <v>219</v>
      </c>
      <c r="D48" s="2278" t="s">
        <v>487</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217</v>
      </c>
      <c r="B49" s="2278" t="s">
        <v>218</v>
      </c>
      <c r="C49" s="2278" t="s">
        <v>219</v>
      </c>
      <c r="D49" s="2278" t="s">
        <v>487</v>
      </c>
      <c r="E49" s="3083"/>
      <c r="F49" s="3083"/>
      <c r="G49" s="3083"/>
      <c r="H49" s="3083"/>
      <c r="I49" s="3080"/>
      <c r="J49" s="2278"/>
      <c r="K49" s="2278"/>
      <c r="L49" s="2279"/>
      <c r="P49" s="3081"/>
      <c r="Q49" s="2269"/>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217</v>
      </c>
      <c r="B50" s="2278" t="s">
        <v>218</v>
      </c>
      <c r="C50" s="2278" t="s">
        <v>219</v>
      </c>
      <c r="D50" s="2278" t="s">
        <v>487</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217</v>
      </c>
      <c r="B51" s="2258" t="s">
        <v>218</v>
      </c>
      <c r="C51" s="2229"/>
      <c r="D51" s="2229"/>
      <c r="E51" s="3083"/>
      <c r="F51" s="3082"/>
      <c r="G51" s="2229"/>
      <c r="H51" s="2229"/>
      <c r="I51" s="2229"/>
      <c r="J51" s="2229"/>
      <c r="K51" s="2229"/>
      <c r="L51" s="2341"/>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217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341"/>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651EFF-8AEC-5366-8EB8-3AD14E9F3755}"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24" width="19.140625" hidden="1" customWidth="1"/>
    <col min="13" max="14" style="40211" width="12.28125" hidden="1" customWidth="1"/>
    <col min="15" max="15" style="40211" width="23.421875" hidden="1" customWidth="1"/>
    <col min="16" max="16" style="40425"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62"/>
      <c r="M19" s="2277"/>
      <c r="N19" s="2277"/>
      <c r="O19" s="2277"/>
      <c r="P19" s="2277"/>
      <c r="Q19" s="2286"/>
      <c r="R19" s="2286"/>
      <c r="S19" s="1641"/>
      <c r="AB19" s="2281"/>
      <c r="AI19" s="2281"/>
      <c r="AL19" s="1423"/>
      <c r="AM19" s="1423"/>
      <c r="AN19" s="1423"/>
      <c r="AO19" s="1423"/>
      <c r="AP19" s="1423"/>
    </row>
    <row s="40129"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960"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222</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222</v>
      </c>
      <c r="B42" s="2278" t="s">
        <v>223</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222</v>
      </c>
      <c r="B43" s="2278" t="s">
        <v>223</v>
      </c>
      <c r="C43" s="2278" t="s">
        <v>224</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222</v>
      </c>
      <c r="B44" s="2278" t="s">
        <v>223</v>
      </c>
      <c r="C44" s="2278" t="s">
        <v>224</v>
      </c>
      <c r="D44" s="2278" t="s">
        <v>488</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222</v>
      </c>
      <c r="B45" s="2278" t="s">
        <v>223</v>
      </c>
      <c r="C45" s="2278" t="s">
        <v>224</v>
      </c>
      <c r="D45" s="2278" t="s">
        <v>488</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222</v>
      </c>
      <c r="B46" s="2278" t="s">
        <v>223</v>
      </c>
      <c r="C46" s="2278" t="s">
        <v>224</v>
      </c>
      <c r="D46" s="2278" t="s">
        <v>488</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222</v>
      </c>
      <c r="B47" s="2278" t="s">
        <v>223</v>
      </c>
      <c r="C47" s="2278" t="s">
        <v>224</v>
      </c>
      <c r="D47" s="2278" t="s">
        <v>488</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222</v>
      </c>
      <c r="B48" s="2278" t="s">
        <v>223</v>
      </c>
      <c r="C48" s="2278" t="s">
        <v>224</v>
      </c>
      <c r="D48" s="2278" t="s">
        <v>488</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222</v>
      </c>
      <c r="B49" s="2278" t="s">
        <v>223</v>
      </c>
      <c r="C49" s="2278" t="s">
        <v>224</v>
      </c>
      <c r="D49" s="2278" t="s">
        <v>488</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222</v>
      </c>
      <c r="B50" s="2278" t="s">
        <v>223</v>
      </c>
      <c r="C50" s="2278" t="s">
        <v>224</v>
      </c>
      <c r="D50" s="2278" t="s">
        <v>488</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222</v>
      </c>
      <c r="B51" s="2258" t="s">
        <v>223</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222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A32081-C22C-25A3-96B6-C6B80BAC2EBE}"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24" width="19.140625" hidden="1" customWidth="1"/>
    <col min="13" max="14" style="40211" width="12.28125" hidden="1" customWidth="1"/>
    <col min="15" max="15" style="40211" width="23.421875" hidden="1" customWidth="1"/>
    <col min="16" max="16" style="40425"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62"/>
      <c r="M19" s="2277"/>
      <c r="N19" s="2277"/>
      <c r="O19" s="2277"/>
      <c r="P19" s="2277"/>
      <c r="Q19" s="2286"/>
      <c r="R19" s="2286"/>
      <c r="S19" s="1641"/>
      <c r="AB19" s="2281"/>
      <c r="AI19" s="2281"/>
      <c r="AL19" s="1423"/>
      <c r="AM19" s="1423"/>
      <c r="AN19" s="1423"/>
      <c r="AO19" s="1423"/>
      <c r="AP19" s="1423"/>
    </row>
    <row s="40129"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960"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227</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227</v>
      </c>
      <c r="B42" s="2278" t="s">
        <v>228</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227</v>
      </c>
      <c r="B43" s="2278" t="s">
        <v>228</v>
      </c>
      <c r="C43" s="2278" t="s">
        <v>229</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227</v>
      </c>
      <c r="B44" s="2278" t="s">
        <v>228</v>
      </c>
      <c r="C44" s="2278" t="s">
        <v>229</v>
      </c>
      <c r="D44" s="2278" t="s">
        <v>489</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227</v>
      </c>
      <c r="B45" s="2278" t="s">
        <v>228</v>
      </c>
      <c r="C45" s="2278" t="s">
        <v>229</v>
      </c>
      <c r="D45" s="2278" t="s">
        <v>489</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227</v>
      </c>
      <c r="B46" s="2278" t="s">
        <v>228</v>
      </c>
      <c r="C46" s="2278" t="s">
        <v>229</v>
      </c>
      <c r="D46" s="2278" t="s">
        <v>489</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227</v>
      </c>
      <c r="B47" s="2278" t="s">
        <v>228</v>
      </c>
      <c r="C47" s="2278" t="s">
        <v>229</v>
      </c>
      <c r="D47" s="2278" t="s">
        <v>489</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227</v>
      </c>
      <c r="B48" s="2278" t="s">
        <v>228</v>
      </c>
      <c r="C48" s="2278" t="s">
        <v>229</v>
      </c>
      <c r="D48" s="2278" t="s">
        <v>489</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227</v>
      </c>
      <c r="B49" s="2278" t="s">
        <v>228</v>
      </c>
      <c r="C49" s="2278" t="s">
        <v>229</v>
      </c>
      <c r="D49" s="2278" t="s">
        <v>489</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227</v>
      </c>
      <c r="B50" s="2278" t="s">
        <v>228</v>
      </c>
      <c r="C50" s="2278" t="s">
        <v>229</v>
      </c>
      <c r="D50" s="2278" t="s">
        <v>489</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227</v>
      </c>
      <c r="B51" s="2258" t="s">
        <v>228</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227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34F6FF-FFA2-74E2-346F-98E4F3D87B86}"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24" width="19.140625" hidden="1" customWidth="1"/>
    <col min="13" max="14" style="40211" width="12.28125" hidden="1" customWidth="1"/>
    <col min="15" max="15" style="40211" width="23.421875" hidden="1" customWidth="1"/>
    <col min="16" max="16" style="40425"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62"/>
      <c r="M19" s="2277"/>
      <c r="N19" s="2277"/>
      <c r="O19" s="2277"/>
      <c r="P19" s="2277"/>
      <c r="Q19" s="2286"/>
      <c r="R19" s="2286"/>
      <c r="S19" s="1641"/>
      <c r="AB19" s="2281"/>
      <c r="AI19" s="2281"/>
      <c r="AL19" s="1423"/>
      <c r="AM19" s="1423"/>
      <c r="AN19" s="1423"/>
      <c r="AO19" s="1423"/>
      <c r="AP19" s="1423"/>
    </row>
    <row s="40129"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960"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232</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232</v>
      </c>
      <c r="B42" s="2278" t="s">
        <v>233</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232</v>
      </c>
      <c r="B43" s="2278" t="s">
        <v>233</v>
      </c>
      <c r="C43" s="2278" t="s">
        <v>234</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232</v>
      </c>
      <c r="B44" s="2278" t="s">
        <v>233</v>
      </c>
      <c r="C44" s="2278" t="s">
        <v>234</v>
      </c>
      <c r="D44" s="2278" t="s">
        <v>490</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232</v>
      </c>
      <c r="B45" s="2278" t="s">
        <v>233</v>
      </c>
      <c r="C45" s="2278" t="s">
        <v>234</v>
      </c>
      <c r="D45" s="2278" t="s">
        <v>490</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232</v>
      </c>
      <c r="B46" s="2278" t="s">
        <v>233</v>
      </c>
      <c r="C46" s="2278" t="s">
        <v>234</v>
      </c>
      <c r="D46" s="2278" t="s">
        <v>490</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232</v>
      </c>
      <c r="B47" s="2278" t="s">
        <v>233</v>
      </c>
      <c r="C47" s="2278" t="s">
        <v>234</v>
      </c>
      <c r="D47" s="2278" t="s">
        <v>490</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232</v>
      </c>
      <c r="B48" s="2278" t="s">
        <v>233</v>
      </c>
      <c r="C48" s="2278" t="s">
        <v>234</v>
      </c>
      <c r="D48" s="2278" t="s">
        <v>490</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232</v>
      </c>
      <c r="B49" s="2278" t="s">
        <v>233</v>
      </c>
      <c r="C49" s="2278" t="s">
        <v>234</v>
      </c>
      <c r="D49" s="2278" t="s">
        <v>490</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232</v>
      </c>
      <c r="B50" s="2278" t="s">
        <v>233</v>
      </c>
      <c r="C50" s="2278" t="s">
        <v>234</v>
      </c>
      <c r="D50" s="2278" t="s">
        <v>490</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232</v>
      </c>
      <c r="B51" s="2258" t="s">
        <v>233</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232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F4DFED-EB82-DB24-7CBA-A3E369EAC67B}" mc:Ignorable="x14ac xr xr2 xr3">
  <sheetPr>
    <tabColor theme="6" tint="0.4"/>
  </sheetPr>
  <dimension ref="A1:AP66"/>
  <sheetViews>
    <sheetView topLeftCell="AB4" showGridLines="0" zoomScale="90" workbookViewId="0">
      <selection activeCell="AK27" sqref="AK27"/>
    </sheetView>
  </sheetViews>
  <sheetFormatPr defaultColWidth="10.57421875" customHeight="1" defaultRowHeight="14.25"/>
  <cols>
    <col min="1" max="3" style="40257" width="10.140625" customWidth="1"/>
    <col min="4" max="4" style="40257" width="11.8515625" customWidth="1"/>
    <col min="5" max="11" style="40257" width="10.140625" customWidth="1"/>
    <col min="12" max="12" style="40258" width="10.140625" customWidth="1"/>
    <col min="13" max="15" style="40259" width="10.140625" customWidth="1"/>
    <col min="16" max="16" style="40211" width="3.7109375" customWidth="1"/>
    <col min="17" max="17" style="40384" width="3.7109375" customWidth="1"/>
    <col min="18" max="18" style="40213" width="3.7109375" customWidth="1"/>
    <col min="19" max="19" style="40214" width="12.7109375" customWidth="1"/>
    <col min="20" max="20" style="40257" width="32.00390625" customWidth="1"/>
    <col min="21" max="21" style="40257" width="0.140625" customWidth="1"/>
    <col min="22" max="23" style="40257" width="21.7109375" customWidth="1"/>
    <col min="24" max="24" style="40257" width="11.7109375" customWidth="1"/>
    <col min="25" max="25" style="40257" width="3.7109375" customWidth="1"/>
    <col min="26" max="26" style="40257" width="11.7109375" customWidth="1"/>
    <col min="27" max="27" style="40257" width="8.57421875" customWidth="1"/>
    <col min="28" max="28" style="40257" width="28.00390625" customWidth="1"/>
    <col min="29" max="29" style="40257" width="24.57421875" customWidth="1"/>
    <col min="30" max="31" style="40257" width="21.7109375" customWidth="1"/>
    <col min="32" max="32" style="40257" width="11.7109375" customWidth="1"/>
    <col min="33" max="33" style="40257" width="3.7109375" customWidth="1"/>
    <col min="34" max="34" style="40257" width="11.7109375" customWidth="1"/>
    <col min="35" max="35" style="40257" width="8.57421875" customWidth="1"/>
    <col min="36" max="36" style="40257" width="4.7109375" customWidth="1"/>
    <col min="37" max="37" style="40257" width="115.7109375" customWidth="1"/>
    <col min="38" max="39" style="40255" width="10.57421875"/>
    <col min="40" max="40" style="40255" width="11.140625" customWidth="1"/>
    <col min="41" max="42" style="40255" width="10.57421875"/>
  </cols>
  <sheetData>
    <row r="2" customHeight="1" ht="21">
      <c r="A2" s="2182"/>
      <c r="B2" s="2182"/>
      <c r="C2" s="2182"/>
      <c r="D2" s="2182"/>
      <c r="E2" s="3113">
        <v>1</v>
      </c>
      <c r="F2" s="2182"/>
      <c r="G2" s="2182"/>
      <c r="H2" s="2182"/>
      <c r="I2" s="2182"/>
      <c r="J2" s="2182"/>
      <c r="K2" s="2182"/>
      <c r="L2" s="2225"/>
      <c r="M2" s="2525"/>
      <c r="N2" s="2525"/>
      <c r="O2" s="2525"/>
      <c r="P2" s="2324"/>
      <c r="Q2" s="1785"/>
      <c r="R2" s="1267"/>
      <c r="S2" s="2874">
        <f>INDEX(PT_DIFFERENTIATION_NUM_NTAR,MATCH(A2,PT_DIFFERENTIATION_NTAR_ID,0))</f>
      </c>
      <c r="T2" s="2440" t="s">
        <v>116</v>
      </c>
      <c r="U2" s="1212"/>
      <c r="V2" s="3067"/>
      <c r="W2" s="3067"/>
      <c r="X2" s="3067"/>
      <c r="Y2" s="3067"/>
      <c r="Z2" s="3067"/>
      <c r="AA2" s="3068"/>
      <c r="AB2" s="2868"/>
      <c r="AC2" s="3067"/>
      <c r="AD2" s="3067"/>
      <c r="AE2" s="3067"/>
      <c r="AF2" s="3067"/>
      <c r="AG2" s="3067"/>
      <c r="AH2" s="3067"/>
      <c r="AI2" s="3067"/>
      <c r="AJ2" s="3068"/>
      <c r="AK2" s="2172" t="s">
        <v>387</v>
      </c>
      <c r="AM2" s="2539"/>
      <c r="AN2" s="2539" t="str">
        <f>IF(T2="","",T2)</f>
        <v>Наименование тарифа</v>
      </c>
      <c r="AO2" s="2539"/>
      <c r="AP2" s="2539"/>
    </row>
    <row customHeight="1" ht="21">
      <c r="A3" s="2182"/>
      <c r="B3" s="2182"/>
      <c r="C3" s="2182"/>
      <c r="D3" s="2182"/>
      <c r="E3" s="3114"/>
      <c r="F3" s="3113">
        <v>1</v>
      </c>
      <c r="G3" s="2182"/>
      <c r="H3" s="2182"/>
      <c r="I3" s="2182"/>
      <c r="J3" s="2182"/>
      <c r="K3" s="2182"/>
      <c r="L3" s="2225"/>
      <c r="M3" s="2525"/>
      <c r="N3" s="2525"/>
      <c r="O3" s="2525"/>
      <c r="P3" s="2885"/>
      <c r="Q3" s="2326"/>
      <c r="R3" s="1265"/>
      <c r="S3" s="2874">
        <f>INDEX(PT_DIFFERENTIATION_NUM_TER,MATCH(B3,PT_DIFFERENTIATION_TER_ID,0))</f>
      </c>
      <c r="T3" s="2437" t="s">
        <v>388</v>
      </c>
      <c r="U3" s="1212"/>
      <c r="V3" s="3067"/>
      <c r="W3" s="3067"/>
      <c r="X3" s="3067"/>
      <c r="Y3" s="3067"/>
      <c r="Z3" s="3067"/>
      <c r="AA3" s="3068"/>
      <c r="AB3" s="2868"/>
      <c r="AC3" s="3067"/>
      <c r="AD3" s="3067"/>
      <c r="AE3" s="3067"/>
      <c r="AF3" s="3067"/>
      <c r="AG3" s="3067"/>
      <c r="AH3" s="3067"/>
      <c r="AI3" s="3067"/>
      <c r="AJ3" s="3068"/>
      <c r="AK3" s="2172" t="s">
        <v>389</v>
      </c>
      <c r="AM3" s="2539"/>
      <c r="AN3" s="2539" t="str">
        <f>IF(T3="","",T3)</f>
        <v>Территория действия тарифа</v>
      </c>
      <c r="AO3" s="2539"/>
      <c r="AP3" s="2539"/>
    </row>
    <row customHeight="1" ht="22.5">
      <c r="A4" s="2182"/>
      <c r="B4" s="2182"/>
      <c r="C4" s="2182"/>
      <c r="D4" s="2182"/>
      <c r="E4" s="3114"/>
      <c r="F4" s="3114"/>
      <c r="G4" s="3113">
        <v>1</v>
      </c>
      <c r="H4" s="2182"/>
      <c r="I4" s="2182"/>
      <c r="J4" s="2182"/>
      <c r="K4" s="2182"/>
      <c r="L4" s="2225"/>
      <c r="M4" s="2525"/>
      <c r="N4" s="2525"/>
      <c r="O4" s="2525"/>
      <c r="P4" s="2327"/>
      <c r="Q4" s="2326"/>
      <c r="R4" s="1265"/>
      <c r="S4" s="2874">
        <f>INDEX(PT_DIFFERENTIATION_NUM_CS,MATCH(C4,PT_DIFFERENTIATION_CS_ID,0))</f>
      </c>
      <c r="T4" s="1221" t="s">
        <v>390</v>
      </c>
      <c r="U4" s="1212"/>
      <c r="V4" s="3067"/>
      <c r="W4" s="3067"/>
      <c r="X4" s="3067"/>
      <c r="Y4" s="3067"/>
      <c r="Z4" s="3067"/>
      <c r="AA4" s="3068"/>
      <c r="AB4" s="2868"/>
      <c r="AC4" s="3067"/>
      <c r="AD4" s="3067"/>
      <c r="AE4" s="3067"/>
      <c r="AF4" s="3067"/>
      <c r="AG4" s="3067"/>
      <c r="AH4" s="3067"/>
      <c r="AI4" s="3067"/>
      <c r="AJ4" s="3068"/>
      <c r="AK4" s="2172" t="s">
        <v>391</v>
      </c>
      <c r="AM4" s="2539"/>
      <c r="AN4" s="2539" t="str">
        <f>IF(T4="","",T4)</f>
        <v>Наименование системы теплоснабжения </v>
      </c>
      <c r="AO4" s="2539"/>
      <c r="AP4" s="2539"/>
    </row>
    <row customHeight="1" ht="21">
      <c r="A5" s="2182"/>
      <c r="B5" s="2182"/>
      <c r="C5" s="2182"/>
      <c r="D5" s="2182"/>
      <c r="E5" s="3114"/>
      <c r="F5" s="3114"/>
      <c r="G5" s="3114"/>
      <c r="H5" s="3113">
        <v>1</v>
      </c>
      <c r="I5" s="2182"/>
      <c r="J5" s="2182"/>
      <c r="K5" s="2182"/>
      <c r="L5" s="2225"/>
      <c r="M5" s="2525"/>
      <c r="N5" s="2525"/>
      <c r="O5" s="2525"/>
      <c r="P5" s="2327"/>
      <c r="Q5" s="2326"/>
      <c r="R5" s="1265"/>
      <c r="S5" s="2874">
        <f>INDEX(PT_DIFFERENTIATION_NUM_IST_TE,MATCH(D5,PT_DIFFERENTIATION_IST_TE_ID,0))</f>
      </c>
      <c r="T5" s="1222" t="s">
        <v>392</v>
      </c>
      <c r="U5" s="1212"/>
      <c r="V5" s="3067"/>
      <c r="W5" s="3067"/>
      <c r="X5" s="3067"/>
      <c r="Y5" s="3067"/>
      <c r="Z5" s="3067"/>
      <c r="AA5" s="3068"/>
      <c r="AB5" s="2868"/>
      <c r="AC5" s="3067"/>
      <c r="AD5" s="3067"/>
      <c r="AE5" s="3067"/>
      <c r="AF5" s="3067"/>
      <c r="AG5" s="3067"/>
      <c r="AH5" s="3067"/>
      <c r="AI5" s="3067"/>
      <c r="AJ5" s="3068"/>
      <c r="AK5" s="2172" t="s">
        <v>393</v>
      </c>
      <c r="AM5" s="2539"/>
      <c r="AN5" s="2539" t="str">
        <f>IF(T5="","",T5)</f>
        <v>Источник тепловой энергии  </v>
      </c>
      <c r="AO5" s="2539"/>
      <c r="AP5" s="2539"/>
    </row>
    <row s="40255" customFormat="1" customHeight="1" ht="0">
      <c r="A6" s="2290"/>
      <c r="B6" s="2290"/>
      <c r="C6" s="2290"/>
      <c r="D6" s="2290"/>
      <c r="E6" s="3114"/>
      <c r="F6" s="3114"/>
      <c r="G6" s="3114"/>
      <c r="H6" s="3114"/>
      <c r="I6" s="2953">
        <f>S5&amp;".1"</f>
      </c>
      <c r="J6" s="2290"/>
      <c r="K6" s="2290"/>
      <c r="L6" s="2296" t="s">
        <v>394</v>
      </c>
      <c r="M6" s="2160"/>
      <c r="N6" s="2160"/>
      <c r="O6" s="2160"/>
      <c r="P6" s="3081">
        <v>1</v>
      </c>
      <c r="Q6" s="2870"/>
      <c r="R6" s="1268"/>
      <c r="S6" s="1955"/>
      <c r="T6" s="2298"/>
      <c r="U6" s="2299"/>
      <c r="V6" s="3121"/>
      <c r="W6" s="3121"/>
      <c r="X6" s="3121"/>
      <c r="Y6" s="3121"/>
      <c r="Z6" s="3121"/>
      <c r="AA6" s="3122"/>
      <c r="AB6" s="2876"/>
      <c r="AC6" s="3121"/>
      <c r="AD6" s="3121"/>
      <c r="AE6" s="3121"/>
      <c r="AF6" s="3121"/>
      <c r="AG6" s="3121"/>
      <c r="AH6" s="3121"/>
      <c r="AI6" s="3121"/>
      <c r="AJ6" s="3122"/>
      <c r="AK6" s="2300"/>
      <c r="AM6" s="2539"/>
      <c r="AN6" s="2539" t="str">
        <f>IF(T6="","",T6)</f>
        <v/>
      </c>
      <c r="AO6" s="2539"/>
      <c r="AP6" s="2539"/>
    </row>
    <row s="40255" customFormat="1" customHeight="1" ht="0">
      <c r="A7" s="2290"/>
      <c r="B7" s="2290"/>
      <c r="C7" s="2290"/>
      <c r="D7" s="2290"/>
      <c r="E7" s="3114"/>
      <c r="F7" s="3114"/>
      <c r="G7" s="3114"/>
      <c r="H7" s="3114"/>
      <c r="I7" s="2927"/>
      <c r="J7" s="2953">
        <f>S5&amp;".1"</f>
      </c>
      <c r="K7" s="2290"/>
      <c r="L7" s="2296"/>
      <c r="M7" s="2160"/>
      <c r="N7" s="2160"/>
      <c r="O7" s="2160"/>
      <c r="P7" s="3081"/>
      <c r="Q7" s="3081">
        <v>1</v>
      </c>
      <c r="R7" s="1269"/>
      <c r="S7" s="1955"/>
      <c r="T7" s="2314"/>
      <c r="U7" s="2299"/>
      <c r="V7" s="3121"/>
      <c r="W7" s="3121"/>
      <c r="X7" s="3121"/>
      <c r="Y7" s="3121"/>
      <c r="Z7" s="3121"/>
      <c r="AA7" s="3122"/>
      <c r="AB7" s="2876"/>
      <c r="AC7" s="3121"/>
      <c r="AD7" s="3121"/>
      <c r="AE7" s="3121"/>
      <c r="AF7" s="3121"/>
      <c r="AG7" s="3121"/>
      <c r="AH7" s="3121"/>
      <c r="AI7" s="3121"/>
      <c r="AJ7" s="3122"/>
      <c r="AK7" s="2300"/>
      <c r="AM7" s="2539"/>
      <c r="AN7" s="2539" t="str">
        <f>IF(T7="","",T7)</f>
        <v/>
      </c>
      <c r="AO7" s="2539"/>
      <c r="AP7" s="2539"/>
    </row>
    <row customHeight="1" ht="21">
      <c r="A8" s="2182"/>
      <c r="B8" s="2182"/>
      <c r="C8" s="2182"/>
      <c r="D8" s="2182"/>
      <c r="E8" s="3114"/>
      <c r="F8" s="3114"/>
      <c r="G8" s="3114"/>
      <c r="H8" s="3114"/>
      <c r="I8" s="2927"/>
      <c r="J8" s="2927"/>
      <c r="K8" s="2953">
        <f>S5&amp;".1"</f>
      </c>
      <c r="L8" s="2225"/>
      <c r="P8" s="3081"/>
      <c r="Q8" s="3081"/>
      <c r="R8" s="3163">
        <v>1</v>
      </c>
      <c r="S8" s="3157">
        <f>$K8</f>
      </c>
      <c r="T8" s="3160"/>
      <c r="U8" s="1212"/>
      <c r="V8" s="1663"/>
      <c r="W8" s="2171"/>
      <c r="X8" s="3089"/>
      <c r="Y8" s="2933" t="s">
        <v>62</v>
      </c>
      <c r="Z8" s="3089"/>
      <c r="AA8" s="2933" t="s">
        <v>62</v>
      </c>
      <c r="AB8" s="2858"/>
      <c r="AC8" s="3144"/>
      <c r="AD8" s="1663"/>
      <c r="AE8" s="2171"/>
      <c r="AF8" s="2871"/>
      <c r="AG8" s="2858" t="s">
        <v>62</v>
      </c>
      <c r="AH8" s="2871"/>
      <c r="AI8" s="2858" t="s">
        <v>62</v>
      </c>
      <c r="AJ8" s="2263"/>
      <c r="AK8" s="3077" t="s">
        <v>455</v>
      </c>
      <c r="AL8" s="2551">
        <f>STRCHECKDATE(V11:AJ11)</f>
      </c>
      <c r="AM8" s="2539"/>
      <c r="AN8" s="2539" t="str">
        <f>IF(T8="","",T8)</f>
        <v/>
      </c>
      <c r="AO8" s="2539"/>
      <c r="AP8" s="2539"/>
    </row>
    <row customHeight="1" ht="11.25">
      <c r="A9" s="2182"/>
      <c r="B9" s="2182"/>
      <c r="C9" s="2182"/>
      <c r="D9" s="2182"/>
      <c r="E9" s="3114"/>
      <c r="F9" s="3114"/>
      <c r="G9" s="3114"/>
      <c r="H9" s="3114"/>
      <c r="I9" s="2927"/>
      <c r="J9" s="2927"/>
      <c r="K9" s="2953"/>
      <c r="L9" s="2225"/>
      <c r="P9" s="3081"/>
      <c r="Q9" s="3081"/>
      <c r="R9" s="3163"/>
      <c r="S9" s="3158"/>
      <c r="T9" s="3161"/>
      <c r="U9" s="1212"/>
      <c r="V9" s="2308"/>
      <c r="W9" s="2312"/>
      <c r="X9" s="3089"/>
      <c r="Y9" s="2933"/>
      <c r="Z9" s="3089"/>
      <c r="AA9" s="2933"/>
      <c r="AB9" s="2858"/>
      <c r="AC9" s="3144"/>
      <c r="AD9" s="2308"/>
      <c r="AE9" s="2411"/>
      <c r="AF9" s="2308"/>
      <c r="AG9" s="2308"/>
      <c r="AH9" s="2308"/>
      <c r="AI9" s="2308"/>
      <c r="AJ9" s="2305"/>
      <c r="AK9" s="3078"/>
      <c r="AM9" s="2539"/>
      <c r="AN9" s="2539"/>
      <c r="AO9" s="2539"/>
      <c r="AP9" s="2539"/>
    </row>
    <row customHeight="1" ht="11.25">
      <c r="A10" s="2182"/>
      <c r="B10" s="2182"/>
      <c r="C10" s="2182"/>
      <c r="D10" s="2182"/>
      <c r="E10" s="3114"/>
      <c r="F10" s="3114"/>
      <c r="G10" s="3114"/>
      <c r="H10" s="3114"/>
      <c r="I10" s="2927"/>
      <c r="J10" s="2927"/>
      <c r="K10" s="2953"/>
      <c r="L10" s="2225"/>
      <c r="P10" s="3081"/>
      <c r="Q10" s="3081"/>
      <c r="R10" s="3163"/>
      <c r="S10" s="3158"/>
      <c r="T10" s="3161"/>
      <c r="U10" s="1212"/>
      <c r="V10" s="2308"/>
      <c r="W10" s="2312"/>
      <c r="X10" s="3089"/>
      <c r="Y10" s="2933"/>
      <c r="Z10" s="3089"/>
      <c r="AA10" s="2933"/>
      <c r="AB10" s="2858"/>
      <c r="AC10" s="3144"/>
      <c r="AD10" s="2308"/>
      <c r="AE10" s="2411"/>
      <c r="AF10" s="2308"/>
      <c r="AG10" s="2308"/>
      <c r="AH10" s="2308"/>
      <c r="AI10" s="2308"/>
      <c r="AJ10" s="2305"/>
      <c r="AK10" s="3078"/>
      <c r="AM10" s="2539"/>
      <c r="AN10" s="2539"/>
      <c r="AO10" s="2539"/>
      <c r="AP10" s="2539"/>
    </row>
    <row customHeight="1" ht="11.25">
      <c r="A11" s="2182"/>
      <c r="B11" s="2182"/>
      <c r="C11" s="2182"/>
      <c r="D11" s="2182"/>
      <c r="E11" s="3114"/>
      <c r="F11" s="3114"/>
      <c r="G11" s="3114"/>
      <c r="H11" s="3114"/>
      <c r="I11" s="2927"/>
      <c r="J11" s="2927"/>
      <c r="K11" s="2953"/>
      <c r="L11" s="2225"/>
      <c r="P11" s="3081"/>
      <c r="Q11" s="3081"/>
      <c r="R11" s="3163"/>
      <c r="S11" s="3159"/>
      <c r="T11" s="3162"/>
      <c r="U11" s="1212"/>
      <c r="V11" s="2308"/>
      <c r="W11" s="2311" t="str">
        <f>X8&amp;"-"&amp;Z8</f>
        <v>-</v>
      </c>
      <c r="X11" s="3090"/>
      <c r="Y11" s="2933"/>
      <c r="Z11" s="3090"/>
      <c r="AA11" s="2933"/>
      <c r="AB11" s="2887"/>
      <c r="AC11" s="2082" t="s">
        <v>458</v>
      </c>
      <c r="AD11" s="2308"/>
      <c r="AE11" s="2309" t="str">
        <f>AF8&amp;"-"&amp;AH8</f>
        <v>-</v>
      </c>
      <c r="AF11" s="2308"/>
      <c r="AG11" s="2308"/>
      <c r="AH11" s="2308"/>
      <c r="AI11" s="2308"/>
      <c r="AJ11" s="2264"/>
      <c r="AK11" s="3078"/>
      <c r="AM11" s="2539"/>
      <c r="AN11" s="2539" t="str">
        <f>IF(T11="","",T11)</f>
        <v/>
      </c>
      <c r="AO11" s="2539"/>
      <c r="AP11" s="2539"/>
    </row>
    <row customHeight="1" ht="11.25">
      <c r="A12" s="2182"/>
      <c r="B12" s="2182"/>
      <c r="C12" s="2182"/>
      <c r="D12" s="2182"/>
      <c r="E12" s="3114"/>
      <c r="F12" s="3114"/>
      <c r="G12" s="3114"/>
      <c r="H12" s="3114"/>
      <c r="I12" s="2927"/>
      <c r="J12" s="2953"/>
      <c r="K12" s="2182"/>
      <c r="L12" s="2225"/>
      <c r="P12" s="3081"/>
      <c r="Q12" s="3081"/>
      <c r="R12" s="1268"/>
      <c r="S12" s="2193"/>
      <c r="T12" s="1199" t="s">
        <v>459</v>
      </c>
      <c r="U12" s="1512"/>
      <c r="V12" s="1512"/>
      <c r="W12" s="1512"/>
      <c r="X12" s="1512"/>
      <c r="Y12" s="1512"/>
      <c r="Z12" s="1512"/>
      <c r="AA12" s="1512"/>
      <c r="AB12" s="1512"/>
      <c r="AC12" s="1512"/>
      <c r="AD12" s="1512"/>
      <c r="AE12" s="1512"/>
      <c r="AF12" s="1512"/>
      <c r="AG12" s="1512"/>
      <c r="AH12" s="1512"/>
      <c r="AI12" s="1512"/>
      <c r="AJ12" s="1236"/>
      <c r="AK12" s="3079"/>
      <c r="AM12" s="2539"/>
      <c r="AN12" s="2539" t="str">
        <f>IF(T12="","",T12)</f>
        <v>Добавить строку</v>
      </c>
      <c r="AO12" s="2539"/>
      <c r="AP12" s="2539"/>
    </row>
    <row s="40255" customFormat="1" customHeight="1" ht="0">
      <c r="A13" s="2290"/>
      <c r="B13" s="2290"/>
      <c r="C13" s="2290"/>
      <c r="D13" s="2290"/>
      <c r="E13" s="3114"/>
      <c r="F13" s="3114"/>
      <c r="G13" s="3114"/>
      <c r="H13" s="3114"/>
      <c r="I13" s="2953"/>
      <c r="J13" s="2290"/>
      <c r="K13" s="2290"/>
      <c r="L13" s="2296"/>
      <c r="M13" s="2160"/>
      <c r="N13" s="2160"/>
      <c r="O13" s="2160"/>
      <c r="P13" s="3081"/>
      <c r="Q13" s="2870"/>
      <c r="R13" s="1268"/>
      <c r="S13" s="2301"/>
      <c r="T13" s="2302"/>
      <c r="U13" s="2303"/>
      <c r="V13" s="2303"/>
      <c r="W13" s="2303"/>
      <c r="X13" s="2303"/>
      <c r="Y13" s="2303"/>
      <c r="Z13" s="2303"/>
      <c r="AA13" s="2303"/>
      <c r="AB13" s="2303"/>
      <c r="AC13" s="2303"/>
      <c r="AD13" s="2303"/>
      <c r="AE13" s="2303"/>
      <c r="AF13" s="2303"/>
      <c r="AG13" s="2303"/>
      <c r="AH13" s="2303"/>
      <c r="AI13" s="2303"/>
      <c r="AJ13" s="2303"/>
      <c r="AK13" s="2304"/>
      <c r="AM13" s="2539"/>
      <c r="AN13" s="2539" t="str">
        <f>IF(T13="","",T13)</f>
        <v/>
      </c>
      <c r="AO13" s="2539"/>
      <c r="AP13" s="2539"/>
    </row>
    <row s="40255" customFormat="1" customHeight="1" ht="0">
      <c r="A14" s="2290"/>
      <c r="B14" s="2290"/>
      <c r="C14" s="2290"/>
      <c r="D14" s="2290"/>
      <c r="E14" s="3114"/>
      <c r="F14" s="3114"/>
      <c r="G14" s="3114"/>
      <c r="H14" s="3113"/>
      <c r="I14" s="2290"/>
      <c r="J14" s="2290"/>
      <c r="K14" s="2290"/>
      <c r="L14" s="2296"/>
      <c r="M14" s="2293"/>
      <c r="N14" s="2293"/>
      <c r="O14" s="1263"/>
      <c r="P14" s="1292"/>
      <c r="Q14" s="2259"/>
      <c r="R14" s="2316"/>
      <c r="S14" s="2301"/>
      <c r="T14" s="2302"/>
      <c r="U14" s="2303"/>
      <c r="V14" s="2303"/>
      <c r="W14" s="2303"/>
      <c r="X14" s="2303"/>
      <c r="Y14" s="2303"/>
      <c r="Z14" s="2303"/>
      <c r="AA14" s="2303"/>
      <c r="AB14" s="2303"/>
      <c r="AC14" s="2303"/>
      <c r="AD14" s="2303"/>
      <c r="AE14" s="2303"/>
      <c r="AF14" s="2303"/>
      <c r="AG14" s="2303"/>
      <c r="AH14" s="2303"/>
      <c r="AI14" s="2303"/>
      <c r="AJ14" s="2303"/>
      <c r="AK14" s="2304"/>
      <c r="AM14" s="2539"/>
      <c r="AN14" s="2539" t="str">
        <f>IF(T14="","",T14)</f>
        <v/>
      </c>
      <c r="AO14" s="2539"/>
      <c r="AP14" s="2539"/>
    </row>
    <row s="40235" customFormat="1" customHeight="1" ht="0">
      <c r="A15" s="2290"/>
      <c r="B15" s="2290"/>
      <c r="C15" s="2290"/>
      <c r="D15" s="2289"/>
      <c r="E15" s="3114"/>
      <c r="F15" s="3114"/>
      <c r="G15" s="3113"/>
      <c r="H15" s="2289"/>
      <c r="I15" s="2289"/>
      <c r="J15" s="2289"/>
      <c r="K15" s="2289"/>
      <c r="L15" s="2292"/>
      <c r="M15" s="2293"/>
      <c r="N15" s="2293"/>
      <c r="O15" s="1263"/>
      <c r="P15" s="2231"/>
      <c r="Q15" s="2232"/>
      <c r="R15" s="2231"/>
      <c r="S15" s="2237"/>
      <c r="T15" s="2240" t="s">
        <v>405</v>
      </c>
      <c r="U15" s="2239"/>
      <c r="V15" s="2239"/>
      <c r="W15" s="2239"/>
      <c r="X15" s="2239"/>
      <c r="Y15" s="2239"/>
      <c r="Z15" s="2239"/>
      <c r="AA15" s="2239"/>
      <c r="AB15" s="2239"/>
      <c r="AC15" s="2239"/>
      <c r="AD15" s="2239"/>
      <c r="AE15" s="2239"/>
      <c r="AF15" s="2239"/>
      <c r="AG15" s="2239"/>
      <c r="AH15" s="2239"/>
      <c r="AI15" s="2239"/>
      <c r="AJ15" s="2239"/>
      <c r="AK15" s="2239"/>
      <c r="AM15" s="2165"/>
      <c r="AN15" s="2165" t="str">
        <f>IF(T15="","",T15)</f>
        <v>Добавить источник для дифференциации</v>
      </c>
      <c r="AO15" s="2165"/>
      <c r="AP15" s="2165"/>
    </row>
    <row s="40235" customFormat="1" customHeight="1" ht="0">
      <c r="A16" s="2290"/>
      <c r="B16" s="2290"/>
      <c r="C16" s="2289"/>
      <c r="D16" s="2289"/>
      <c r="E16" s="3114"/>
      <c r="F16" s="3113"/>
      <c r="G16" s="2289"/>
      <c r="H16" s="2289"/>
      <c r="I16" s="2289"/>
      <c r="J16" s="2289"/>
      <c r="K16" s="2289"/>
      <c r="L16" s="2292"/>
      <c r="M16" s="2294"/>
      <c r="N16" s="2294"/>
      <c r="O16" s="1263"/>
      <c r="P16" s="2231"/>
      <c r="Q16" s="2232"/>
      <c r="R16" s="2231"/>
      <c r="S16" s="2237"/>
      <c r="T16" s="2240" t="s">
        <v>406</v>
      </c>
      <c r="U16" s="2239"/>
      <c r="V16" s="2239"/>
      <c r="W16" s="2239"/>
      <c r="X16" s="2239"/>
      <c r="Y16" s="2239"/>
      <c r="Z16" s="2239"/>
      <c r="AA16" s="2239"/>
      <c r="AB16" s="2239"/>
      <c r="AC16" s="2239"/>
      <c r="AD16" s="2239"/>
      <c r="AE16" s="2239"/>
      <c r="AF16" s="2239"/>
      <c r="AG16" s="2239"/>
      <c r="AH16" s="2239"/>
      <c r="AI16" s="2239"/>
      <c r="AJ16" s="2239"/>
      <c r="AK16" s="2239"/>
      <c r="AM16" s="2165"/>
      <c r="AN16" s="2165" t="str">
        <f>IF(T16="","",T16)</f>
        <v>Добавить централизованную систему для дифференциации</v>
      </c>
      <c r="AO16" s="2165"/>
      <c r="AP16" s="2165"/>
    </row>
    <row s="40255" customFormat="1" customHeight="1" ht="0">
      <c r="A17" s="2290"/>
      <c r="B17" s="2290"/>
      <c r="C17" s="2290"/>
      <c r="D17" s="2290"/>
      <c r="E17" s="3113"/>
      <c r="F17" s="2290"/>
      <c r="G17" s="2290"/>
      <c r="H17" s="2290"/>
      <c r="I17" s="2290"/>
      <c r="J17" s="2290"/>
      <c r="K17" s="2290"/>
      <c r="L17" s="2296"/>
      <c r="M17" s="2294"/>
      <c r="N17" s="2294"/>
      <c r="O17" s="1263"/>
      <c r="P17" s="1292"/>
      <c r="Q17" s="2259"/>
      <c r="R17" s="1292"/>
      <c r="S17" s="2237"/>
      <c r="T17" s="2240" t="s">
        <v>407</v>
      </c>
      <c r="U17" s="2239"/>
      <c r="V17" s="2239"/>
      <c r="W17" s="2239"/>
      <c r="X17" s="2239"/>
      <c r="Y17" s="2239"/>
      <c r="Z17" s="2239"/>
      <c r="AA17" s="2239"/>
      <c r="AB17" s="2239"/>
      <c r="AC17" s="2239"/>
      <c r="AD17" s="2239"/>
      <c r="AE17" s="2239"/>
      <c r="AF17" s="2239"/>
      <c r="AG17" s="2239"/>
      <c r="AH17" s="2239"/>
      <c r="AI17" s="2239"/>
      <c r="AJ17" s="2239"/>
      <c r="AK17" s="2239"/>
      <c r="AM17" s="2539"/>
      <c r="AN17" s="2539" t="str">
        <f>IF(T17="","",T17)</f>
        <v>Добавить территорию для дифференциации</v>
      </c>
      <c r="AO17" s="2539"/>
      <c r="AP17" s="2539"/>
    </row>
    <row r="19" customHeight="1" ht="14.25">
      <c r="AC19" s="2417"/>
      <c r="AD19" s="2318"/>
      <c r="AE19" s="2319"/>
      <c r="AF19" s="2651"/>
      <c r="AG19" s="2882" t="s">
        <v>62</v>
      </c>
      <c r="AH19" s="2651"/>
      <c r="AI19" s="2882" t="s">
        <v>62</v>
      </c>
    </row>
    <row customHeight="1" ht="14.25">
      <c r="AL20" s="2556"/>
      <c r="AM20" s="2556"/>
      <c r="AN20" s="2556"/>
      <c r="AO20" s="2556"/>
      <c r="AP20" s="2556"/>
    </row>
    <row customHeight="1" ht="14.25">
      <c r="O21" s="2260" t="s">
        <v>408</v>
      </c>
      <c r="X21" s="2260"/>
      <c r="Z21" s="2260"/>
      <c r="AF21" s="2260"/>
      <c r="AH21" s="2260"/>
      <c r="AL21" s="2556"/>
      <c r="AM21" s="2556"/>
      <c r="AN21" s="2556"/>
      <c r="AO21" s="2556"/>
      <c r="AP21" s="2556"/>
    </row>
    <row customHeight="1" ht="14.25">
      <c r="AL22" s="2556"/>
      <c r="AM22" s="2556"/>
      <c r="AN22" s="2556"/>
      <c r="AO22" s="2556"/>
      <c r="AP22" s="2556"/>
    </row>
    <row s="40358" customFormat="1" customHeight="1" ht="14.25">
      <c r="A23" s="2888"/>
      <c r="B23" s="2888"/>
      <c r="C23" s="2888"/>
      <c r="D23" s="2888"/>
      <c r="E23" s="2888"/>
      <c r="F23" s="2888"/>
      <c r="G23" s="2888"/>
      <c r="H23" s="2888"/>
      <c r="I23" s="2888"/>
      <c r="J23" s="2888"/>
      <c r="K23" s="2888"/>
      <c r="L23" s="2888"/>
      <c r="M23" s="2889"/>
      <c r="N23" s="2889"/>
      <c r="O23" s="2890" t="s">
        <v>409</v>
      </c>
      <c r="P23" s="2423"/>
      <c r="Q23" s="2425"/>
      <c r="R23" s="2425"/>
      <c r="Y23" s="2422" t="s">
        <v>411</v>
      </c>
      <c r="AA23" s="2422" t="s">
        <v>412</v>
      </c>
      <c r="AC23" s="2422" t="s">
        <v>461</v>
      </c>
      <c r="AG23" s="2422" t="s">
        <v>411</v>
      </c>
      <c r="AI23" s="2422" t="s">
        <v>412</v>
      </c>
      <c r="AL23" s="2426"/>
      <c r="AM23" s="2426"/>
      <c r="AN23" s="2426"/>
      <c r="AO23" s="2426"/>
      <c r="AP23" s="2426"/>
    </row>
    <row customHeight="1" ht="14.25">
      <c r="O24" s="2225"/>
      <c r="AL24" s="2556"/>
      <c r="AM24" s="2556"/>
      <c r="AN24" s="2556"/>
      <c r="AO24" s="2556"/>
      <c r="AP24" s="2556"/>
    </row>
    <row customHeight="1" ht="14.25">
      <c r="O25" s="2225"/>
      <c r="AL25" s="2556"/>
      <c r="AM25" s="2556"/>
      <c r="AN25" s="2556"/>
      <c r="AO25" s="2556"/>
      <c r="AP25" s="2556"/>
    </row>
    <row customHeight="1" ht="14.25">
      <c r="Q26" s="1203"/>
      <c r="R26" s="1288"/>
      <c r="S26" s="2190"/>
      <c r="T26" s="1369"/>
      <c r="U26" s="1369"/>
      <c r="V26" s="2550"/>
      <c r="W26" s="2550"/>
      <c r="X26" s="2550"/>
      <c r="Y26" s="2550"/>
      <c r="Z26" s="2550"/>
      <c r="AA26" s="2550"/>
      <c r="AB26" s="2550"/>
      <c r="AC26" s="2550"/>
      <c r="AD26" s="2550"/>
      <c r="AE26" s="2550"/>
      <c r="AF26" s="2550"/>
      <c r="AG26" s="2550"/>
      <c r="AH26" s="2550"/>
      <c r="AI26" s="2550"/>
    </row>
    <row customHeight="1" ht="38.25">
      <c r="Q27" s="1203"/>
      <c r="R27" s="1288"/>
      <c r="S27" s="30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72"/>
      <c r="U27" s="3072"/>
      <c r="V27" s="3072"/>
      <c r="W27" s="3072"/>
      <c r="X27" s="3072"/>
      <c r="Y27" s="3072"/>
      <c r="Z27" s="3072"/>
      <c r="AA27" s="3072"/>
      <c r="AB27" s="3072"/>
      <c r="AC27" s="3072"/>
      <c r="AD27" s="3072"/>
      <c r="AE27" s="3072"/>
      <c r="AF27" s="3072"/>
      <c r="AG27" s="3072"/>
      <c r="AH27" s="3072"/>
      <c r="AI27" s="2157"/>
    </row>
    <row customHeight="1" ht="14.25">
      <c r="Q28" s="1203"/>
      <c r="R28" s="1288"/>
      <c r="S28" s="3073" t="str">
        <f>IF(org=0,"Не определено",org)</f>
        <v>ПАО "ТГК-1" филиал "Невский"</v>
      </c>
      <c r="T28" s="3073"/>
      <c r="U28" s="3073"/>
      <c r="V28" s="3073"/>
      <c r="W28" s="3073"/>
      <c r="X28" s="3073"/>
      <c r="Y28" s="3073"/>
      <c r="Z28" s="3073"/>
      <c r="AA28" s="3073"/>
      <c r="AB28" s="3073"/>
      <c r="AC28" s="3073"/>
      <c r="AD28" s="3073"/>
      <c r="AE28" s="3073"/>
      <c r="AF28" s="3073"/>
      <c r="AG28" s="3073"/>
      <c r="AH28" s="3073"/>
      <c r="AI28" s="2157"/>
    </row>
    <row customHeight="1" ht="14.25" hidden="1">
      <c r="Q29" s="1203"/>
      <c r="R29" s="1288"/>
      <c r="S29" s="2190"/>
      <c r="T29" s="1369"/>
      <c r="U29" s="1369"/>
      <c r="V29" s="1234"/>
      <c r="W29" s="1234"/>
      <c r="X29" s="1234"/>
      <c r="Y29" s="1234"/>
      <c r="Z29" s="1234"/>
      <c r="AA29" s="1234"/>
      <c r="AB29" s="1234"/>
      <c r="AC29" s="1234"/>
      <c r="AD29" s="1234"/>
      <c r="AE29" s="1234"/>
      <c r="AF29" s="1234"/>
      <c r="AG29" s="1234"/>
      <c r="AH29" s="1234"/>
      <c r="AI29" s="1234"/>
      <c r="AJ29" s="2550"/>
    </row>
    <row s="40143" customFormat="1" customHeight="1" ht="25.5" hidden="1">
      <c r="A30" s="2162"/>
      <c r="B30" s="2162"/>
      <c r="C30" s="2162"/>
      <c r="D30" s="2162"/>
      <c r="E30" s="2162"/>
      <c r="F30" s="2162"/>
      <c r="G30" s="2162"/>
      <c r="H30" s="2162"/>
      <c r="I30" s="2162"/>
      <c r="J30" s="2162"/>
      <c r="K30" s="2162"/>
      <c r="L30" s="2295"/>
      <c r="M30" s="2162"/>
      <c r="N30" s="2162"/>
      <c r="O30" s="2162"/>
      <c r="P30" s="2283"/>
      <c r="Q30" s="2283"/>
      <c r="S30" s="3074" t="s">
        <v>37</v>
      </c>
      <c r="T30" s="3074"/>
      <c r="U30" s="2287"/>
      <c r="V30" s="3075" t="str">
        <f>IF(TITLE_NAME_OR_PR_CHANGE="",IF(TITLE_NAME_OR_PR="","",TITLE_NAME_OR_PR),TITLE_NAME_OR_PR_CHANGE)</f>
        <v/>
      </c>
      <c r="W30" s="3075"/>
      <c r="X30" s="3075"/>
      <c r="Y30" s="3075"/>
      <c r="Z30" s="3075"/>
      <c r="AA30" s="2550"/>
      <c r="AB30" s="2550"/>
      <c r="AC30" s="3075"/>
      <c r="AD30" s="3075"/>
      <c r="AE30" s="3075"/>
      <c r="AF30" s="3075"/>
      <c r="AG30" s="3075"/>
      <c r="AH30" s="3075"/>
      <c r="AI30" s="2550"/>
      <c r="AJ30" s="2550"/>
      <c r="AK30" s="1192"/>
      <c r="AL30" s="1280"/>
      <c r="AM30" s="1280"/>
      <c r="AN30" s="1280"/>
      <c r="AO30" s="1280"/>
      <c r="AP30" s="1280"/>
    </row>
    <row s="40143" customFormat="1" customHeight="1" ht="18.75" hidden="1">
      <c r="A31" s="2162"/>
      <c r="B31" s="2162"/>
      <c r="C31" s="2162"/>
      <c r="D31" s="2162"/>
      <c r="E31" s="2162"/>
      <c r="F31" s="2162"/>
      <c r="G31" s="2162"/>
      <c r="H31" s="2162"/>
      <c r="I31" s="2162"/>
      <c r="J31" s="2162"/>
      <c r="K31" s="2162"/>
      <c r="L31" s="2295"/>
      <c r="M31" s="2162"/>
      <c r="N31" s="2162"/>
      <c r="O31" s="2162"/>
      <c r="P31" s="2283"/>
      <c r="Q31" s="2283"/>
      <c r="S31" s="3074" t="s">
        <v>414</v>
      </c>
      <c r="T31" s="3074"/>
      <c r="U31" s="2287"/>
      <c r="V31" s="3088" t="str">
        <f>IF(TITLE_DATE_PR_CHANGE="",IF(TITLE_DATE_PR="","",TITLE_DATE_PR),TITLE_DATE_PR_CHANGE)</f>
        <v/>
      </c>
      <c r="W31" s="3088"/>
      <c r="X31" s="3088"/>
      <c r="Y31" s="3088"/>
      <c r="Z31" s="3088"/>
      <c r="AA31" s="2550"/>
      <c r="AB31" s="2550"/>
      <c r="AC31" s="3088"/>
      <c r="AD31" s="3088"/>
      <c r="AE31" s="3088"/>
      <c r="AF31" s="3088"/>
      <c r="AG31" s="3088"/>
      <c r="AH31" s="3088"/>
      <c r="AI31" s="2550"/>
      <c r="AJ31" s="2550"/>
      <c r="AK31" s="1192"/>
      <c r="AL31" s="1280"/>
      <c r="AM31" s="1280"/>
      <c r="AN31" s="1280"/>
      <c r="AO31" s="1280"/>
      <c r="AP31" s="1280"/>
    </row>
    <row s="40143" customFormat="1" customHeight="1" ht="18.75" hidden="1">
      <c r="A32" s="2162"/>
      <c r="B32" s="2162"/>
      <c r="C32" s="2162"/>
      <c r="D32" s="2162"/>
      <c r="E32" s="2162"/>
      <c r="F32" s="2162"/>
      <c r="G32" s="2162"/>
      <c r="H32" s="2162"/>
      <c r="I32" s="2162"/>
      <c r="J32" s="2162"/>
      <c r="K32" s="2162"/>
      <c r="L32" s="2295"/>
      <c r="M32" s="2162"/>
      <c r="N32" s="2162"/>
      <c r="O32" s="2162"/>
      <c r="P32" s="2283"/>
      <c r="Q32" s="2283"/>
      <c r="S32" s="3074" t="s">
        <v>415</v>
      </c>
      <c r="T32" s="3074"/>
      <c r="U32" s="2287"/>
      <c r="V32" s="3075" t="str">
        <f>IF(TITLE_NUMBER_PR_CHANGE="",IF(TITLE_NUMBER_PR="","",TITLE_NUMBER_PR),TITLE_NUMBER_PR_CHANGE)</f>
        <v/>
      </c>
      <c r="W32" s="3075"/>
      <c r="X32" s="3075"/>
      <c r="Y32" s="3075"/>
      <c r="Z32" s="3075"/>
      <c r="AA32" s="2550"/>
      <c r="AB32" s="2550"/>
      <c r="AC32" s="3075"/>
      <c r="AD32" s="3075"/>
      <c r="AE32" s="3075"/>
      <c r="AF32" s="3075"/>
      <c r="AG32" s="3075"/>
      <c r="AH32" s="3075"/>
      <c r="AI32" s="2550"/>
      <c r="AJ32" s="2550"/>
      <c r="AK32" s="1192"/>
      <c r="AL32" s="1280"/>
      <c r="AM32" s="1280"/>
      <c r="AN32" s="1280"/>
      <c r="AO32" s="1280"/>
      <c r="AP32" s="1280"/>
    </row>
    <row s="40143" customFormat="1" customHeight="1" ht="18.75" hidden="1">
      <c r="A33" s="2162"/>
      <c r="B33" s="2162"/>
      <c r="C33" s="2162"/>
      <c r="D33" s="2162"/>
      <c r="E33" s="2162"/>
      <c r="F33" s="2162"/>
      <c r="G33" s="2162"/>
      <c r="H33" s="2162"/>
      <c r="I33" s="2162"/>
      <c r="J33" s="2162"/>
      <c r="K33" s="2162"/>
      <c r="L33" s="2295"/>
      <c r="M33" s="2162"/>
      <c r="N33" s="2162"/>
      <c r="O33" s="2162"/>
      <c r="P33" s="2283"/>
      <c r="Q33" s="2283"/>
      <c r="S33" s="3074" t="s">
        <v>38</v>
      </c>
      <c r="T33" s="3074"/>
      <c r="U33" s="2287"/>
      <c r="V33" s="3075" t="str">
        <f>IF(TITLE_IST_PUB_CHANGE="",IF(TITLE_IST_PUB="","",TITLE_IST_PUB),TITLE_IST_PUB_CHANGE)</f>
        <v/>
      </c>
      <c r="W33" s="3075"/>
      <c r="X33" s="3075"/>
      <c r="Y33" s="3075"/>
      <c r="Z33" s="3075"/>
      <c r="AA33" s="2550"/>
      <c r="AB33" s="2550"/>
      <c r="AC33" s="3075"/>
      <c r="AD33" s="3075"/>
      <c r="AE33" s="3075"/>
      <c r="AF33" s="3075"/>
      <c r="AG33" s="3075"/>
      <c r="AH33" s="3075"/>
      <c r="AI33" s="2550"/>
      <c r="AJ33" s="2550"/>
      <c r="AK33" s="1192"/>
      <c r="AL33" s="1280"/>
      <c r="AM33" s="1280"/>
      <c r="AN33" s="1280"/>
      <c r="AO33" s="1280"/>
      <c r="AP33" s="1280"/>
    </row>
    <row customHeight="1" ht="14.25" hidden="1">
      <c r="Q34" s="1203"/>
      <c r="R34" s="1288"/>
      <c r="S34" s="2190"/>
      <c r="T34" s="1369"/>
      <c r="U34" s="1369"/>
      <c r="V34" s="1234"/>
      <c r="W34" s="1234"/>
      <c r="X34" s="1234"/>
      <c r="Y34" s="1234"/>
      <c r="Z34" s="1234"/>
      <c r="AA34" s="1234"/>
      <c r="AB34" s="1234"/>
      <c r="AC34" s="1234"/>
      <c r="AD34" s="1234"/>
      <c r="AE34" s="1234"/>
      <c r="AF34" s="1234"/>
      <c r="AG34" s="1234"/>
      <c r="AH34" s="1234"/>
      <c r="AI34" s="1234"/>
      <c r="AJ34" s="2550"/>
    </row>
    <row s="40143" customFormat="1" customHeight="1" ht="18.75" hidden="1">
      <c r="A35" s="2162"/>
      <c r="B35" s="2162"/>
      <c r="C35" s="2162"/>
      <c r="D35" s="2162"/>
      <c r="E35" s="2162"/>
      <c r="F35" s="2162"/>
      <c r="G35" s="2162"/>
      <c r="H35" s="2162"/>
      <c r="I35" s="2162"/>
      <c r="J35" s="2162"/>
      <c r="K35" s="2162"/>
      <c r="L35" s="2295"/>
      <c r="M35" s="2162"/>
      <c r="N35" s="2162"/>
      <c r="O35" s="2162"/>
      <c r="P35" s="2283"/>
      <c r="Q35" s="2283"/>
      <c r="S35" s="3074" t="s">
        <v>414</v>
      </c>
      <c r="T35" s="3074"/>
      <c r="U35" s="2287"/>
      <c r="V35" s="3088" t="str">
        <f>IF(TITLE_DATE_PR_CHANGE="",IF(TITLE_DATE_PR="","",TITLE_DATE_PR),TITLE_DATE_PR_CHANGE)</f>
        <v/>
      </c>
      <c r="W35" s="3088"/>
      <c r="X35" s="3088"/>
      <c r="Y35" s="3088"/>
      <c r="Z35" s="3088"/>
      <c r="AA35" s="2550"/>
      <c r="AB35" s="2550"/>
      <c r="AC35" s="3088"/>
      <c r="AD35" s="3088"/>
      <c r="AE35" s="3088"/>
      <c r="AF35" s="3088"/>
      <c r="AG35" s="3088"/>
      <c r="AH35" s="3088"/>
      <c r="AI35" s="2550"/>
      <c r="AJ35" s="2550"/>
      <c r="AK35" s="1192"/>
      <c r="AL35" s="1280"/>
      <c r="AM35" s="1280"/>
      <c r="AN35" s="1280"/>
      <c r="AO35" s="1280"/>
      <c r="AP35" s="1280"/>
    </row>
    <row s="40143" customFormat="1" customHeight="1" ht="18" hidden="1">
      <c r="A36" s="2162"/>
      <c r="B36" s="2162"/>
      <c r="C36" s="2162"/>
      <c r="D36" s="2162"/>
      <c r="E36" s="2162"/>
      <c r="F36" s="2162"/>
      <c r="G36" s="2162"/>
      <c r="H36" s="2162"/>
      <c r="I36" s="2162"/>
      <c r="J36" s="2162"/>
      <c r="K36" s="2162"/>
      <c r="L36" s="2295"/>
      <c r="M36" s="2162"/>
      <c r="N36" s="2162"/>
      <c r="O36" s="2162"/>
      <c r="P36" s="2283"/>
      <c r="Q36" s="2283"/>
      <c r="S36" s="3074" t="s">
        <v>415</v>
      </c>
      <c r="T36" s="3074"/>
      <c r="U36" s="2287"/>
      <c r="V36" s="3075" t="str">
        <f>IF(TITLE_NUMBER_PR_CHANGE="",IF(TITLE_NUMBER_PR="","",TITLE_NUMBER_PR),TITLE_NUMBER_PR_CHANGE)</f>
        <v/>
      </c>
      <c r="W36" s="3075"/>
      <c r="X36" s="3075"/>
      <c r="Y36" s="3075"/>
      <c r="Z36" s="3075"/>
      <c r="AA36" s="2550"/>
      <c r="AB36" s="2550"/>
      <c r="AC36" s="3075"/>
      <c r="AD36" s="3075"/>
      <c r="AE36" s="3075"/>
      <c r="AF36" s="3075"/>
      <c r="AG36" s="3075"/>
      <c r="AH36" s="3075"/>
      <c r="AI36" s="2550"/>
      <c r="AJ36" s="2550"/>
      <c r="AK36" s="1192"/>
      <c r="AL36" s="1280"/>
      <c r="AM36" s="1280"/>
      <c r="AN36" s="1280"/>
      <c r="AO36" s="1280"/>
      <c r="AP36" s="1280"/>
    </row>
    <row s="40143" customFormat="1" customHeight="1" ht="0.75">
      <c r="A37" s="2162"/>
      <c r="B37" s="2162"/>
      <c r="C37" s="2162"/>
      <c r="D37" s="2162"/>
      <c r="E37" s="2162"/>
      <c r="F37" s="2162"/>
      <c r="G37" s="2162"/>
      <c r="H37" s="2162"/>
      <c r="I37" s="2162"/>
      <c r="J37" s="2162"/>
      <c r="K37" s="2162"/>
      <c r="L37" s="2295"/>
      <c r="M37" s="2162"/>
      <c r="N37" s="2162"/>
      <c r="O37" s="2162"/>
      <c r="P37" s="2283"/>
      <c r="Q37" s="2283"/>
      <c r="S37" s="2550"/>
      <c r="T37" s="2550"/>
      <c r="U37" s="2886"/>
      <c r="V37" s="2550"/>
      <c r="W37" s="2550"/>
      <c r="X37" s="2550"/>
      <c r="Y37" s="2550"/>
      <c r="Z37" s="2550"/>
      <c r="AA37" s="2557" t="s">
        <v>418</v>
      </c>
      <c r="AB37" s="2557"/>
      <c r="AC37" s="2550"/>
      <c r="AD37" s="2550"/>
      <c r="AE37" s="2550"/>
      <c r="AF37" s="2550"/>
      <c r="AG37" s="2550"/>
      <c r="AH37" s="2550"/>
      <c r="AI37" s="2557" t="s">
        <v>418</v>
      </c>
      <c r="AL37" s="1280"/>
      <c r="AM37" s="1280"/>
      <c r="AN37" s="1280"/>
      <c r="AO37" s="1280"/>
      <c r="AP37" s="1280"/>
    </row>
    <row customHeight="1" ht="14.25">
      <c r="Q38" s="1203"/>
      <c r="R38" s="1288"/>
      <c r="S38" s="2190"/>
      <c r="T38" s="1369"/>
      <c r="U38" s="2158"/>
      <c r="V38" s="3076"/>
      <c r="W38" s="3076"/>
      <c r="X38" s="3076"/>
      <c r="Y38" s="3076"/>
      <c r="Z38" s="3076"/>
      <c r="AA38" s="3076"/>
      <c r="AB38" s="2873"/>
      <c r="AC38" s="3076"/>
      <c r="AD38" s="3076"/>
      <c r="AE38" s="3076"/>
      <c r="AF38" s="3076"/>
      <c r="AG38" s="3076"/>
      <c r="AH38" s="3076"/>
      <c r="AI38" s="3076"/>
    </row>
    <row customHeight="1" ht="14.25">
      <c r="Q39" s="1203"/>
      <c r="R39" s="1288"/>
      <c r="S39" s="2953" t="s">
        <v>291</v>
      </c>
      <c r="T39" s="2953"/>
      <c r="U39" s="2953"/>
      <c r="V39" s="2953"/>
      <c r="W39" s="2953"/>
      <c r="X39" s="2953"/>
      <c r="Y39" s="2953"/>
      <c r="Z39" s="2953"/>
      <c r="AA39" s="2999"/>
      <c r="AB39" s="2999"/>
      <c r="AC39" s="2999"/>
      <c r="AD39" s="2953"/>
      <c r="AE39" s="2953"/>
      <c r="AF39" s="2953"/>
      <c r="AG39" s="2953"/>
      <c r="AH39" s="2953"/>
      <c r="AI39" s="2953"/>
      <c r="AJ39" s="2953"/>
      <c r="AK39" s="2953" t="s">
        <v>292</v>
      </c>
    </row>
    <row customHeight="1" ht="14.25">
      <c r="Q40" s="1203"/>
      <c r="R40" s="1288"/>
      <c r="S40" s="3097" t="s">
        <v>84</v>
      </c>
      <c r="T40" s="3033" t="s">
        <v>491</v>
      </c>
      <c r="U40" s="1249"/>
      <c r="V40" s="3099"/>
      <c r="W40" s="3099"/>
      <c r="X40" s="3099"/>
      <c r="Y40" s="3099"/>
      <c r="Z40" s="3099"/>
      <c r="AA40" s="3033" t="s">
        <v>421</v>
      </c>
      <c r="AB40" s="3032" t="s">
        <v>492</v>
      </c>
      <c r="AC40" s="3032" t="s">
        <v>465</v>
      </c>
      <c r="AD40" s="3115" t="s">
        <v>420</v>
      </c>
      <c r="AE40" s="3115"/>
      <c r="AF40" s="3099"/>
      <c r="AG40" s="3099"/>
      <c r="AH40" s="3100"/>
      <c r="AI40" s="3101" t="s">
        <v>421</v>
      </c>
      <c r="AJ40" s="3104" t="s">
        <v>423</v>
      </c>
      <c r="AK40" s="2953"/>
    </row>
    <row customHeight="1" ht="33.75">
      <c r="Q41" s="1203"/>
      <c r="R41" s="1288"/>
      <c r="S41" s="3097"/>
      <c r="T41" s="3033"/>
      <c r="U41" s="1944"/>
      <c r="V41" s="3016" t="s">
        <v>468</v>
      </c>
      <c r="W41" s="3017"/>
      <c r="X41" s="3118" t="s">
        <v>427</v>
      </c>
      <c r="Y41" s="3130"/>
      <c r="Z41" s="3130"/>
      <c r="AA41" s="3033"/>
      <c r="AB41" s="3032"/>
      <c r="AC41" s="3032"/>
      <c r="AD41" s="2929" t="s">
        <v>469</v>
      </c>
      <c r="AE41" s="2953"/>
      <c r="AF41" s="3130" t="s">
        <v>427</v>
      </c>
      <c r="AG41" s="3130"/>
      <c r="AH41" s="3131"/>
      <c r="AI41" s="3102"/>
      <c r="AJ41" s="3105"/>
      <c r="AK41" s="2953"/>
    </row>
    <row customHeight="1" ht="14.25">
      <c r="Q42" s="1203"/>
      <c r="R42" s="1288"/>
      <c r="S42" s="3097"/>
      <c r="T42" s="3033"/>
      <c r="U42" s="1944"/>
      <c r="V42" s="3024"/>
      <c r="W42" s="3025"/>
      <c r="X42" s="3119"/>
      <c r="Y42" s="3132"/>
      <c r="Z42" s="3132"/>
      <c r="AA42" s="3033"/>
      <c r="AB42" s="3032"/>
      <c r="AC42" s="3032"/>
      <c r="AD42" s="3172"/>
      <c r="AE42" s="3156"/>
      <c r="AF42" s="3132"/>
      <c r="AG42" s="3132"/>
      <c r="AH42" s="3133"/>
      <c r="AI42" s="3102"/>
      <c r="AJ42" s="3105"/>
      <c r="AK42" s="2953"/>
    </row>
    <row customHeight="1" ht="14.25">
      <c r="A43" s="2181"/>
      <c r="B43" s="2181" t="s">
        <v>128</v>
      </c>
      <c r="C43" s="2181" t="s">
        <v>129</v>
      </c>
      <c r="D43" s="2181" t="s">
        <v>130</v>
      </c>
      <c r="E43" s="2225" t="s">
        <v>428</v>
      </c>
      <c r="F43" s="2225" t="s">
        <v>429</v>
      </c>
      <c r="G43" s="2225" t="s">
        <v>430</v>
      </c>
      <c r="H43" s="2225" t="s">
        <v>431</v>
      </c>
      <c r="I43" s="2225" t="s">
        <v>432</v>
      </c>
      <c r="J43" s="2225" t="s">
        <v>433</v>
      </c>
      <c r="K43" s="2225" t="s">
        <v>434</v>
      </c>
      <c r="L43" s="2225" t="s">
        <v>409</v>
      </c>
      <c r="Q43" s="1203"/>
      <c r="R43" s="1288"/>
      <c r="S43" s="3097"/>
      <c r="T43" s="3033"/>
      <c r="U43" s="1214"/>
      <c r="V43" s="2866" t="s">
        <v>470</v>
      </c>
      <c r="W43" s="2866" t="s">
        <v>471</v>
      </c>
      <c r="X43" s="2854" t="s">
        <v>437</v>
      </c>
      <c r="Y43" s="3094" t="s">
        <v>438</v>
      </c>
      <c r="Z43" s="3137"/>
      <c r="AA43" s="3033"/>
      <c r="AB43" s="3032"/>
      <c r="AC43" s="3032"/>
      <c r="AD43" s="2884" t="s">
        <v>470</v>
      </c>
      <c r="AE43" s="2875" t="s">
        <v>471</v>
      </c>
      <c r="AF43" s="2854" t="s">
        <v>437</v>
      </c>
      <c r="AG43" s="3094" t="s">
        <v>438</v>
      </c>
      <c r="AH43" s="3095"/>
      <c r="AI43" s="3103"/>
      <c r="AJ43" s="3106"/>
      <c r="AK43" s="2953"/>
    </row>
    <row s="40252" customFormat="1" customHeight="1" ht="11.25" hidden="1">
      <c r="A44" s="2181"/>
      <c r="B44" s="2181"/>
      <c r="C44" s="2181"/>
      <c r="D44" s="2181"/>
      <c r="E44" s="2181"/>
      <c r="F44" s="2181"/>
      <c r="G44" s="2181"/>
      <c r="H44" s="2181"/>
      <c r="I44" s="2181"/>
      <c r="J44" s="2181"/>
      <c r="K44" s="2181"/>
      <c r="L44" s="2225"/>
      <c r="M44" s="2881"/>
      <c r="N44" s="2881"/>
      <c r="O44" s="2881"/>
      <c r="P44" s="1422"/>
      <c r="Q44" s="2168"/>
      <c r="R44" s="2168">
        <v>1</v>
      </c>
      <c r="S44" s="2192" t="s">
        <v>102</v>
      </c>
      <c r="T44" s="2169" t="s">
        <v>103</v>
      </c>
      <c r="U44" s="2159" t="str">
        <f>OFFSET(U44,0,-1)</f>
        <v>2</v>
      </c>
      <c r="V44" s="2872">
        <f>OFFSET(V44,0,-1)+1</f>
        <v>3</v>
      </c>
      <c r="W44" s="2872">
        <f>OFFSET(W44,0,-1)+1</f>
        <v>4</v>
      </c>
      <c r="X44" s="2872">
        <f>OFFSET(X44,0,-1)+1</f>
        <v>5</v>
      </c>
      <c r="Y44" s="3096">
        <f>OFFSET(Y44,0,-1)+1</f>
        <v>6</v>
      </c>
      <c r="Z44" s="3096"/>
      <c r="AA44" s="2256">
        <f>OFFSET(AA44,0,-2)+1</f>
        <v>7</v>
      </c>
      <c r="AB44" s="2256"/>
      <c r="AC44" s="2256"/>
      <c r="AD44" s="2872">
        <f>OFFSET(AD44,0,-1)+1</f>
        <v>1</v>
      </c>
      <c r="AE44" s="2872">
        <f>OFFSET(AE44,0,-1)+1</f>
        <v>2</v>
      </c>
      <c r="AF44" s="2872">
        <f>OFFSET(AF44,0,-1)+1</f>
        <v>3</v>
      </c>
      <c r="AG44" s="3096">
        <f>OFFSET(AG44,0,-1)+1</f>
        <v>4</v>
      </c>
      <c r="AH44" s="3096"/>
      <c r="AI44" s="2872">
        <f>OFFSET(AI44,0,-2)+1</f>
        <v>5</v>
      </c>
      <c r="AJ44" s="2159">
        <f>OFFSET(AJ44,0,-1)</f>
        <v>5</v>
      </c>
      <c r="AK44" s="2872">
        <f>OFFSET(AK44,0,-1)+1</f>
        <v>6</v>
      </c>
      <c r="AL44" s="2551"/>
      <c r="AM44" s="2551"/>
      <c r="AN44" s="2551"/>
      <c r="AO44" s="2551"/>
      <c r="AP44" s="2551"/>
    </row>
    <row customHeight="1" ht="102">
      <c r="A45" s="2182" t="s">
        <v>197</v>
      </c>
      <c r="B45" s="2182"/>
      <c r="C45" s="2182"/>
      <c r="D45" s="2182"/>
      <c r="E45" s="3113">
        <v>1</v>
      </c>
      <c r="F45" s="2182"/>
      <c r="G45" s="2182"/>
      <c r="H45" s="2182"/>
      <c r="I45" s="2182"/>
      <c r="J45" s="2182"/>
      <c r="K45" s="2182"/>
      <c r="L45" s="2225"/>
      <c r="M45" s="2525"/>
      <c r="N45" s="2525"/>
      <c r="O45" s="2525"/>
      <c r="P45" s="2324"/>
      <c r="Q45" s="1785"/>
      <c r="R45" s="1267"/>
      <c r="S45" s="2874">
        <f>INDEX(PT_DIFFERENTIATION_NUM_NTAR,MATCH(A45,PT_DIFFERENTIATION_NTAR_ID,0))</f>
        <v>0</v>
      </c>
      <c r="T45" s="2440" t="s">
        <v>116</v>
      </c>
      <c r="U45" s="1212"/>
      <c r="V45" s="3067"/>
      <c r="W45" s="3067"/>
      <c r="X45" s="3067"/>
      <c r="Y45" s="3067"/>
      <c r="Z45" s="3067"/>
      <c r="AA45" s="3068"/>
      <c r="AB45" s="2868"/>
      <c r="AC45" s="3067"/>
      <c r="AD45" s="3067"/>
      <c r="AE45" s="3067"/>
      <c r="AF45" s="3067"/>
      <c r="AG45" s="3067"/>
      <c r="AH45" s="3067"/>
      <c r="AI45" s="3067"/>
      <c r="AJ45" s="3068"/>
      <c r="AK45"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539"/>
      <c r="AN45" s="2539" t="str">
        <f>IF(T45="","",T45)</f>
        <v>Наименование тарифа</v>
      </c>
      <c r="AO45" s="2539"/>
      <c r="AP45" s="2539"/>
    </row>
    <row customHeight="1" ht="21">
      <c r="A46" s="2182" t="s">
        <v>197</v>
      </c>
      <c r="B46" s="2182" t="s">
        <v>198</v>
      </c>
      <c r="C46" s="2182"/>
      <c r="D46" s="2182"/>
      <c r="E46" s="3114"/>
      <c r="F46" s="3113">
        <v>1</v>
      </c>
      <c r="G46" s="2182"/>
      <c r="H46" s="2182"/>
      <c r="I46" s="2182"/>
      <c r="J46" s="2182"/>
      <c r="K46" s="2182"/>
      <c r="L46" s="2225"/>
      <c r="M46" s="2525"/>
      <c r="N46" s="2525"/>
      <c r="O46" s="2525"/>
      <c r="P46" s="2885"/>
      <c r="Q46" s="2326"/>
      <c r="R46" s="1265"/>
      <c r="S46" s="2874" t="str">
        <f>INDEX(PT_DIFFERENTIATION_NUM_TER,MATCH(B46,PT_DIFFERENTIATION_TER_ID,0))</f>
        <v>.</v>
      </c>
      <c r="T46" s="2437" t="s">
        <v>388</v>
      </c>
      <c r="U46" s="1212"/>
      <c r="V46" s="3067"/>
      <c r="W46" s="3067"/>
      <c r="X46" s="3067"/>
      <c r="Y46" s="3067"/>
      <c r="Z46" s="3067"/>
      <c r="AA46" s="3068"/>
      <c r="AB46" s="2868"/>
      <c r="AC46" s="3067"/>
      <c r="AD46" s="3067"/>
      <c r="AE46" s="3067"/>
      <c r="AF46" s="3067"/>
      <c r="AG46" s="3067"/>
      <c r="AH46" s="3067"/>
      <c r="AI46" s="3067"/>
      <c r="AJ46" s="3068"/>
      <c r="AK46" s="2172" t="s">
        <v>389</v>
      </c>
      <c r="AM46" s="2539"/>
      <c r="AN46" s="2539" t="str">
        <f>IF(T46="","",T46)</f>
        <v>Территория действия тарифа</v>
      </c>
      <c r="AO46" s="2539"/>
      <c r="AP46" s="2539"/>
    </row>
    <row customHeight="1" ht="23.25">
      <c r="A47" s="2182" t="s">
        <v>197</v>
      </c>
      <c r="B47" s="2182" t="s">
        <v>198</v>
      </c>
      <c r="C47" s="2182" t="s">
        <v>199</v>
      </c>
      <c r="D47" s="2182"/>
      <c r="E47" s="3114"/>
      <c r="F47" s="3114"/>
      <c r="G47" s="3113">
        <v>1</v>
      </c>
      <c r="H47" s="2182"/>
      <c r="I47" s="2182"/>
      <c r="J47" s="2182"/>
      <c r="K47" s="2182"/>
      <c r="L47" s="2225"/>
      <c r="M47" s="2525"/>
      <c r="N47" s="2525"/>
      <c r="O47" s="2525"/>
      <c r="P47" s="2327"/>
      <c r="Q47" s="2326"/>
      <c r="R47" s="1265"/>
      <c r="S47" s="2874" t="str">
        <f>INDEX(PT_DIFFERENTIATION_NUM_CS,MATCH(C47,PT_DIFFERENTIATION_CS_ID,0))</f>
        <v>..</v>
      </c>
      <c r="T47" s="1221" t="s">
        <v>390</v>
      </c>
      <c r="U47" s="1212"/>
      <c r="V47" s="3067"/>
      <c r="W47" s="3067"/>
      <c r="X47" s="3067"/>
      <c r="Y47" s="3067"/>
      <c r="Z47" s="3067"/>
      <c r="AA47" s="3068"/>
      <c r="AB47" s="2868"/>
      <c r="AC47" s="3067"/>
      <c r="AD47" s="3067"/>
      <c r="AE47" s="3067"/>
      <c r="AF47" s="3067"/>
      <c r="AG47" s="3067"/>
      <c r="AH47" s="3067"/>
      <c r="AI47" s="3067"/>
      <c r="AJ47" s="3068"/>
      <c r="AK47" s="2172" t="s">
        <v>391</v>
      </c>
      <c r="AM47" s="2539"/>
      <c r="AN47" s="2539" t="str">
        <f>IF(T47="","",T47)</f>
        <v>Наименование системы теплоснабжения </v>
      </c>
      <c r="AO47" s="2539"/>
      <c r="AP47" s="2539"/>
    </row>
    <row customHeight="1" ht="21">
      <c r="A48" s="2182" t="s">
        <v>197</v>
      </c>
      <c r="B48" s="2182" t="s">
        <v>198</v>
      </c>
      <c r="C48" s="2182" t="s">
        <v>199</v>
      </c>
      <c r="D48" s="2182" t="s">
        <v>200</v>
      </c>
      <c r="E48" s="3114"/>
      <c r="F48" s="3114"/>
      <c r="G48" s="3114"/>
      <c r="H48" s="3113">
        <v>1</v>
      </c>
      <c r="I48" s="2182"/>
      <c r="J48" s="2182"/>
      <c r="K48" s="2182"/>
      <c r="L48" s="2225"/>
      <c r="M48" s="2525"/>
      <c r="N48" s="2525"/>
      <c r="O48" s="2525"/>
      <c r="P48" s="2327"/>
      <c r="Q48" s="2326"/>
      <c r="R48" s="1265"/>
      <c r="S48" s="2874" t="str">
        <f>INDEX(PT_DIFFERENTIATION_NUM_IST_TE,MATCH(D48,PT_DIFFERENTIATION_IST_TE_ID,0))</f>
        <v>...</v>
      </c>
      <c r="T48" s="1222" t="s">
        <v>392</v>
      </c>
      <c r="U48" s="1212"/>
      <c r="V48" s="3067"/>
      <c r="W48" s="3067"/>
      <c r="X48" s="3067"/>
      <c r="Y48" s="3067"/>
      <c r="Z48" s="3067"/>
      <c r="AA48" s="3068"/>
      <c r="AB48" s="2868"/>
      <c r="AC48" s="3067"/>
      <c r="AD48" s="3067"/>
      <c r="AE48" s="3067"/>
      <c r="AF48" s="3067"/>
      <c r="AG48" s="3067"/>
      <c r="AH48" s="3067"/>
      <c r="AI48" s="3067"/>
      <c r="AJ48" s="3068"/>
      <c r="AK48" s="2172" t="s">
        <v>393</v>
      </c>
      <c r="AM48" s="2539"/>
      <c r="AN48" s="2539" t="str">
        <f>IF(T48="","",T48)</f>
        <v>Источник тепловой энергии  </v>
      </c>
      <c r="AO48" s="2539"/>
      <c r="AP48" s="2539"/>
    </row>
    <row s="40255" customFormat="1" customHeight="1" ht="0">
      <c r="A49" s="2290" t="s">
        <v>197</v>
      </c>
      <c r="B49" s="2290" t="s">
        <v>198</v>
      </c>
      <c r="C49" s="2290" t="s">
        <v>199</v>
      </c>
      <c r="D49" s="2290" t="s">
        <v>200</v>
      </c>
      <c r="E49" s="3114"/>
      <c r="F49" s="3114"/>
      <c r="G49" s="3114"/>
      <c r="H49" s="3114"/>
      <c r="I49" s="2953" t="str">
        <f>S48&amp;".1"</f>
        <v>....1</v>
      </c>
      <c r="J49" s="2290"/>
      <c r="K49" s="2290"/>
      <c r="L49" s="2296" t="s">
        <v>394</v>
      </c>
      <c r="M49" s="2160"/>
      <c r="N49" s="2160"/>
      <c r="O49" s="2160"/>
      <c r="P49" s="3081">
        <v>1</v>
      </c>
      <c r="Q49" s="2870"/>
      <c r="R49" s="1268"/>
      <c r="S49" s="1955"/>
      <c r="T49" s="2298"/>
      <c r="U49" s="2299"/>
      <c r="V49" s="3121"/>
      <c r="W49" s="3121"/>
      <c r="X49" s="3121"/>
      <c r="Y49" s="3121"/>
      <c r="Z49" s="3121"/>
      <c r="AA49" s="3122"/>
      <c r="AB49" s="2876"/>
      <c r="AC49" s="3121"/>
      <c r="AD49" s="3121"/>
      <c r="AE49" s="3121"/>
      <c r="AF49" s="3121"/>
      <c r="AG49" s="3121"/>
      <c r="AH49" s="3121"/>
      <c r="AI49" s="3121"/>
      <c r="AJ49" s="3122"/>
      <c r="AK49" s="2300"/>
      <c r="AM49" s="2539"/>
      <c r="AN49" s="2539" t="str">
        <f>IF(T49="","",T49)</f>
        <v/>
      </c>
      <c r="AO49" s="2539"/>
      <c r="AP49" s="2539"/>
    </row>
    <row s="40255" customFormat="1" customHeight="1" ht="0">
      <c r="A50" s="2290" t="s">
        <v>197</v>
      </c>
      <c r="B50" s="2290" t="s">
        <v>198</v>
      </c>
      <c r="C50" s="2290" t="s">
        <v>199</v>
      </c>
      <c r="D50" s="2290" t="s">
        <v>200</v>
      </c>
      <c r="E50" s="3114"/>
      <c r="F50" s="3114"/>
      <c r="G50" s="3114"/>
      <c r="H50" s="3114"/>
      <c r="I50" s="2927"/>
      <c r="J50" s="2953" t="str">
        <f>S48&amp;".1"</f>
        <v>....1</v>
      </c>
      <c r="K50" s="2290"/>
      <c r="L50" s="2296"/>
      <c r="M50" s="2160"/>
      <c r="N50" s="2160"/>
      <c r="O50" s="2160"/>
      <c r="P50" s="3081"/>
      <c r="Q50" s="3081">
        <v>1</v>
      </c>
      <c r="R50" s="1269"/>
      <c r="S50" s="1955"/>
      <c r="T50" s="2314"/>
      <c r="U50" s="2299"/>
      <c r="V50" s="3121"/>
      <c r="W50" s="3121"/>
      <c r="X50" s="3121"/>
      <c r="Y50" s="3121"/>
      <c r="Z50" s="3121"/>
      <c r="AA50" s="3122"/>
      <c r="AB50" s="2876"/>
      <c r="AC50" s="3121"/>
      <c r="AD50" s="3121"/>
      <c r="AE50" s="3121"/>
      <c r="AF50" s="3121"/>
      <c r="AG50" s="3121"/>
      <c r="AH50" s="3121"/>
      <c r="AI50" s="3121"/>
      <c r="AJ50" s="3122"/>
      <c r="AK50" s="2300"/>
      <c r="AM50" s="2539"/>
      <c r="AN50" s="2539" t="str">
        <f>IF(T50="","",T50)</f>
        <v/>
      </c>
      <c r="AO50" s="2539"/>
      <c r="AP50" s="2539"/>
    </row>
    <row customHeight="1" ht="21">
      <c r="A51" s="2182" t="s">
        <v>197</v>
      </c>
      <c r="B51" s="2182" t="s">
        <v>198</v>
      </c>
      <c r="C51" s="2182" t="s">
        <v>199</v>
      </c>
      <c r="D51" s="2182" t="s">
        <v>200</v>
      </c>
      <c r="E51" s="3114"/>
      <c r="F51" s="3114"/>
      <c r="G51" s="3114"/>
      <c r="H51" s="3114"/>
      <c r="I51" s="2927"/>
      <c r="J51" s="2927"/>
      <c r="K51" s="2857" t="str">
        <f>S48&amp;".1"</f>
        <v>....1</v>
      </c>
      <c r="L51" s="2225"/>
      <c r="P51" s="3081"/>
      <c r="Q51" s="3081"/>
      <c r="R51" s="1269">
        <v>1</v>
      </c>
      <c r="S51" s="2878" t="str">
        <f>$K51</f>
        <v>....1</v>
      </c>
      <c r="T51" s="2877"/>
      <c r="U51" s="1212"/>
      <c r="V51" s="1663"/>
      <c r="W51" s="2171"/>
      <c r="X51" s="2871"/>
      <c r="Y51" s="2858" t="s">
        <v>62</v>
      </c>
      <c r="Z51" s="2871"/>
      <c r="AA51" s="2858" t="s">
        <v>62</v>
      </c>
      <c r="AB51" s="2880"/>
      <c r="AC51" s="2879" t="s">
        <v>18</v>
      </c>
      <c r="AD51" s="1663"/>
      <c r="AE51" s="2171"/>
      <c r="AF51" s="2871"/>
      <c r="AG51" s="2858" t="s">
        <v>62</v>
      </c>
      <c r="AH51" s="2871"/>
      <c r="AI51" s="2858" t="s">
        <v>62</v>
      </c>
      <c r="AJ51" s="2263"/>
      <c r="AK51" s="3077" t="s">
        <v>472</v>
      </c>
      <c r="AL51" s="2551">
        <f>STRCHECKDATE(#REF!)</f>
      </c>
      <c r="AM51" s="2539"/>
      <c r="AN51" s="2539" t="str">
        <f>IF(T51="","",T51)</f>
        <v/>
      </c>
      <c r="AO51" s="2539"/>
      <c r="AP51" s="2539"/>
    </row>
    <row customHeight="1" ht="11.25">
      <c r="A52" s="2182" t="s">
        <v>197</v>
      </c>
      <c r="B52" s="2182" t="s">
        <v>198</v>
      </c>
      <c r="C52" s="2182" t="s">
        <v>199</v>
      </c>
      <c r="D52" s="2182" t="s">
        <v>200</v>
      </c>
      <c r="E52" s="3114"/>
      <c r="F52" s="3114"/>
      <c r="G52" s="3114"/>
      <c r="H52" s="3114"/>
      <c r="I52" s="2927"/>
      <c r="J52" s="2953"/>
      <c r="K52" s="2182"/>
      <c r="L52" s="2225"/>
      <c r="P52" s="3081"/>
      <c r="Q52" s="3081"/>
      <c r="R52" s="1268"/>
      <c r="S52" s="2193"/>
      <c r="T52" s="1199" t="s">
        <v>459</v>
      </c>
      <c r="U52" s="1512"/>
      <c r="V52" s="1512"/>
      <c r="W52" s="1512"/>
      <c r="X52" s="1512"/>
      <c r="Y52" s="1512"/>
      <c r="Z52" s="1512"/>
      <c r="AA52" s="1236"/>
      <c r="AB52" s="1512"/>
      <c r="AC52" s="1512"/>
      <c r="AD52" s="1512"/>
      <c r="AE52" s="1512"/>
      <c r="AF52" s="1512"/>
      <c r="AG52" s="1512"/>
      <c r="AH52" s="1512"/>
      <c r="AI52" s="1512"/>
      <c r="AJ52" s="1236"/>
      <c r="AK52" s="3079"/>
      <c r="AM52" s="2539"/>
      <c r="AN52" s="2539" t="str">
        <f>IF(T52="","",T52)</f>
        <v>Добавить строку</v>
      </c>
      <c r="AO52" s="2539"/>
      <c r="AP52" s="2539"/>
    </row>
    <row s="40255" customFormat="1" customHeight="1" ht="5.25">
      <c r="A53" s="2290" t="s">
        <v>197</v>
      </c>
      <c r="B53" s="2290" t="s">
        <v>198</v>
      </c>
      <c r="C53" s="2290" t="s">
        <v>199</v>
      </c>
      <c r="D53" s="2290" t="s">
        <v>200</v>
      </c>
      <c r="E53" s="3114"/>
      <c r="F53" s="3114"/>
      <c r="G53" s="3114"/>
      <c r="H53" s="3114"/>
      <c r="I53" s="2953"/>
      <c r="J53" s="2290"/>
      <c r="K53" s="2290"/>
      <c r="L53" s="2296"/>
      <c r="M53" s="2160"/>
      <c r="N53" s="2160"/>
      <c r="O53" s="2160"/>
      <c r="P53" s="3081"/>
      <c r="Q53" s="2870"/>
      <c r="R53" s="1268"/>
      <c r="S53" s="2301"/>
      <c r="T53" s="2302" t="s">
        <v>403</v>
      </c>
      <c r="U53" s="2303"/>
      <c r="V53" s="2303"/>
      <c r="W53" s="2303"/>
      <c r="X53" s="2303"/>
      <c r="Y53" s="2303"/>
      <c r="Z53" s="2303"/>
      <c r="AA53" s="2303"/>
      <c r="AB53" s="2303"/>
      <c r="AC53" s="2303"/>
      <c r="AD53" s="2303"/>
      <c r="AE53" s="2303"/>
      <c r="AF53" s="2303"/>
      <c r="AG53" s="2303"/>
      <c r="AH53" s="2303"/>
      <c r="AI53" s="2303"/>
      <c r="AJ53" s="2303"/>
      <c r="AK53" s="2304"/>
      <c r="AM53" s="2539"/>
      <c r="AN53" s="2539" t="str">
        <f>IF(T53="","",T53)</f>
        <v>Добавить группу потребителей</v>
      </c>
      <c r="AO53" s="2539"/>
      <c r="AP53" s="2539"/>
    </row>
    <row s="40252" customFormat="1" customHeight="1" ht="5.25">
      <c r="A54" s="2290" t="s">
        <v>197</v>
      </c>
      <c r="B54" s="2290" t="s">
        <v>198</v>
      </c>
      <c r="C54" s="2290" t="s">
        <v>199</v>
      </c>
      <c r="D54" s="2290" t="s">
        <v>200</v>
      </c>
      <c r="E54" s="3114"/>
      <c r="F54" s="3114"/>
      <c r="G54" s="3114"/>
      <c r="H54" s="3113"/>
      <c r="I54" s="2290"/>
      <c r="J54" s="2290"/>
      <c r="K54" s="2290"/>
      <c r="L54" s="2296"/>
      <c r="M54" s="2293"/>
      <c r="N54" s="2293"/>
      <c r="O54" s="1263"/>
      <c r="P54" s="1292"/>
      <c r="Q54" s="2259"/>
      <c r="R54" s="2315"/>
      <c r="S54" s="2301"/>
      <c r="T54" s="2302"/>
      <c r="U54" s="2303"/>
      <c r="V54" s="2303"/>
      <c r="W54" s="2303"/>
      <c r="X54" s="2303"/>
      <c r="Y54" s="2303"/>
      <c r="Z54" s="2303"/>
      <c r="AA54" s="2303"/>
      <c r="AB54" s="2303"/>
      <c r="AC54" s="2303"/>
      <c r="AD54" s="2303"/>
      <c r="AE54" s="2303"/>
      <c r="AF54" s="2303"/>
      <c r="AG54" s="2303"/>
      <c r="AH54" s="2303"/>
      <c r="AI54" s="2303"/>
      <c r="AJ54" s="2303"/>
      <c r="AK54" s="2304"/>
      <c r="AL54" s="2551"/>
      <c r="AM54" s="2539"/>
      <c r="AN54" s="2539" t="str">
        <f>IF(T54="","",T54)</f>
        <v/>
      </c>
      <c r="AO54" s="2539"/>
      <c r="AP54" s="2539"/>
    </row>
    <row s="40235" customFormat="1" customHeight="1" ht="5.25">
      <c r="A55" s="2290" t="s">
        <v>197</v>
      </c>
      <c r="B55" s="2290" t="s">
        <v>198</v>
      </c>
      <c r="C55" s="2290" t="s">
        <v>199</v>
      </c>
      <c r="D55" s="2289"/>
      <c r="E55" s="3114"/>
      <c r="F55" s="3114"/>
      <c r="G55" s="3113"/>
      <c r="H55" s="2289"/>
      <c r="I55" s="2289"/>
      <c r="J55" s="2289"/>
      <c r="K55" s="2289"/>
      <c r="L55" s="2292"/>
      <c r="M55" s="2293"/>
      <c r="N55" s="2293"/>
      <c r="O55" s="1263"/>
      <c r="P55" s="2231"/>
      <c r="Q55" s="2232"/>
      <c r="R55" s="2231"/>
      <c r="S55" s="2237"/>
      <c r="T55" s="2240" t="s">
        <v>405</v>
      </c>
      <c r="U55" s="2239"/>
      <c r="V55" s="2239"/>
      <c r="W55" s="2239"/>
      <c r="X55" s="2239"/>
      <c r="Y55" s="2239"/>
      <c r="Z55" s="2239"/>
      <c r="AA55" s="2239"/>
      <c r="AB55" s="2239"/>
      <c r="AC55" s="2239"/>
      <c r="AD55" s="2239"/>
      <c r="AE55" s="2239"/>
      <c r="AF55" s="2239"/>
      <c r="AG55" s="2239"/>
      <c r="AH55" s="2239"/>
      <c r="AI55" s="2239"/>
      <c r="AJ55" s="2239"/>
      <c r="AK55" s="2239"/>
      <c r="AM55" s="2165"/>
      <c r="AN55" s="2165" t="str">
        <f>IF(T55="","",T55)</f>
        <v>Добавить источник для дифференциации</v>
      </c>
      <c r="AO55" s="2165"/>
      <c r="AP55" s="2165"/>
    </row>
    <row s="40235" customFormat="1" customHeight="1" ht="5.25">
      <c r="A56" s="2290" t="s">
        <v>197</v>
      </c>
      <c r="B56" s="2290" t="s">
        <v>198</v>
      </c>
      <c r="C56" s="2289"/>
      <c r="D56" s="2289"/>
      <c r="E56" s="3114"/>
      <c r="F56" s="3113"/>
      <c r="G56" s="2289"/>
      <c r="H56" s="2289"/>
      <c r="I56" s="2289"/>
      <c r="J56" s="2289"/>
      <c r="K56" s="2289"/>
      <c r="L56" s="2292"/>
      <c r="M56" s="2294"/>
      <c r="N56" s="2294"/>
      <c r="O56" s="1263"/>
      <c r="P56" s="2231"/>
      <c r="Q56" s="2232"/>
      <c r="R56" s="2231"/>
      <c r="S56" s="2237"/>
      <c r="T56" s="2240" t="s">
        <v>406</v>
      </c>
      <c r="U56" s="2239"/>
      <c r="V56" s="2239"/>
      <c r="W56" s="2239"/>
      <c r="X56" s="2239"/>
      <c r="Y56" s="2239"/>
      <c r="Z56" s="2239"/>
      <c r="AA56" s="2239"/>
      <c r="AB56" s="2239"/>
      <c r="AC56" s="2239"/>
      <c r="AD56" s="2239"/>
      <c r="AE56" s="2239"/>
      <c r="AF56" s="2239"/>
      <c r="AG56" s="2239"/>
      <c r="AH56" s="2239"/>
      <c r="AI56" s="2239"/>
      <c r="AJ56" s="2239"/>
      <c r="AK56" s="2239"/>
      <c r="AM56" s="2165"/>
      <c r="AN56" s="2165" t="str">
        <f>IF(T56="","",T56)</f>
        <v>Добавить централизованную систему для дифференциации</v>
      </c>
      <c r="AO56" s="2165"/>
      <c r="AP56" s="2165"/>
    </row>
    <row s="40255" customFormat="1" customHeight="1" ht="5.25">
      <c r="A57" s="2290" t="s">
        <v>197</v>
      </c>
      <c r="B57" s="2290"/>
      <c r="C57" s="2290"/>
      <c r="D57" s="2290"/>
      <c r="E57" s="3114"/>
      <c r="F57" s="2290"/>
      <c r="G57" s="2290"/>
      <c r="H57" s="2290"/>
      <c r="I57" s="2290"/>
      <c r="J57" s="2290"/>
      <c r="K57" s="2290"/>
      <c r="L57" s="2296"/>
      <c r="M57" s="2294"/>
      <c r="N57" s="2294"/>
      <c r="O57" s="1263"/>
      <c r="P57" s="1292"/>
      <c r="Q57" s="2259"/>
      <c r="R57" s="1292"/>
      <c r="S57" s="2237"/>
      <c r="T57" s="2240" t="s">
        <v>407</v>
      </c>
      <c r="U57" s="2239"/>
      <c r="V57" s="2239"/>
      <c r="W57" s="2239"/>
      <c r="X57" s="2239"/>
      <c r="Y57" s="2239"/>
      <c r="Z57" s="2239"/>
      <c r="AA57" s="2239"/>
      <c r="AB57" s="2239"/>
      <c r="AC57" s="2239"/>
      <c r="AD57" s="2239"/>
      <c r="AE57" s="2239"/>
      <c r="AF57" s="2239"/>
      <c r="AG57" s="2239"/>
      <c r="AH57" s="2239"/>
      <c r="AI57" s="2239"/>
      <c r="AJ57" s="2239"/>
      <c r="AK57" s="2239"/>
      <c r="AM57" s="2539"/>
      <c r="AN57" s="2539" t="str">
        <f>IF(T57="","",T57)</f>
        <v>Добавить территорию для дифференциации</v>
      </c>
      <c r="AO57" s="2539"/>
      <c r="AP57" s="2539"/>
    </row>
    <row s="40255" customFormat="1" customHeight="1" ht="5.25">
      <c r="A58" s="2290" t="s">
        <v>197</v>
      </c>
      <c r="B58" s="2290"/>
      <c r="C58" s="2290"/>
      <c r="D58" s="2290"/>
      <c r="E58" s="3113"/>
      <c r="F58" s="2290"/>
      <c r="G58" s="2290"/>
      <c r="H58" s="2290"/>
      <c r="I58" s="2290"/>
      <c r="J58" s="2290"/>
      <c r="K58" s="2290"/>
      <c r="L58" s="2296"/>
      <c r="M58" s="2294"/>
      <c r="N58" s="2294"/>
      <c r="O58" s="1263"/>
      <c r="P58" s="1292"/>
      <c r="Q58" s="2259"/>
      <c r="R58" s="1292"/>
      <c r="S58" s="2237"/>
      <c r="T58" s="2240" t="s">
        <v>407</v>
      </c>
      <c r="U58" s="2239"/>
      <c r="V58" s="2239"/>
      <c r="W58" s="2239"/>
      <c r="X58" s="2239"/>
      <c r="Y58" s="2239"/>
      <c r="Z58" s="2239"/>
      <c r="AA58" s="2239"/>
      <c r="AB58" s="2239"/>
      <c r="AC58" s="2239"/>
      <c r="AD58" s="2239"/>
      <c r="AE58" s="2239"/>
      <c r="AF58" s="2239"/>
      <c r="AG58" s="2239"/>
      <c r="AH58" s="2239"/>
      <c r="AI58" s="2239"/>
      <c r="AJ58" s="2239"/>
      <c r="AK58" s="2239"/>
      <c r="AM58" s="2539"/>
      <c r="AN58" s="2539" t="str">
        <f>IF(T58="","",T58)</f>
        <v>Добавить территорию для дифференциации</v>
      </c>
      <c r="AO58" s="2539"/>
      <c r="AP58" s="2539"/>
    </row>
    <row s="40235" customFormat="1" customHeight="1" ht="5.25">
      <c r="A59" s="2289"/>
      <c r="B59" s="2289"/>
      <c r="C59" s="2289"/>
      <c r="D59" s="2289"/>
      <c r="E59" s="2290"/>
      <c r="F59" s="2289"/>
      <c r="G59" s="2289"/>
      <c r="H59" s="2289"/>
      <c r="I59" s="2289"/>
      <c r="J59" s="2289"/>
      <c r="K59" s="2289"/>
      <c r="L59" s="2292"/>
      <c r="M59" s="2294"/>
      <c r="N59" s="2294"/>
      <c r="O59" s="1263"/>
      <c r="P59" s="2231"/>
      <c r="Q59" s="2232"/>
      <c r="R59" s="2231"/>
      <c r="S59" s="2237"/>
      <c r="T59" s="2240" t="s">
        <v>439</v>
      </c>
      <c r="U59" s="2239"/>
      <c r="V59" s="2239"/>
      <c r="W59" s="2239"/>
      <c r="X59" s="2239"/>
      <c r="Y59" s="2239"/>
      <c r="Z59" s="2239"/>
      <c r="AA59" s="2239"/>
      <c r="AB59" s="2239"/>
      <c r="AC59" s="2239"/>
      <c r="AD59" s="2239"/>
      <c r="AE59" s="2239"/>
      <c r="AF59" s="2239"/>
      <c r="AG59" s="2239"/>
      <c r="AH59" s="2239"/>
      <c r="AI59" s="2239"/>
      <c r="AJ59" s="2239"/>
      <c r="AK59" s="2239"/>
      <c r="AM59" s="2165"/>
      <c r="AN59" s="2165" t="str">
        <f>IF(T59="","",T59)</f>
        <v>Добавить наименование тарифа</v>
      </c>
      <c r="AO59" s="2165"/>
      <c r="AP59" s="2165"/>
    </row>
    <row customHeight="1" ht="11.25">
      <c r="M60" s="2546"/>
      <c r="N60" s="2546"/>
      <c r="O60" s="2550"/>
      <c r="P60" s="2281"/>
      <c r="Q60" s="2281"/>
      <c r="R60" s="2546"/>
      <c r="S60" s="2546"/>
      <c r="AL60" s="2546"/>
      <c r="AM60" s="2546"/>
      <c r="AN60" s="2546"/>
      <c r="AO60" s="2546"/>
      <c r="AP60" s="2546"/>
    </row>
    <row customHeight="1" ht="18.75">
      <c r="O61" s="2550"/>
      <c r="S61" s="2167"/>
      <c r="T61" s="3109"/>
      <c r="U61" s="3109"/>
      <c r="V61" s="3109"/>
      <c r="W61" s="3109"/>
      <c r="X61" s="3109"/>
      <c r="Y61" s="3109"/>
      <c r="Z61" s="3109"/>
      <c r="AA61" s="3109"/>
      <c r="AB61" s="3109"/>
      <c r="AC61" s="3109"/>
      <c r="AD61" s="3109"/>
      <c r="AE61" s="3109"/>
      <c r="AF61" s="3109"/>
      <c r="AG61" s="3109"/>
      <c r="AH61" s="3109"/>
      <c r="AI61" s="3109"/>
      <c r="AJ61" s="3109"/>
      <c r="AK61" s="3109"/>
    </row>
    <row customHeight="1" ht="19.5">
      <c r="O62" s="2550"/>
      <c r="T62" s="3109"/>
      <c r="U62" s="3109"/>
      <c r="V62" s="3109"/>
      <c r="W62" s="3109"/>
      <c r="X62" s="3109"/>
      <c r="Y62" s="3109"/>
      <c r="Z62" s="3109"/>
      <c r="AA62" s="3109"/>
      <c r="AB62" s="3109"/>
      <c r="AC62" s="3109"/>
      <c r="AD62" s="3109"/>
      <c r="AE62" s="3109"/>
      <c r="AF62" s="3109"/>
      <c r="AG62" s="3109"/>
      <c r="AH62" s="3109"/>
      <c r="AI62" s="3109"/>
      <c r="AJ62" s="3109"/>
      <c r="AK62" s="3109"/>
    </row>
    <row customHeight="1" ht="14.25">
      <c r="O63" s="2550"/>
      <c r="T63" s="2869"/>
      <c r="U63" s="2869"/>
      <c r="V63" s="2869"/>
      <c r="W63" s="2869"/>
      <c r="X63" s="2869"/>
      <c r="Y63" s="2869"/>
      <c r="Z63" s="2869"/>
      <c r="AA63" s="2869"/>
      <c r="AB63" s="2869"/>
      <c r="AC63" s="2869"/>
      <c r="AD63" s="2869"/>
      <c r="AE63" s="2869"/>
      <c r="AF63" s="2869"/>
      <c r="AG63" s="2869"/>
      <c r="AH63" s="2869"/>
      <c r="AI63" s="2869"/>
      <c r="AJ63" s="2869"/>
      <c r="AK63" s="2869"/>
    </row>
    <row customHeight="1" ht="18.75">
      <c r="O64" s="2550"/>
      <c r="T64" s="3109"/>
      <c r="U64" s="3109"/>
      <c r="V64" s="3109"/>
      <c r="W64" s="3109"/>
      <c r="X64" s="3109"/>
      <c r="Y64" s="3109"/>
      <c r="Z64" s="3109"/>
      <c r="AA64" s="3109"/>
      <c r="AB64" s="3109"/>
      <c r="AC64" s="3109"/>
      <c r="AD64" s="3109"/>
      <c r="AE64" s="3109"/>
      <c r="AF64" s="3109"/>
      <c r="AG64" s="3109"/>
      <c r="AH64" s="3109"/>
      <c r="AI64" s="3109"/>
      <c r="AJ64" s="3109"/>
      <c r="AK64" s="3109"/>
    </row>
    <row customHeight="1" ht="15.75">
      <c r="O65" s="2550"/>
      <c r="T65" s="3109"/>
      <c r="U65" s="3109"/>
      <c r="V65" s="3109"/>
      <c r="W65" s="3109"/>
      <c r="X65" s="3109"/>
      <c r="Y65" s="3109"/>
      <c r="Z65" s="3109"/>
      <c r="AA65" s="3109"/>
      <c r="AB65" s="3109"/>
      <c r="AC65" s="3109"/>
      <c r="AD65" s="3109"/>
      <c r="AE65" s="3109"/>
      <c r="AF65" s="3109"/>
      <c r="AG65" s="3109"/>
      <c r="AH65" s="3109"/>
      <c r="AI65" s="3109"/>
      <c r="AJ65" s="3109"/>
      <c r="AK65" s="3109"/>
    </row>
    <row customHeight="1" ht="14.25">
      <c r="O66" s="2550"/>
    </row>
  </sheetData>
  <sheetProtection sort="0" autoFilter="0" insertRows="0" insertColumns="1" deleteRows="0" deleteColumns="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69119D-F37F-5B24-435F-1894762E1E0F}" mc:Ignorable="x14ac xr xr2 xr3">
  <sheetPr>
    <tabColor theme="6" tint="0.4"/>
  </sheetPr>
  <dimension ref="A1:BH80"/>
  <sheetViews>
    <sheetView topLeftCell="R27" showGridLines="0" zoomScale="90" workbookViewId="0">
      <selection activeCell="AS80" sqref="AS80"/>
    </sheetView>
  </sheetViews>
  <sheetFormatPr defaultColWidth="10.57421875" customHeight="1" defaultRowHeight="14.25"/>
  <cols>
    <col min="1" max="1" style="40129" width="11.57421875" hidden="1" customWidth="1"/>
    <col min="2" max="2" style="40129" width="11.00390625" hidden="1" customWidth="1"/>
    <col min="3" max="3" style="40129" width="10.57421875" hidden="1"/>
    <col min="4" max="4" style="40129" width="12.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469" width="19.140625" hidden="1" customWidth="1"/>
    <col min="13" max="14" style="40211" width="12.28125" hidden="1" customWidth="1"/>
    <col min="15" max="15" style="40211" width="23.421875" hidden="1" customWidth="1"/>
    <col min="16" max="16" style="40211" width="3.7109375" hidden="1" customWidth="1"/>
    <col min="17" max="17" style="40384" width="3.7109375" hidden="1" customWidth="1"/>
    <col min="18" max="18" style="40213" width="3.7109375" customWidth="1"/>
    <col min="19" max="19" style="40214" width="12.7109375" customWidth="1"/>
    <col min="20" max="20" style="40215" width="32.00390625" customWidth="1"/>
    <col min="21" max="21" style="40215" width="0.140625" customWidth="1"/>
    <col min="22" max="25" style="40215" width="21.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2" style="40215" width="3.7109375" customWidth="1"/>
    <col min="33" max="33" style="40215" width="24.7109375" customWidth="1"/>
    <col min="34" max="36" style="40215" width="3.7109375" customWidth="1"/>
    <col min="37" max="37" style="40215" width="24.7109375" customWidth="1"/>
    <col min="38" max="40" style="40215" width="3.7109375" customWidth="1"/>
    <col min="41" max="41" style="40215" width="18.8515625" customWidth="1"/>
    <col min="42" max="44" style="40215" width="3.7109375" customWidth="1"/>
    <col min="45" max="45" style="40215" width="18.8515625" customWidth="1"/>
    <col min="46" max="49" style="40215" width="21.7109375" customWidth="1"/>
    <col min="50" max="50" style="40215" width="11.7109375" customWidth="1"/>
    <col min="51" max="51" style="40215" width="3.7109375" customWidth="1"/>
    <col min="52" max="52" style="40215" width="11.7109375" customWidth="1"/>
    <col min="53" max="53" style="40215" width="8.57421875" hidden="1" customWidth="1"/>
    <col min="54" max="54" style="40215" width="4.7109375" customWidth="1"/>
    <col min="55" max="55" style="40215" width="115.7109375" customWidth="1"/>
    <col min="56" max="57" style="40202" width="10.57421875"/>
    <col min="58" max="58" style="40202" width="11.140625" customWidth="1"/>
    <col min="59" max="60" style="40202"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380">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380">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42" hidden="1">
      <c r="A4" s="2278"/>
      <c r="B4" s="2278"/>
      <c r="C4" s="2278"/>
      <c r="D4" s="2278"/>
      <c r="E4" s="3083"/>
      <c r="F4" s="3083"/>
      <c r="G4" s="3082">
        <v>1</v>
      </c>
      <c r="H4" s="2278"/>
      <c r="I4" s="2278"/>
      <c r="J4" s="2278"/>
      <c r="K4" s="2278"/>
      <c r="L4" s="2279"/>
      <c r="M4" s="2280"/>
      <c r="N4" s="2280"/>
      <c r="O4" s="2280"/>
      <c r="P4" s="2327"/>
      <c r="Q4" s="2326"/>
      <c r="R4" s="1265"/>
      <c r="S4" s="2380">
        <f>INDEX(PT_DIFFERENTIATION_NUM_CS,MATCH(C4,PT_DIFFERENTIATION_CS_ID,0))</f>
      </c>
      <c r="T4" s="1221" t="s">
        <v>473</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474</v>
      </c>
      <c r="BE4" s="1412"/>
      <c r="BF4" s="1412" t="str">
        <f>IF(T4="","",T4)</f>
        <v>Наименование централизованной системы холодного водоснабжения</v>
      </c>
      <c r="BG4" s="1412"/>
      <c r="BH4" s="1412"/>
    </row>
    <row s="40202"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40202"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77"/>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40202"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74" t="s">
        <v>62</v>
      </c>
      <c r="AB8" s="2649"/>
      <c r="AC8" s="2374" t="s">
        <v>62</v>
      </c>
      <c r="AD8" s="3009" t="s">
        <v>62</v>
      </c>
      <c r="AE8" s="3143"/>
      <c r="AF8" s="3029">
        <v>1</v>
      </c>
      <c r="AG8" s="3180"/>
      <c r="AH8" s="2933" t="s">
        <v>62</v>
      </c>
      <c r="AI8" s="3143"/>
      <c r="AJ8" s="3029">
        <v>1</v>
      </c>
      <c r="AK8" s="3179" t="s">
        <v>18</v>
      </c>
      <c r="AL8" s="2933" t="s">
        <v>62</v>
      </c>
      <c r="AM8" s="3016"/>
      <c r="AN8" s="3029">
        <v>1</v>
      </c>
      <c r="AO8" s="3173"/>
      <c r="AP8" s="3174" t="s">
        <v>62</v>
      </c>
      <c r="AQ8" s="1223"/>
      <c r="AR8" s="2378">
        <v>1</v>
      </c>
      <c r="AS8" s="2381" t="s">
        <v>18</v>
      </c>
      <c r="AT8" s="1663"/>
      <c r="AU8" s="2171"/>
      <c r="AV8" s="1663"/>
      <c r="AW8" s="2171"/>
      <c r="AX8" s="2649"/>
      <c r="AY8" s="2374" t="s">
        <v>62</v>
      </c>
      <c r="AZ8" s="2649"/>
      <c r="BA8" s="237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495</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496</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40202" customFormat="1" customHeight="1" ht="14.25" hidden="1">
      <c r="A14" s="2258"/>
      <c r="B14" s="2258"/>
      <c r="C14" s="2258"/>
      <c r="D14" s="2258"/>
      <c r="E14" s="3083"/>
      <c r="F14" s="3083"/>
      <c r="G14" s="3083"/>
      <c r="H14" s="3083"/>
      <c r="I14" s="3080"/>
      <c r="J14" s="2258"/>
      <c r="K14" s="2258"/>
      <c r="L14" s="2261"/>
      <c r="M14" s="1422"/>
      <c r="N14" s="1422"/>
      <c r="O14" s="1422"/>
      <c r="P14" s="3081"/>
      <c r="Q14" s="2377"/>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40202"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40110" customFormat="1" customHeight="1" ht="14.25" hidden="1">
      <c r="A16" s="2258"/>
      <c r="B16" s="2258"/>
      <c r="C16" s="2258"/>
      <c r="D16" s="2229"/>
      <c r="E16" s="3083"/>
      <c r="F16" s="3083"/>
      <c r="G16" s="3082"/>
      <c r="H16" s="2229"/>
      <c r="I16" s="2229"/>
      <c r="J16" s="2229"/>
      <c r="K16" s="2229"/>
      <c r="L16" s="237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40110" customFormat="1" customHeight="1" ht="14.25" hidden="1">
      <c r="A17" s="2258"/>
      <c r="B17" s="2258"/>
      <c r="C17" s="2229"/>
      <c r="D17" s="2229"/>
      <c r="E17" s="3083"/>
      <c r="F17" s="3082"/>
      <c r="G17" s="2229"/>
      <c r="H17" s="2229"/>
      <c r="I17" s="2229"/>
      <c r="J17" s="2229"/>
      <c r="K17" s="2229"/>
      <c r="L17" s="237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40202"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375" t="s">
        <v>62</v>
      </c>
      <c r="AZ20" s="2651"/>
      <c r="BA20" s="2375"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358"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0143"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40143"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40143"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40143"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0143"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40143"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40143"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369"/>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500</v>
      </c>
      <c r="AE41" s="3115"/>
      <c r="AF41" s="3115"/>
      <c r="AG41" s="3146"/>
      <c r="AH41" s="3145" t="s">
        <v>501</v>
      </c>
      <c r="AI41" s="3115"/>
      <c r="AJ41" s="3115"/>
      <c r="AK41" s="3146"/>
      <c r="AL41" s="3145" t="s">
        <v>502</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504</v>
      </c>
      <c r="AU42" s="3017"/>
      <c r="AV42" s="3016" t="s">
        <v>505</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63" t="s">
        <v>470</v>
      </c>
      <c r="W44" s="2363" t="s">
        <v>471</v>
      </c>
      <c r="X44" s="2363" t="s">
        <v>470</v>
      </c>
      <c r="Y44" s="2363" t="s">
        <v>471</v>
      </c>
      <c r="Z44" s="2370"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63" t="s">
        <v>470</v>
      </c>
      <c r="AU44" s="2363" t="s">
        <v>471</v>
      </c>
      <c r="AV44" s="2363" t="s">
        <v>470</v>
      </c>
      <c r="AW44" s="2363" t="s">
        <v>471</v>
      </c>
      <c r="AX44" s="2370" t="s">
        <v>437</v>
      </c>
      <c r="AY44" s="3094" t="s">
        <v>438</v>
      </c>
      <c r="AZ44" s="3095"/>
      <c r="BA44" s="3103"/>
      <c r="BB44" s="3106"/>
      <c r="BC44" s="2953"/>
    </row>
    <row s="39960" customFormat="1" customHeight="1" ht="11.25" hidden="1">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66">
        <f>OFFSET(V45,0,-1)+1</f>
        <v>3</v>
      </c>
      <c r="W45" s="2366">
        <f>OFFSET(W45,0,-1)+1</f>
        <v>4</v>
      </c>
      <c r="X45" s="2366">
        <f>OFFSET(X45,0,-1)+1</f>
        <v>5</v>
      </c>
      <c r="Y45" s="2366">
        <f>OFFSET(Y45,0,-1)+1</f>
        <v>6</v>
      </c>
      <c r="Z45" s="2366">
        <f>OFFSET(Z45,0,-1)+1</f>
        <v>7</v>
      </c>
      <c r="AA45" s="3096">
        <f>OFFSET(AA45,0,-1)+1</f>
        <v>8</v>
      </c>
      <c r="AB45" s="3096"/>
      <c r="AC45" s="2366">
        <f>OFFSET(AC45,0,-2)+1</f>
        <v>9</v>
      </c>
      <c r="AD45" s="2366">
        <f>OFFSET(AD45,0,-1)+1</f>
        <v>10</v>
      </c>
      <c r="AE45" s="2366"/>
      <c r="AF45" s="2366"/>
      <c r="AG45" s="2366"/>
      <c r="AH45" s="2366"/>
      <c r="AI45" s="2366"/>
      <c r="AJ45" s="2366"/>
      <c r="AK45" s="2366"/>
      <c r="AL45" s="2366"/>
      <c r="AM45" s="2366"/>
      <c r="AN45" s="2366"/>
      <c r="AO45" s="2366"/>
      <c r="AP45" s="2366"/>
      <c r="AQ45" s="2366"/>
      <c r="AR45" s="2366"/>
      <c r="AS45" s="2366"/>
      <c r="AT45" s="2366"/>
      <c r="AU45" s="2366"/>
      <c r="AV45" s="2366"/>
      <c r="AW45" s="2366">
        <f>OFFSET(AW45,0,-1)+1</f>
        <v>1</v>
      </c>
      <c r="AX45" s="2366">
        <f>OFFSET(AX45,0,-1)+1</f>
        <v>2</v>
      </c>
      <c r="AY45" s="3096">
        <f>OFFSET(AY45,0,-1)+1</f>
        <v>3</v>
      </c>
      <c r="AZ45" s="3096"/>
      <c r="BA45" s="2366">
        <f>OFFSET(BA45,0,-2)+1</f>
        <v>4</v>
      </c>
      <c r="BB45" s="2159">
        <f>OFFSET(BB45,0,-1)</f>
        <v>4</v>
      </c>
      <c r="BC45" s="2366">
        <f>OFFSET(BC45,0,-1)+1</f>
        <v>5</v>
      </c>
      <c r="BD45" s="1423"/>
      <c r="BE45" s="1423"/>
      <c r="BF45" s="1423"/>
      <c r="BG45" s="1423"/>
      <c r="BH45" s="1423"/>
    </row>
    <row customHeight="1" ht="21">
      <c r="A46" s="2278" t="s">
        <v>237</v>
      </c>
      <c r="B46" s="2278"/>
      <c r="C46" s="2278"/>
      <c r="D46" s="2278"/>
      <c r="E46" s="3082">
        <v>1</v>
      </c>
      <c r="F46" s="2278"/>
      <c r="G46" s="2278"/>
      <c r="H46" s="2278"/>
      <c r="I46" s="2278"/>
      <c r="J46" s="2278"/>
      <c r="K46" s="2278"/>
      <c r="L46" s="2279"/>
      <c r="M46" s="2280"/>
      <c r="N46" s="2280"/>
      <c r="O46" s="2280"/>
      <c r="P46" s="2324"/>
      <c r="Q46" s="1785"/>
      <c r="R46" s="1267"/>
      <c r="S46" s="2372">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237</v>
      </c>
      <c r="B47" s="2278" t="s">
        <v>238</v>
      </c>
      <c r="C47" s="2278"/>
      <c r="D47" s="2278"/>
      <c r="E47" s="3083"/>
      <c r="F47" s="3082">
        <v>1</v>
      </c>
      <c r="G47" s="2278"/>
      <c r="H47" s="2278"/>
      <c r="I47" s="2278"/>
      <c r="J47" s="2278"/>
      <c r="K47" s="2278"/>
      <c r="L47" s="2279"/>
      <c r="M47" s="2280"/>
      <c r="N47" s="2280"/>
      <c r="O47" s="2280"/>
      <c r="P47" s="2325"/>
      <c r="Q47" s="2326"/>
      <c r="R47" s="1265"/>
      <c r="S47" s="2372"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42">
      <c r="A48" s="2278" t="s">
        <v>237</v>
      </c>
      <c r="B48" s="2278" t="s">
        <v>238</v>
      </c>
      <c r="C48" s="2278" t="s">
        <v>239</v>
      </c>
      <c r="D48" s="2278"/>
      <c r="E48" s="3083"/>
      <c r="F48" s="3083"/>
      <c r="G48" s="3082">
        <v>1</v>
      </c>
      <c r="H48" s="2278"/>
      <c r="I48" s="2278"/>
      <c r="J48" s="2278"/>
      <c r="K48" s="2278"/>
      <c r="L48" s="2279"/>
      <c r="M48" s="2280"/>
      <c r="N48" s="2280"/>
      <c r="O48" s="2280"/>
      <c r="P48" s="2327"/>
      <c r="Q48" s="2326"/>
      <c r="R48" s="1265"/>
      <c r="S48" s="2372" t="str">
        <f>INDEX(PT_DIFFERENTIATION_NUM_CS,MATCH(C48,PT_DIFFERENTIATION_CS_ID,0))</f>
        <v>..</v>
      </c>
      <c r="T48" s="1221" t="s">
        <v>473</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474</v>
      </c>
      <c r="BE48" s="1412"/>
      <c r="BF48" s="1412" t="str">
        <f>IF(T48="","",T48)</f>
        <v>Наименование централизованной системы холодного водоснабжения</v>
      </c>
      <c r="BG48" s="1412"/>
      <c r="BH48" s="1412"/>
    </row>
    <row s="40202" customFormat="1" customHeight="1" ht="0">
      <c r="A49" s="2258" t="s">
        <v>237</v>
      </c>
      <c r="B49" s="2258" t="s">
        <v>238</v>
      </c>
      <c r="C49" s="2258" t="s">
        <v>239</v>
      </c>
      <c r="D49" s="2258" t="s">
        <v>507</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40202" customFormat="1" customHeight="1" ht="0">
      <c r="A50" s="2258" t="s">
        <v>237</v>
      </c>
      <c r="B50" s="2258" t="s">
        <v>238</v>
      </c>
      <c r="C50" s="2258" t="s">
        <v>239</v>
      </c>
      <c r="D50" s="2258" t="s">
        <v>507</v>
      </c>
      <c r="E50" s="3083"/>
      <c r="F50" s="3083"/>
      <c r="G50" s="3083"/>
      <c r="H50" s="3083"/>
      <c r="I50" s="3080" t="str">
        <f>S49&amp;".1"</f>
        <v>.1</v>
      </c>
      <c r="J50" s="2258"/>
      <c r="K50" s="2258"/>
      <c r="L50" s="2261" t="s">
        <v>394</v>
      </c>
      <c r="M50" s="1422"/>
      <c r="N50" s="1422"/>
      <c r="O50" s="1422"/>
      <c r="P50" s="3081">
        <v>1</v>
      </c>
      <c r="Q50" s="2377"/>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40202" customFormat="1" customHeight="1" ht="0">
      <c r="A51" s="2258" t="s">
        <v>237</v>
      </c>
      <c r="B51" s="2258" t="s">
        <v>238</v>
      </c>
      <c r="C51" s="2258" t="s">
        <v>239</v>
      </c>
      <c r="D51" s="2258" t="s">
        <v>507</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237</v>
      </c>
      <c r="B52" s="2278" t="s">
        <v>238</v>
      </c>
      <c r="C52" s="2278" t="s">
        <v>239</v>
      </c>
      <c r="D52" s="2278" t="s">
        <v>507</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74" t="s">
        <v>62</v>
      </c>
      <c r="AB52" s="2649"/>
      <c r="AC52" s="237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378">
        <v>1</v>
      </c>
      <c r="AS52" s="2381" t="s">
        <v>18</v>
      </c>
      <c r="AT52" s="1663"/>
      <c r="AU52" s="2171"/>
      <c r="AV52" s="1663"/>
      <c r="AW52" s="2171"/>
      <c r="AX52" s="2649"/>
      <c r="AY52" s="2374" t="s">
        <v>62</v>
      </c>
      <c r="AZ52" s="2649"/>
      <c r="BA52" s="237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237</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495</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237</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496</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237</v>
      </c>
      <c r="B56" s="2278" t="s">
        <v>238</v>
      </c>
      <c r="C56" s="2278" t="s">
        <v>239</v>
      </c>
      <c r="D56" s="2278" t="s">
        <v>507</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237</v>
      </c>
      <c r="B57" s="2278" t="s">
        <v>238</v>
      </c>
      <c r="C57" s="2278" t="s">
        <v>239</v>
      </c>
      <c r="D57" s="2278" t="s">
        <v>507</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40202" customFormat="1" customHeight="1" ht="0">
      <c r="A58" s="2258" t="s">
        <v>237</v>
      </c>
      <c r="B58" s="2258" t="s">
        <v>238</v>
      </c>
      <c r="C58" s="2258" t="s">
        <v>239</v>
      </c>
      <c r="D58" s="2258" t="s">
        <v>507</v>
      </c>
      <c r="E58" s="3083"/>
      <c r="F58" s="3083"/>
      <c r="G58" s="3083"/>
      <c r="H58" s="3083"/>
      <c r="I58" s="3080"/>
      <c r="J58" s="2258"/>
      <c r="K58" s="2258"/>
      <c r="L58" s="2261"/>
      <c r="M58" s="1422"/>
      <c r="N58" s="1422"/>
      <c r="O58" s="1422"/>
      <c r="P58" s="3081"/>
      <c r="Q58" s="2377"/>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40202" customFormat="1" customHeight="1" ht="0">
      <c r="A59" s="2258" t="s">
        <v>237</v>
      </c>
      <c r="B59" s="2258" t="s">
        <v>238</v>
      </c>
      <c r="C59" s="2258" t="s">
        <v>239</v>
      </c>
      <c r="D59" s="2258" t="s">
        <v>507</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40110" customFormat="1" customHeight="1" ht="0">
      <c r="A60" s="2258" t="s">
        <v>237</v>
      </c>
      <c r="B60" s="2258" t="s">
        <v>238</v>
      </c>
      <c r="C60" s="2258" t="s">
        <v>239</v>
      </c>
      <c r="D60" s="2229"/>
      <c r="E60" s="3083"/>
      <c r="F60" s="3083"/>
      <c r="G60" s="3082"/>
      <c r="H60" s="2229"/>
      <c r="I60" s="2229"/>
      <c r="J60" s="2229"/>
      <c r="K60" s="2229"/>
      <c r="L60" s="237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40110" customFormat="1" customHeight="1" ht="0">
      <c r="A61" s="2258" t="s">
        <v>237</v>
      </c>
      <c r="B61" s="2258" t="s">
        <v>238</v>
      </c>
      <c r="C61" s="2229"/>
      <c r="D61" s="2229"/>
      <c r="E61" s="3083"/>
      <c r="F61" s="3082"/>
      <c r="G61" s="2229"/>
      <c r="H61" s="2229"/>
      <c r="I61" s="2229"/>
      <c r="J61" s="2229"/>
      <c r="K61" s="2229"/>
      <c r="L61" s="237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40202" customFormat="1" customHeight="1" ht="0">
      <c r="A62" s="2258" t="s">
        <v>237</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40110" customFormat="1" customHeight="1" ht="0">
      <c r="A63" s="2229"/>
      <c r="B63" s="2229"/>
      <c r="C63" s="2229"/>
      <c r="D63" s="2229"/>
      <c r="E63" s="2258"/>
      <c r="F63" s="2229"/>
      <c r="G63" s="2229"/>
      <c r="H63" s="2229"/>
      <c r="I63" s="2229"/>
      <c r="J63" s="2229"/>
      <c r="K63" s="2229"/>
      <c r="L63" s="237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64"/>
      <c r="U66" s="2364"/>
      <c r="V66" s="2364"/>
      <c r="W66" s="2364"/>
      <c r="X66" s="2364"/>
      <c r="Y66" s="2364"/>
      <c r="Z66" s="2364"/>
      <c r="AA66" s="2364"/>
      <c r="AB66" s="2364"/>
      <c r="AC66" s="2364"/>
      <c r="AD66" s="2364"/>
      <c r="AE66" s="2364"/>
      <c r="AF66" s="2364"/>
      <c r="AG66" s="2364"/>
      <c r="AH66" s="2364"/>
      <c r="AI66" s="2364"/>
      <c r="AJ66" s="2364"/>
      <c r="AK66" s="2364"/>
      <c r="AL66" s="2364"/>
      <c r="AM66" s="2364"/>
      <c r="AN66" s="2364"/>
      <c r="AO66" s="2364"/>
      <c r="AP66" s="2364"/>
      <c r="AQ66" s="2364"/>
      <c r="AR66" s="2364"/>
      <c r="AS66" s="2364"/>
      <c r="AT66" s="2364"/>
      <c r="AU66" s="2364"/>
      <c r="AV66" s="2364"/>
      <c r="AW66" s="2364"/>
      <c r="AX66" s="2364"/>
      <c r="AY66" s="2364"/>
      <c r="AZ66" s="2364"/>
      <c r="BA66" s="2364"/>
      <c r="BB66" s="2364"/>
      <c r="BC66" s="2364"/>
    </row>
    <row customHeight="1" ht="18.7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E2B0C9-9EDC-739F-B60E-7D7D9D5645BE}"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80" width="19.140625" hidden="1" customWidth="1"/>
    <col min="13" max="14" style="40211" width="12.28125" hidden="1" customWidth="1"/>
    <col min="15" max="15" style="40211" width="23.421875" hidden="1" customWidth="1"/>
    <col min="16" max="16" style="40481"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508</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509</v>
      </c>
      <c r="AM4" s="1412"/>
      <c r="AN4" s="1412" t="str">
        <f>IF(T4="","",T4)</f>
        <v>Наименование централизованной системы водоотведения</v>
      </c>
      <c r="AO4" s="1412"/>
      <c r="AP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93"/>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93"/>
      <c r="M19" s="2277"/>
      <c r="N19" s="2277"/>
      <c r="O19" s="2277"/>
      <c r="P19" s="2277"/>
      <c r="Q19" s="2286"/>
      <c r="R19" s="2286"/>
      <c r="S19" s="1641"/>
      <c r="AB19" s="2281"/>
      <c r="AI19" s="2281"/>
      <c r="AL19" s="1423"/>
      <c r="AM19" s="1423"/>
      <c r="AN19" s="1423"/>
      <c r="AO19" s="1423"/>
      <c r="AP19" s="1423"/>
    </row>
    <row s="40129" customFormat="1" customHeight="1" ht="12" hidden="1">
      <c r="L20" s="2393"/>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98" t="s">
        <v>481</v>
      </c>
      <c r="W38" s="3086" t="s">
        <v>426</v>
      </c>
      <c r="X38" s="3087"/>
      <c r="Y38" s="3086" t="s">
        <v>427</v>
      </c>
      <c r="Z38" s="3093"/>
      <c r="AA38" s="3087"/>
      <c r="AB38" s="3102"/>
      <c r="AC38" s="2398" t="s">
        <v>481</v>
      </c>
      <c r="AD38" s="3086" t="s">
        <v>426</v>
      </c>
      <c r="AE38" s="3087"/>
      <c r="AF38" s="3086" t="s">
        <v>427</v>
      </c>
      <c r="AG38" s="3093"/>
      <c r="AH38" s="3087"/>
      <c r="AI38" s="3102"/>
      <c r="AJ38" s="3105"/>
      <c r="AK38" s="2953"/>
    </row>
    <row customHeight="1" ht="86.2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98" t="s">
        <v>510</v>
      </c>
      <c r="W39" s="2136" t="s">
        <v>511</v>
      </c>
      <c r="X39" s="2136" t="s">
        <v>486</v>
      </c>
      <c r="Y39" s="2404" t="s">
        <v>437</v>
      </c>
      <c r="Z39" s="3094" t="s">
        <v>438</v>
      </c>
      <c r="AA39" s="3095"/>
      <c r="AB39" s="3103"/>
      <c r="AC39" s="2398" t="s">
        <v>510</v>
      </c>
      <c r="AD39" s="2136" t="s">
        <v>511</v>
      </c>
      <c r="AE39" s="2136" t="s">
        <v>486</v>
      </c>
      <c r="AF39" s="2404" t="s">
        <v>437</v>
      </c>
      <c r="AG39" s="3094" t="s">
        <v>438</v>
      </c>
      <c r="AH39" s="3095"/>
      <c r="AI39" s="3103"/>
      <c r="AJ39" s="3106"/>
      <c r="AK39" s="2953"/>
    </row>
    <row s="39960" customFormat="1" customHeight="1" ht="11.25" hidden="1">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97">
        <f>OFFSET(V40,0,-1)+1</f>
        <v>3</v>
      </c>
      <c r="W40" s="2397">
        <f>OFFSET(W40,0,-1)+1</f>
        <v>4</v>
      </c>
      <c r="X40" s="2397">
        <f>OFFSET(X40,0,-1)+1</f>
        <v>5</v>
      </c>
      <c r="Y40" s="2397">
        <f>OFFSET(Y40,0,-1)+1</f>
        <v>6</v>
      </c>
      <c r="Z40" s="3096">
        <f>OFFSET(Z40,0,-1)+1</f>
        <v>7</v>
      </c>
      <c r="AA40" s="3096"/>
      <c r="AB40" s="2397">
        <f>OFFSET(AB40,0,-2)+1</f>
        <v>8</v>
      </c>
      <c r="AC40" s="2397">
        <f>OFFSET(AC40,0,-1)+1</f>
        <v>9</v>
      </c>
      <c r="AD40" s="2397">
        <f>OFFSET(AD40,0,-1)+1</f>
        <v>10</v>
      </c>
      <c r="AE40" s="2397">
        <f>OFFSET(AE40,0,-1)+1</f>
        <v>11</v>
      </c>
      <c r="AF40" s="2397">
        <f>OFFSET(AF40,0,-1)+1</f>
        <v>12</v>
      </c>
      <c r="AG40" s="3096">
        <f>OFFSET(AG40,0,-1)+1</f>
        <v>13</v>
      </c>
      <c r="AH40" s="3096"/>
      <c r="AI40" s="2397">
        <f>OFFSET(AI40,0,-2)+1</f>
        <v>14</v>
      </c>
      <c r="AJ40" s="2159">
        <f>OFFSET(AJ40,0,-1)</f>
        <v>14</v>
      </c>
      <c r="AK40" s="2397">
        <f>OFFSET(AK40,0,-1)+1</f>
        <v>15</v>
      </c>
      <c r="AL40" s="1423"/>
      <c r="AM40" s="1423"/>
      <c r="AN40" s="1423"/>
      <c r="AO40" s="1423"/>
      <c r="AP40" s="1423"/>
    </row>
    <row customHeight="1" ht="23.25">
      <c r="A41" s="2278" t="s">
        <v>257</v>
      </c>
      <c r="B41" s="2278"/>
      <c r="C41" s="2278"/>
      <c r="D41" s="2278"/>
      <c r="E41" s="3082">
        <v>1</v>
      </c>
      <c r="F41" s="2278"/>
      <c r="G41" s="2278"/>
      <c r="H41" s="2278"/>
      <c r="I41" s="2278"/>
      <c r="J41" s="2278"/>
      <c r="K41" s="2278"/>
      <c r="L41" s="2279"/>
      <c r="M41" s="2280"/>
      <c r="N41" s="2280"/>
      <c r="O41" s="2280"/>
      <c r="P41" s="1273"/>
      <c r="Q41" s="1272"/>
      <c r="R41" s="1267"/>
      <c r="S41" s="2408">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257</v>
      </c>
      <c r="B42" s="2278" t="s">
        <v>258</v>
      </c>
      <c r="C42" s="2278"/>
      <c r="D42" s="2278"/>
      <c r="E42" s="3083"/>
      <c r="F42" s="3082">
        <v>1</v>
      </c>
      <c r="G42" s="2278"/>
      <c r="H42" s="2278"/>
      <c r="I42" s="2278"/>
      <c r="J42" s="2278"/>
      <c r="K42" s="2278"/>
      <c r="L42" s="2279"/>
      <c r="M42" s="2280"/>
      <c r="N42" s="2280"/>
      <c r="O42" s="2280"/>
      <c r="P42" s="2402"/>
      <c r="Q42" s="1264"/>
      <c r="R42" s="1265"/>
      <c r="S42" s="2408"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257</v>
      </c>
      <c r="B43" s="2278" t="s">
        <v>258</v>
      </c>
      <c r="C43" s="2278" t="s">
        <v>259</v>
      </c>
      <c r="D43" s="2278"/>
      <c r="E43" s="3083"/>
      <c r="F43" s="3083"/>
      <c r="G43" s="3082">
        <v>1</v>
      </c>
      <c r="H43" s="2278"/>
      <c r="I43" s="2278"/>
      <c r="J43" s="2278"/>
      <c r="K43" s="2278"/>
      <c r="L43" s="2279"/>
      <c r="M43" s="2280"/>
      <c r="N43" s="2280"/>
      <c r="O43" s="2280"/>
      <c r="P43" s="1266"/>
      <c r="Q43" s="1264"/>
      <c r="R43" s="1265"/>
      <c r="S43" s="2408" t="str">
        <f>INDEX(PT_DIFFERENTIATION_NUM_CS,MATCH(C43,PT_DIFFERENTIATION_CS_ID,0))</f>
        <v>..</v>
      </c>
      <c r="T43" s="1221" t="s">
        <v>508</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509</v>
      </c>
      <c r="AM43" s="1412"/>
      <c r="AN43" s="1412" t="str">
        <f>IF(T43="","",T43)</f>
        <v>Наименование централизованной системы водоотведения</v>
      </c>
      <c r="AO43" s="1412"/>
      <c r="AP43" s="1412"/>
    </row>
    <row customHeight="1" ht="23.25">
      <c r="A44" s="2278" t="s">
        <v>257</v>
      </c>
      <c r="B44" s="2278" t="s">
        <v>258</v>
      </c>
      <c r="C44" s="2278" t="s">
        <v>259</v>
      </c>
      <c r="D44" s="2278" t="s">
        <v>512</v>
      </c>
      <c r="E44" s="3083"/>
      <c r="F44" s="3083"/>
      <c r="G44" s="3083"/>
      <c r="H44" s="3083"/>
      <c r="I44" s="3080" t="str">
        <f>S43&amp;".1"</f>
        <v>...1</v>
      </c>
      <c r="J44" s="2278"/>
      <c r="K44" s="2278"/>
      <c r="L44" s="2279"/>
      <c r="P44" s="3081">
        <v>1</v>
      </c>
      <c r="Q44" s="2396"/>
      <c r="R44" s="1268"/>
      <c r="S44" s="2408"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257</v>
      </c>
      <c r="B45" s="2278" t="s">
        <v>258</v>
      </c>
      <c r="C45" s="2278" t="s">
        <v>259</v>
      </c>
      <c r="D45" s="2278" t="s">
        <v>512</v>
      </c>
      <c r="E45" s="3083"/>
      <c r="F45" s="3083"/>
      <c r="G45" s="3083"/>
      <c r="H45" s="3083"/>
      <c r="I45" s="3110"/>
      <c r="J45" s="3080" t="str">
        <f>I44&amp;".1"</f>
        <v>...1.1</v>
      </c>
      <c r="K45" s="2278"/>
      <c r="L45" s="2279" t="s">
        <v>397</v>
      </c>
      <c r="P45" s="3081"/>
      <c r="Q45" s="3081">
        <v>1</v>
      </c>
      <c r="R45" s="1269"/>
      <c r="S45" s="2408"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257</v>
      </c>
      <c r="B46" s="2278" t="s">
        <v>258</v>
      </c>
      <c r="C46" s="2278" t="s">
        <v>259</v>
      </c>
      <c r="D46" s="2278" t="s">
        <v>512</v>
      </c>
      <c r="E46" s="3083"/>
      <c r="F46" s="3083"/>
      <c r="G46" s="3083"/>
      <c r="H46" s="3083"/>
      <c r="I46" s="3110"/>
      <c r="J46" s="3110"/>
      <c r="K46" s="3080" t="str">
        <f>J45&amp;".1"</f>
        <v>...1.1.1</v>
      </c>
      <c r="L46" s="2279"/>
      <c r="P46" s="3081"/>
      <c r="Q46" s="3081"/>
      <c r="R46" s="1269">
        <v>1</v>
      </c>
      <c r="S46" s="2408"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257</v>
      </c>
      <c r="B47" s="2278" t="s">
        <v>258</v>
      </c>
      <c r="C47" s="2278" t="s">
        <v>259</v>
      </c>
      <c r="D47" s="2278" t="s">
        <v>512</v>
      </c>
      <c r="E47" s="3083"/>
      <c r="F47" s="3083"/>
      <c r="G47" s="3083"/>
      <c r="H47" s="3083"/>
      <c r="I47" s="3110"/>
      <c r="J47" s="3110"/>
      <c r="K47" s="3080"/>
      <c r="L47" s="2279"/>
      <c r="P47" s="3081"/>
      <c r="Q47" s="3081"/>
      <c r="R47" s="1269"/>
      <c r="S47" s="2405"/>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257</v>
      </c>
      <c r="B48" s="2278" t="s">
        <v>258</v>
      </c>
      <c r="C48" s="2278" t="s">
        <v>259</v>
      </c>
      <c r="D48" s="2278" t="s">
        <v>512</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257</v>
      </c>
      <c r="B49" s="2278" t="s">
        <v>258</v>
      </c>
      <c r="C49" s="2278" t="s">
        <v>259</v>
      </c>
      <c r="D49" s="2278" t="s">
        <v>512</v>
      </c>
      <c r="E49" s="3083"/>
      <c r="F49" s="3083"/>
      <c r="G49" s="3083"/>
      <c r="H49" s="3083"/>
      <c r="I49" s="3080"/>
      <c r="J49" s="2278"/>
      <c r="K49" s="2278"/>
      <c r="L49" s="2279"/>
      <c r="P49" s="3081"/>
      <c r="Q49" s="2396"/>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257</v>
      </c>
      <c r="B50" s="2278" t="s">
        <v>258</v>
      </c>
      <c r="C50" s="2278" t="s">
        <v>259</v>
      </c>
      <c r="D50" s="2278" t="s">
        <v>512</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257</v>
      </c>
      <c r="B51" s="2258" t="s">
        <v>258</v>
      </c>
      <c r="C51" s="2229"/>
      <c r="D51" s="2229"/>
      <c r="E51" s="3083"/>
      <c r="F51" s="3082"/>
      <c r="G51" s="2229"/>
      <c r="H51" s="2229"/>
      <c r="I51" s="2229"/>
      <c r="J51" s="2229"/>
      <c r="K51" s="2229"/>
      <c r="L51" s="2409"/>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257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409"/>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1DA049-2B84-0CF1-5E44-9935CBD0E1F7}"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80" width="19.140625" hidden="1" customWidth="1"/>
    <col min="13" max="14" style="40211" width="12.28125" hidden="1" customWidth="1"/>
    <col min="15" max="15" style="40211" width="23.421875" hidden="1" customWidth="1"/>
    <col min="16" max="16" style="40481" width="3.7109375" customWidth="1"/>
    <col min="17" max="18" style="40213" width="3.7109375" customWidth="1"/>
    <col min="19" max="19" style="40214" width="12.7109375" customWidth="1"/>
    <col min="20" max="20" style="40215" width="35.7109375" customWidth="1"/>
    <col min="21" max="21" style="40215" width="0.140625" customWidth="1"/>
    <col min="22" max="24" style="40215" width="24.7109375" hidden="1" customWidth="1"/>
    <col min="25" max="25" style="40215" width="11.7109375" hidden="1" customWidth="1"/>
    <col min="26" max="26" style="40215" width="3.7109375" hidden="1" customWidth="1"/>
    <col min="27" max="27" style="40215" width="11.7109375" hidden="1" customWidth="1"/>
    <col min="28" max="28" style="40215" width="8.57421875" hidden="1" customWidth="1"/>
    <col min="29" max="31" style="40215" width="24.7109375" customWidth="1"/>
    <col min="32" max="32" style="40215" width="11.7109375" customWidth="1"/>
    <col min="33" max="33" style="40215" width="3.7109375" customWidth="1"/>
    <col min="34" max="34" style="40215" width="11.7109375" customWidth="1"/>
    <col min="35" max="35" style="40215" width="8.57421875" hidden="1" customWidth="1"/>
    <col min="36" max="36" style="40215" width="4.7109375" customWidth="1"/>
    <col min="37" max="37" style="40215" width="115.7109375" customWidth="1"/>
    <col min="38" max="39" style="40202" width="10.57421875"/>
    <col min="40" max="40" style="40202" width="11.140625" customWidth="1"/>
    <col min="41" max="42" style="40202"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508</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509</v>
      </c>
      <c r="AM4" s="1412"/>
      <c r="AN4" s="1412" t="str">
        <f>IF(T4="","",T4)</f>
        <v>Наименование централизованной системы водоотведения</v>
      </c>
      <c r="AO4" s="1412"/>
      <c r="AP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0110"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40129" customFormat="1" customHeight="1" ht="22.5" hidden="1">
      <c r="L18" s="2393"/>
      <c r="M18" s="2277"/>
      <c r="N18" s="2277"/>
      <c r="O18" s="2282" t="s">
        <v>408</v>
      </c>
      <c r="P18" s="2277"/>
      <c r="Q18" s="2286"/>
      <c r="R18" s="2286"/>
      <c r="S18" s="1641"/>
      <c r="Y18" s="2282"/>
      <c r="AA18" s="2282"/>
      <c r="AB18" s="2281"/>
      <c r="AF18" s="2282"/>
      <c r="AH18" s="2282"/>
      <c r="AI18" s="2281"/>
      <c r="AL18" s="1423"/>
      <c r="AM18" s="1423"/>
      <c r="AN18" s="1423"/>
      <c r="AO18" s="1423"/>
      <c r="AP18" s="1423"/>
    </row>
    <row s="40129" customFormat="1" customHeight="1" ht="14.25" hidden="1">
      <c r="L19" s="2393"/>
      <c r="M19" s="2277"/>
      <c r="N19" s="2277"/>
      <c r="O19" s="2277"/>
      <c r="P19" s="2277"/>
      <c r="Q19" s="2286"/>
      <c r="R19" s="2286"/>
      <c r="S19" s="1641"/>
      <c r="AB19" s="2281"/>
      <c r="AI19" s="2281"/>
      <c r="AL19" s="1423"/>
      <c r="AM19" s="1423"/>
      <c r="AN19" s="1423"/>
      <c r="AO19" s="1423"/>
      <c r="AP19" s="1423"/>
    </row>
    <row s="40129" customFormat="1" customHeight="1" ht="12" hidden="1">
      <c r="L20" s="2393"/>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98" t="s">
        <v>481</v>
      </c>
      <c r="W38" s="3086" t="s">
        <v>426</v>
      </c>
      <c r="X38" s="3087"/>
      <c r="Y38" s="3086" t="s">
        <v>427</v>
      </c>
      <c r="Z38" s="3093"/>
      <c r="AA38" s="3087"/>
      <c r="AB38" s="3102"/>
      <c r="AC38" s="2398" t="s">
        <v>481</v>
      </c>
      <c r="AD38" s="3086" t="s">
        <v>426</v>
      </c>
      <c r="AE38" s="3087"/>
      <c r="AF38" s="3086" t="s">
        <v>427</v>
      </c>
      <c r="AG38" s="3093"/>
      <c r="AH38" s="3087"/>
      <c r="AI38" s="3102"/>
      <c r="AJ38" s="3105"/>
      <c r="AK38" s="2953"/>
    </row>
    <row customHeight="1" ht="86.2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98" t="s">
        <v>510</v>
      </c>
      <c r="W39" s="2136" t="s">
        <v>511</v>
      </c>
      <c r="X39" s="2136" t="s">
        <v>486</v>
      </c>
      <c r="Y39" s="2404" t="s">
        <v>437</v>
      </c>
      <c r="Z39" s="3094" t="s">
        <v>438</v>
      </c>
      <c r="AA39" s="3095"/>
      <c r="AB39" s="3103"/>
      <c r="AC39" s="2398" t="s">
        <v>510</v>
      </c>
      <c r="AD39" s="2136" t="s">
        <v>511</v>
      </c>
      <c r="AE39" s="2136" t="s">
        <v>486</v>
      </c>
      <c r="AF39" s="2404" t="s">
        <v>437</v>
      </c>
      <c r="AG39" s="3094" t="s">
        <v>438</v>
      </c>
      <c r="AH39" s="3095"/>
      <c r="AI39" s="3103"/>
      <c r="AJ39" s="3106"/>
      <c r="AK39" s="2953"/>
    </row>
    <row s="39960"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97">
        <f>OFFSET(V40,0,-1)+1</f>
        <v>3</v>
      </c>
      <c r="W40" s="2397">
        <f>OFFSET(W40,0,-1)+1</f>
        <v>4</v>
      </c>
      <c r="X40" s="2397">
        <f>OFFSET(X40,0,-1)+1</f>
        <v>5</v>
      </c>
      <c r="Y40" s="2397">
        <f>OFFSET(Y40,0,-1)+1</f>
        <v>6</v>
      </c>
      <c r="Z40" s="3096">
        <f>OFFSET(Z40,0,-1)+1</f>
        <v>7</v>
      </c>
      <c r="AA40" s="3096"/>
      <c r="AB40" s="2397">
        <f>OFFSET(AB40,0,-2)+1</f>
        <v>8</v>
      </c>
      <c r="AC40" s="2397">
        <f>OFFSET(AC40,0,-1)+1</f>
        <v>9</v>
      </c>
      <c r="AD40" s="2397">
        <f>OFFSET(AD40,0,-1)+1</f>
        <v>10</v>
      </c>
      <c r="AE40" s="2397">
        <f>OFFSET(AE40,0,-1)+1</f>
        <v>11</v>
      </c>
      <c r="AF40" s="2397">
        <f>OFFSET(AF40,0,-1)+1</f>
        <v>12</v>
      </c>
      <c r="AG40" s="3096">
        <f>OFFSET(AG40,0,-1)+1</f>
        <v>13</v>
      </c>
      <c r="AH40" s="3096"/>
      <c r="AI40" s="2397">
        <f>OFFSET(AI40,0,-2)+1</f>
        <v>14</v>
      </c>
      <c r="AJ40" s="2159">
        <f>OFFSET(AJ40,0,-1)</f>
        <v>14</v>
      </c>
      <c r="AK40" s="2397">
        <f>OFFSET(AK40,0,-1)+1</f>
        <v>15</v>
      </c>
      <c r="AL40" s="1423"/>
      <c r="AM40" s="1423"/>
      <c r="AN40" s="1423"/>
      <c r="AO40" s="1423"/>
      <c r="AP40" s="1423"/>
    </row>
    <row customHeight="1" ht="23.25">
      <c r="A41" s="2278" t="s">
        <v>262</v>
      </c>
      <c r="B41" s="2278"/>
      <c r="C41" s="2278"/>
      <c r="D41" s="2278"/>
      <c r="E41" s="3082">
        <v>1</v>
      </c>
      <c r="F41" s="2278"/>
      <c r="G41" s="2278"/>
      <c r="H41" s="2278"/>
      <c r="I41" s="2278"/>
      <c r="J41" s="2278"/>
      <c r="K41" s="2278"/>
      <c r="L41" s="2279"/>
      <c r="M41" s="2280"/>
      <c r="N41" s="2280"/>
      <c r="O41" s="2280"/>
      <c r="P41" s="1273"/>
      <c r="Q41" s="1272"/>
      <c r="R41" s="1267"/>
      <c r="S41" s="2408">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262</v>
      </c>
      <c r="B42" s="2278" t="s">
        <v>263</v>
      </c>
      <c r="C42" s="2278"/>
      <c r="D42" s="2278"/>
      <c r="E42" s="3083"/>
      <c r="F42" s="3082">
        <v>1</v>
      </c>
      <c r="G42" s="2278"/>
      <c r="H42" s="2278"/>
      <c r="I42" s="2278"/>
      <c r="J42" s="2278"/>
      <c r="K42" s="2278"/>
      <c r="L42" s="2279"/>
      <c r="M42" s="2280"/>
      <c r="N42" s="2280"/>
      <c r="O42" s="2280"/>
      <c r="P42" s="2402"/>
      <c r="Q42" s="1264"/>
      <c r="R42" s="1265"/>
      <c r="S42" s="2408"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262</v>
      </c>
      <c r="B43" s="2278" t="s">
        <v>263</v>
      </c>
      <c r="C43" s="2278" t="s">
        <v>264</v>
      </c>
      <c r="D43" s="2278"/>
      <c r="E43" s="3083"/>
      <c r="F43" s="3083"/>
      <c r="G43" s="3082">
        <v>1</v>
      </c>
      <c r="H43" s="2278"/>
      <c r="I43" s="2278"/>
      <c r="J43" s="2278"/>
      <c r="K43" s="2278"/>
      <c r="L43" s="2279"/>
      <c r="M43" s="2280"/>
      <c r="N43" s="2280"/>
      <c r="O43" s="2280"/>
      <c r="P43" s="1266"/>
      <c r="Q43" s="1264"/>
      <c r="R43" s="1265"/>
      <c r="S43" s="2408" t="str">
        <f>INDEX(PT_DIFFERENTIATION_NUM_CS,MATCH(C43,PT_DIFFERENTIATION_CS_ID,0))</f>
        <v>..</v>
      </c>
      <c r="T43" s="1221" t="s">
        <v>508</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509</v>
      </c>
      <c r="AM43" s="1412"/>
      <c r="AN43" s="1412" t="str">
        <f>IF(T43="","",T43)</f>
        <v>Наименование централизованной системы водоотведения</v>
      </c>
      <c r="AO43" s="1412"/>
      <c r="AP43" s="1412"/>
    </row>
    <row customHeight="1" ht="23.25">
      <c r="A44" s="2278" t="s">
        <v>262</v>
      </c>
      <c r="B44" s="2278" t="s">
        <v>263</v>
      </c>
      <c r="C44" s="2278" t="s">
        <v>264</v>
      </c>
      <c r="D44" s="2278" t="s">
        <v>513</v>
      </c>
      <c r="E44" s="3083"/>
      <c r="F44" s="3083"/>
      <c r="G44" s="3083"/>
      <c r="H44" s="3083"/>
      <c r="I44" s="3080" t="str">
        <f>S43&amp;".1"</f>
        <v>...1</v>
      </c>
      <c r="J44" s="2278"/>
      <c r="K44" s="2278"/>
      <c r="L44" s="2279"/>
      <c r="P44" s="3081">
        <v>1</v>
      </c>
      <c r="Q44" s="2396"/>
      <c r="R44" s="1268"/>
      <c r="S44" s="2408"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262</v>
      </c>
      <c r="B45" s="2278" t="s">
        <v>263</v>
      </c>
      <c r="C45" s="2278" t="s">
        <v>264</v>
      </c>
      <c r="D45" s="2278" t="s">
        <v>513</v>
      </c>
      <c r="E45" s="3083"/>
      <c r="F45" s="3083"/>
      <c r="G45" s="3083"/>
      <c r="H45" s="3083"/>
      <c r="I45" s="3110"/>
      <c r="J45" s="3080" t="str">
        <f>I44&amp;".1"</f>
        <v>...1.1</v>
      </c>
      <c r="K45" s="2278"/>
      <c r="L45" s="2279" t="s">
        <v>397</v>
      </c>
      <c r="P45" s="3081"/>
      <c r="Q45" s="3081">
        <v>1</v>
      </c>
      <c r="R45" s="1269"/>
      <c r="S45" s="2408"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262</v>
      </c>
      <c r="B46" s="2278" t="s">
        <v>263</v>
      </c>
      <c r="C46" s="2278" t="s">
        <v>264</v>
      </c>
      <c r="D46" s="2278" t="s">
        <v>513</v>
      </c>
      <c r="E46" s="3083"/>
      <c r="F46" s="3083"/>
      <c r="G46" s="3083"/>
      <c r="H46" s="3083"/>
      <c r="I46" s="3110"/>
      <c r="J46" s="3110"/>
      <c r="K46" s="3080" t="str">
        <f>J45&amp;".1"</f>
        <v>...1.1.1</v>
      </c>
      <c r="L46" s="2279"/>
      <c r="P46" s="3081"/>
      <c r="Q46" s="3081"/>
      <c r="R46" s="1269">
        <v>1</v>
      </c>
      <c r="S46" s="2408"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262</v>
      </c>
      <c r="B47" s="2278" t="s">
        <v>263</v>
      </c>
      <c r="C47" s="2278" t="s">
        <v>264</v>
      </c>
      <c r="D47" s="2278" t="s">
        <v>513</v>
      </c>
      <c r="E47" s="3083"/>
      <c r="F47" s="3083"/>
      <c r="G47" s="3083"/>
      <c r="H47" s="3083"/>
      <c r="I47" s="3110"/>
      <c r="J47" s="3110"/>
      <c r="K47" s="3080"/>
      <c r="L47" s="2279"/>
      <c r="P47" s="3081"/>
      <c r="Q47" s="3081"/>
      <c r="R47" s="1269"/>
      <c r="S47" s="2405"/>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262</v>
      </c>
      <c r="B48" s="2278" t="s">
        <v>263</v>
      </c>
      <c r="C48" s="2278" t="s">
        <v>264</v>
      </c>
      <c r="D48" s="2278" t="s">
        <v>513</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262</v>
      </c>
      <c r="B49" s="2278" t="s">
        <v>263</v>
      </c>
      <c r="C49" s="2278" t="s">
        <v>264</v>
      </c>
      <c r="D49" s="2278" t="s">
        <v>513</v>
      </c>
      <c r="E49" s="3083"/>
      <c r="F49" s="3083"/>
      <c r="G49" s="3083"/>
      <c r="H49" s="3083"/>
      <c r="I49" s="3080"/>
      <c r="J49" s="2278"/>
      <c r="K49" s="2278"/>
      <c r="L49" s="2279"/>
      <c r="P49" s="3081"/>
      <c r="Q49" s="2396"/>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262</v>
      </c>
      <c r="B50" s="2278" t="s">
        <v>263</v>
      </c>
      <c r="C50" s="2278" t="s">
        <v>264</v>
      </c>
      <c r="D50" s="2278" t="s">
        <v>513</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0110" customFormat="1" customHeight="1" ht="0">
      <c r="A51" s="2258" t="s">
        <v>262</v>
      </c>
      <c r="B51" s="2258" t="s">
        <v>263</v>
      </c>
      <c r="C51" s="2229"/>
      <c r="D51" s="2229"/>
      <c r="E51" s="3083"/>
      <c r="F51" s="3082"/>
      <c r="G51" s="2229"/>
      <c r="H51" s="2229"/>
      <c r="I51" s="2229"/>
      <c r="J51" s="2229"/>
      <c r="K51" s="2229"/>
      <c r="L51" s="2409"/>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40202" customFormat="1" customHeight="1" ht="0">
      <c r="A52" s="2258" t="s">
        <v>262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40110" customFormat="1" customHeight="1" ht="0">
      <c r="A53" s="2229"/>
      <c r="B53" s="2229"/>
      <c r="C53" s="2229"/>
      <c r="D53" s="2229"/>
      <c r="E53" s="2258"/>
      <c r="F53" s="2229"/>
      <c r="G53" s="2229"/>
      <c r="H53" s="2229"/>
      <c r="I53" s="2229"/>
      <c r="J53" s="2229"/>
      <c r="K53" s="2229"/>
      <c r="L53" s="2409"/>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2D3722-955B-C47B-E4FE-D7196CA30FE9}"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0129" width="11.57421875" hidden="1" customWidth="1"/>
    <col min="2" max="2" style="40129" width="11.00390625" hidden="1" customWidth="1"/>
    <col min="3" max="3" style="40129" width="10.57421875" hidden="1"/>
    <col min="4" max="4" style="40129" width="12.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480" width="19.140625" hidden="1" customWidth="1"/>
    <col min="13" max="14" style="40211" width="12.28125" hidden="1" customWidth="1"/>
    <col min="15" max="15" style="40211" width="23.421875" hidden="1" customWidth="1"/>
    <col min="16" max="16" style="40211" width="3.7109375" hidden="1" customWidth="1"/>
    <col min="17" max="17" style="40384" width="3.7109375" hidden="1" customWidth="1"/>
    <col min="18" max="18" style="40213" width="3.7109375" customWidth="1"/>
    <col min="19" max="19" style="40214" width="12.7109375" customWidth="1"/>
    <col min="20" max="20" style="40215" width="32.00390625" customWidth="1"/>
    <col min="21" max="21" style="40215" width="0.140625" customWidth="1"/>
    <col min="22" max="25" style="40215" width="21.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2" style="40215" width="3.7109375" customWidth="1"/>
    <col min="33" max="33" style="40215" width="24.7109375" customWidth="1"/>
    <col min="34" max="36" style="40215" width="3.7109375" customWidth="1"/>
    <col min="37" max="37" style="40215" width="24.7109375" customWidth="1"/>
    <col min="38" max="40" style="40215" width="3.7109375" customWidth="1"/>
    <col min="41" max="41" style="40215" width="18.8515625" customWidth="1"/>
    <col min="42" max="44" style="40215" width="3.7109375" customWidth="1"/>
    <col min="45" max="45" style="40215" width="18.8515625" customWidth="1"/>
    <col min="46" max="49" style="40215" width="21.7109375" customWidth="1"/>
    <col min="50" max="50" style="40215" width="11.7109375" customWidth="1"/>
    <col min="51" max="51" style="40215" width="3.7109375" customWidth="1"/>
    <col min="52" max="52" style="40215" width="11.7109375" customWidth="1"/>
    <col min="53" max="53" style="40215" width="8.57421875" hidden="1" customWidth="1"/>
    <col min="54" max="54" style="40215" width="4.7109375" customWidth="1"/>
    <col min="55" max="55" style="40215" width="115.7109375" customWidth="1"/>
    <col min="56" max="57" style="40202" width="10.57421875"/>
    <col min="58" max="58" style="40202" width="11.140625" customWidth="1"/>
    <col min="59" max="60" style="40202"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408">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408">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33.75" hidden="1">
      <c r="A4" s="2278"/>
      <c r="B4" s="2278"/>
      <c r="C4" s="2278"/>
      <c r="D4" s="2278"/>
      <c r="E4" s="3083"/>
      <c r="F4" s="3083"/>
      <c r="G4" s="3082">
        <v>1</v>
      </c>
      <c r="H4" s="2278"/>
      <c r="I4" s="2278"/>
      <c r="J4" s="2278"/>
      <c r="K4" s="2278"/>
      <c r="L4" s="2279"/>
      <c r="M4" s="2280"/>
      <c r="N4" s="2280"/>
      <c r="O4" s="2280"/>
      <c r="P4" s="2327"/>
      <c r="Q4" s="2326"/>
      <c r="R4" s="1265"/>
      <c r="S4" s="2408">
        <f>INDEX(PT_DIFFERENTIATION_NUM_CS,MATCH(C4,PT_DIFFERENTIATION_CS_ID,0))</f>
      </c>
      <c r="T4" s="1221" t="s">
        <v>508</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509</v>
      </c>
      <c r="BE4" s="1412"/>
      <c r="BF4" s="1412" t="str">
        <f>IF(T4="","",T4)</f>
        <v>Наименование централизованной системы водоотведения</v>
      </c>
      <c r="BG4" s="1412"/>
      <c r="BH4" s="1412"/>
    </row>
    <row s="40202"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40202"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96"/>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40202"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84" t="s">
        <v>62</v>
      </c>
      <c r="AB8" s="2649"/>
      <c r="AC8" s="2384" t="s">
        <v>62</v>
      </c>
      <c r="AD8" s="3009" t="s">
        <v>62</v>
      </c>
      <c r="AE8" s="3143"/>
      <c r="AF8" s="3029">
        <v>1</v>
      </c>
      <c r="AG8" s="3180"/>
      <c r="AH8" s="2933" t="s">
        <v>62</v>
      </c>
      <c r="AI8" s="3143"/>
      <c r="AJ8" s="3029">
        <v>1</v>
      </c>
      <c r="AK8" s="3179" t="s">
        <v>18</v>
      </c>
      <c r="AL8" s="2933" t="s">
        <v>62</v>
      </c>
      <c r="AM8" s="3016"/>
      <c r="AN8" s="3029">
        <v>1</v>
      </c>
      <c r="AO8" s="3173"/>
      <c r="AP8" s="3174" t="s">
        <v>62</v>
      </c>
      <c r="AQ8" s="1223"/>
      <c r="AR8" s="2401">
        <v>1</v>
      </c>
      <c r="AS8" s="2407" t="s">
        <v>18</v>
      </c>
      <c r="AT8" s="1663"/>
      <c r="AU8" s="2171"/>
      <c r="AV8" s="1663"/>
      <c r="AW8" s="2171"/>
      <c r="AX8" s="2649"/>
      <c r="AY8" s="2384" t="s">
        <v>62</v>
      </c>
      <c r="AZ8" s="2649"/>
      <c r="BA8" s="238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514</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515</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40202" customFormat="1" customHeight="1" ht="14.25" hidden="1">
      <c r="A14" s="2258"/>
      <c r="B14" s="2258"/>
      <c r="C14" s="2258"/>
      <c r="D14" s="2258"/>
      <c r="E14" s="3083"/>
      <c r="F14" s="3083"/>
      <c r="G14" s="3083"/>
      <c r="H14" s="3083"/>
      <c r="I14" s="3080"/>
      <c r="J14" s="2258"/>
      <c r="K14" s="2258"/>
      <c r="L14" s="2261"/>
      <c r="M14" s="1422"/>
      <c r="N14" s="1422"/>
      <c r="O14" s="1422"/>
      <c r="P14" s="3081"/>
      <c r="Q14" s="2396"/>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40202"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40110" customFormat="1" customHeight="1" ht="14.25" hidden="1">
      <c r="A16" s="2258"/>
      <c r="B16" s="2258"/>
      <c r="C16" s="2258"/>
      <c r="D16" s="2229"/>
      <c r="E16" s="3083"/>
      <c r="F16" s="3083"/>
      <c r="G16" s="3082"/>
      <c r="H16" s="2229"/>
      <c r="I16" s="2229"/>
      <c r="J16" s="2229"/>
      <c r="K16" s="2229"/>
      <c r="L16" s="240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40110" customFormat="1" customHeight="1" ht="14.25" hidden="1">
      <c r="A17" s="2258"/>
      <c r="B17" s="2258"/>
      <c r="C17" s="2229"/>
      <c r="D17" s="2229"/>
      <c r="E17" s="3083"/>
      <c r="F17" s="3082"/>
      <c r="G17" s="2229"/>
      <c r="H17" s="2229"/>
      <c r="I17" s="2229"/>
      <c r="J17" s="2229"/>
      <c r="K17" s="2229"/>
      <c r="L17" s="240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40202"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400" t="s">
        <v>62</v>
      </c>
      <c r="AZ20" s="2651"/>
      <c r="BA20" s="2400"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358"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0143"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40143"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40143"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40143"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0143"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40143"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40143"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403"/>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516</v>
      </c>
      <c r="AE41" s="3115"/>
      <c r="AF41" s="3115"/>
      <c r="AG41" s="3146"/>
      <c r="AH41" s="3145" t="s">
        <v>517</v>
      </c>
      <c r="AI41" s="3115"/>
      <c r="AJ41" s="3115"/>
      <c r="AK41" s="3146"/>
      <c r="AL41" s="3145" t="s">
        <v>518</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519</v>
      </c>
      <c r="AU42" s="3017"/>
      <c r="AV42" s="3016" t="s">
        <v>520</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94" t="s">
        <v>470</v>
      </c>
      <c r="W44" s="2394" t="s">
        <v>471</v>
      </c>
      <c r="X44" s="2394" t="s">
        <v>470</v>
      </c>
      <c r="Y44" s="2394" t="s">
        <v>471</v>
      </c>
      <c r="Z44" s="2404"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94" t="s">
        <v>470</v>
      </c>
      <c r="AU44" s="2394" t="s">
        <v>471</v>
      </c>
      <c r="AV44" s="2394" t="s">
        <v>470</v>
      </c>
      <c r="AW44" s="2394" t="s">
        <v>471</v>
      </c>
      <c r="AX44" s="2404" t="s">
        <v>437</v>
      </c>
      <c r="AY44" s="3094" t="s">
        <v>438</v>
      </c>
      <c r="AZ44" s="3095"/>
      <c r="BA44" s="3103"/>
      <c r="BB44" s="3106"/>
      <c r="BC44" s="2953"/>
    </row>
    <row s="39960" customFormat="1" customHeight="1" ht="11.25" hidden="1">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97">
        <f>OFFSET(V45,0,-1)+1</f>
        <v>3</v>
      </c>
      <c r="W45" s="2397">
        <f>OFFSET(W45,0,-1)+1</f>
        <v>4</v>
      </c>
      <c r="X45" s="2397">
        <f>OFFSET(X45,0,-1)+1</f>
        <v>5</v>
      </c>
      <c r="Y45" s="2397">
        <f>OFFSET(Y45,0,-1)+1</f>
        <v>6</v>
      </c>
      <c r="Z45" s="2397">
        <f>OFFSET(Z45,0,-1)+1</f>
        <v>7</v>
      </c>
      <c r="AA45" s="3096">
        <f>OFFSET(AA45,0,-1)+1</f>
        <v>8</v>
      </c>
      <c r="AB45" s="3096"/>
      <c r="AC45" s="2397">
        <f>OFFSET(AC45,0,-2)+1</f>
        <v>9</v>
      </c>
      <c r="AD45" s="2397">
        <f>OFFSET(AD45,0,-1)+1</f>
        <v>10</v>
      </c>
      <c r="AE45" s="2397"/>
      <c r="AF45" s="2397"/>
      <c r="AG45" s="2397"/>
      <c r="AH45" s="2397"/>
      <c r="AI45" s="2397"/>
      <c r="AJ45" s="2397"/>
      <c r="AK45" s="2397"/>
      <c r="AL45" s="2397"/>
      <c r="AM45" s="2397"/>
      <c r="AN45" s="2397"/>
      <c r="AO45" s="2397"/>
      <c r="AP45" s="2397"/>
      <c r="AQ45" s="2397"/>
      <c r="AR45" s="2397"/>
      <c r="AS45" s="2397"/>
      <c r="AT45" s="2397"/>
      <c r="AU45" s="2397"/>
      <c r="AV45" s="2397"/>
      <c r="AW45" s="2397">
        <f>OFFSET(AW45,0,-1)+1</f>
        <v>1</v>
      </c>
      <c r="AX45" s="2397">
        <f>OFFSET(AX45,0,-1)+1</f>
        <v>2</v>
      </c>
      <c r="AY45" s="3096">
        <f>OFFSET(AY45,0,-1)+1</f>
        <v>3</v>
      </c>
      <c r="AZ45" s="3096"/>
      <c r="BA45" s="2397">
        <f>OFFSET(BA45,0,-2)+1</f>
        <v>4</v>
      </c>
      <c r="BB45" s="2159">
        <f>OFFSET(BB45,0,-1)</f>
        <v>4</v>
      </c>
      <c r="BC45" s="2397">
        <f>OFFSET(BC45,0,-1)+1</f>
        <v>5</v>
      </c>
      <c r="BD45" s="1423"/>
      <c r="BE45" s="1423"/>
      <c r="BF45" s="1423"/>
      <c r="BG45" s="1423"/>
      <c r="BH45" s="1423"/>
    </row>
    <row customHeight="1" ht="21">
      <c r="A46" s="2278" t="s">
        <v>267</v>
      </c>
      <c r="B46" s="2278"/>
      <c r="C46" s="2278"/>
      <c r="D46" s="2278"/>
      <c r="E46" s="3082">
        <v>1</v>
      </c>
      <c r="F46" s="2278"/>
      <c r="G46" s="2278"/>
      <c r="H46" s="2278"/>
      <c r="I46" s="2278"/>
      <c r="J46" s="2278"/>
      <c r="K46" s="2278"/>
      <c r="L46" s="2279"/>
      <c r="M46" s="2280"/>
      <c r="N46" s="2280"/>
      <c r="O46" s="2280"/>
      <c r="P46" s="2324"/>
      <c r="Q46" s="1785"/>
      <c r="R46" s="1267"/>
      <c r="S46" s="2408">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267</v>
      </c>
      <c r="B47" s="2278" t="s">
        <v>268</v>
      </c>
      <c r="C47" s="2278"/>
      <c r="D47" s="2278"/>
      <c r="E47" s="3083"/>
      <c r="F47" s="3082">
        <v>1</v>
      </c>
      <c r="G47" s="2278"/>
      <c r="H47" s="2278"/>
      <c r="I47" s="2278"/>
      <c r="J47" s="2278"/>
      <c r="K47" s="2278"/>
      <c r="L47" s="2279"/>
      <c r="M47" s="2280"/>
      <c r="N47" s="2280"/>
      <c r="O47" s="2280"/>
      <c r="P47" s="2325"/>
      <c r="Q47" s="2326"/>
      <c r="R47" s="1265"/>
      <c r="S47" s="2408"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33.75">
      <c r="A48" s="2278" t="s">
        <v>267</v>
      </c>
      <c r="B48" s="2278" t="s">
        <v>268</v>
      </c>
      <c r="C48" s="2278" t="s">
        <v>269</v>
      </c>
      <c r="D48" s="2278"/>
      <c r="E48" s="3083"/>
      <c r="F48" s="3083"/>
      <c r="G48" s="3082">
        <v>1</v>
      </c>
      <c r="H48" s="2278"/>
      <c r="I48" s="2278"/>
      <c r="J48" s="2278"/>
      <c r="K48" s="2278"/>
      <c r="L48" s="2279"/>
      <c r="M48" s="2280"/>
      <c r="N48" s="2280"/>
      <c r="O48" s="2280"/>
      <c r="P48" s="2327"/>
      <c r="Q48" s="2326"/>
      <c r="R48" s="1265"/>
      <c r="S48" s="2408" t="str">
        <f>INDEX(PT_DIFFERENTIATION_NUM_CS,MATCH(C48,PT_DIFFERENTIATION_CS_ID,0))</f>
        <v>..</v>
      </c>
      <c r="T48" s="1221" t="s">
        <v>508</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509</v>
      </c>
      <c r="BE48" s="1412"/>
      <c r="BF48" s="1412" t="str">
        <f>IF(T48="","",T48)</f>
        <v>Наименование централизованной системы водоотведения</v>
      </c>
      <c r="BG48" s="1412"/>
      <c r="BH48" s="1412"/>
    </row>
    <row s="40202" customFormat="1" customHeight="1" ht="0">
      <c r="A49" s="2258" t="s">
        <v>267</v>
      </c>
      <c r="B49" s="2258" t="s">
        <v>268</v>
      </c>
      <c r="C49" s="2258" t="s">
        <v>269</v>
      </c>
      <c r="D49" s="2258" t="s">
        <v>521</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40202" customFormat="1" customHeight="1" ht="0">
      <c r="A50" s="2258" t="s">
        <v>267</v>
      </c>
      <c r="B50" s="2258" t="s">
        <v>268</v>
      </c>
      <c r="C50" s="2258" t="s">
        <v>269</v>
      </c>
      <c r="D50" s="2258" t="s">
        <v>521</v>
      </c>
      <c r="E50" s="3083"/>
      <c r="F50" s="3083"/>
      <c r="G50" s="3083"/>
      <c r="H50" s="3083"/>
      <c r="I50" s="3080" t="str">
        <f>S49&amp;".1"</f>
        <v>.1</v>
      </c>
      <c r="J50" s="2258"/>
      <c r="K50" s="2258"/>
      <c r="L50" s="2261" t="s">
        <v>394</v>
      </c>
      <c r="M50" s="1422"/>
      <c r="N50" s="1422"/>
      <c r="O50" s="1422"/>
      <c r="P50" s="3081">
        <v>1</v>
      </c>
      <c r="Q50" s="2396"/>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40202" customFormat="1" customHeight="1" ht="0">
      <c r="A51" s="2258" t="s">
        <v>267</v>
      </c>
      <c r="B51" s="2258" t="s">
        <v>268</v>
      </c>
      <c r="C51" s="2258" t="s">
        <v>269</v>
      </c>
      <c r="D51" s="2258" t="s">
        <v>521</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267</v>
      </c>
      <c r="B52" s="2278" t="s">
        <v>268</v>
      </c>
      <c r="C52" s="2278" t="s">
        <v>269</v>
      </c>
      <c r="D52" s="2278" t="s">
        <v>521</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84" t="s">
        <v>62</v>
      </c>
      <c r="AB52" s="2649"/>
      <c r="AC52" s="238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401">
        <v>1</v>
      </c>
      <c r="AS52" s="2407" t="s">
        <v>18</v>
      </c>
      <c r="AT52" s="1663"/>
      <c r="AU52" s="2171"/>
      <c r="AV52" s="1663"/>
      <c r="AW52" s="2171"/>
      <c r="AX52" s="2649"/>
      <c r="AY52" s="2384" t="s">
        <v>62</v>
      </c>
      <c r="AZ52" s="2649"/>
      <c r="BA52" s="238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267</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514</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267</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515</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267</v>
      </c>
      <c r="B56" s="2278" t="s">
        <v>268</v>
      </c>
      <c r="C56" s="2278" t="s">
        <v>269</v>
      </c>
      <c r="D56" s="2278" t="s">
        <v>521</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267</v>
      </c>
      <c r="B57" s="2278" t="s">
        <v>268</v>
      </c>
      <c r="C57" s="2278" t="s">
        <v>269</v>
      </c>
      <c r="D57" s="2278" t="s">
        <v>521</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40202" customFormat="1" customHeight="1" ht="0">
      <c r="A58" s="2258" t="s">
        <v>267</v>
      </c>
      <c r="B58" s="2258" t="s">
        <v>268</v>
      </c>
      <c r="C58" s="2258" t="s">
        <v>269</v>
      </c>
      <c r="D58" s="2258" t="s">
        <v>521</v>
      </c>
      <c r="E58" s="3083"/>
      <c r="F58" s="3083"/>
      <c r="G58" s="3083"/>
      <c r="H58" s="3083"/>
      <c r="I58" s="3080"/>
      <c r="J58" s="2258"/>
      <c r="K58" s="2258"/>
      <c r="L58" s="2261"/>
      <c r="M58" s="1422"/>
      <c r="N58" s="1422"/>
      <c r="O58" s="1422"/>
      <c r="P58" s="3081"/>
      <c r="Q58" s="2396"/>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40202" customFormat="1" customHeight="1" ht="0">
      <c r="A59" s="2258" t="s">
        <v>267</v>
      </c>
      <c r="B59" s="2258" t="s">
        <v>268</v>
      </c>
      <c r="C59" s="2258" t="s">
        <v>269</v>
      </c>
      <c r="D59" s="2258" t="s">
        <v>521</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40110" customFormat="1" customHeight="1" ht="0">
      <c r="A60" s="2258" t="s">
        <v>267</v>
      </c>
      <c r="B60" s="2258" t="s">
        <v>268</v>
      </c>
      <c r="C60" s="2258" t="s">
        <v>269</v>
      </c>
      <c r="D60" s="2229"/>
      <c r="E60" s="3083"/>
      <c r="F60" s="3083"/>
      <c r="G60" s="3082"/>
      <c r="H60" s="2229"/>
      <c r="I60" s="2229"/>
      <c r="J60" s="2229"/>
      <c r="K60" s="2229"/>
      <c r="L60" s="240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40110" customFormat="1" customHeight="1" ht="0">
      <c r="A61" s="2258" t="s">
        <v>267</v>
      </c>
      <c r="B61" s="2258" t="s">
        <v>268</v>
      </c>
      <c r="C61" s="2229"/>
      <c r="D61" s="2229"/>
      <c r="E61" s="3083"/>
      <c r="F61" s="3082"/>
      <c r="G61" s="2229"/>
      <c r="H61" s="2229"/>
      <c r="I61" s="2229"/>
      <c r="J61" s="2229"/>
      <c r="K61" s="2229"/>
      <c r="L61" s="240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40202" customFormat="1" customHeight="1" ht="0">
      <c r="A62" s="2258" t="s">
        <v>267</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40110" customFormat="1" customHeight="1" ht="0">
      <c r="A63" s="2229"/>
      <c r="B63" s="2229"/>
      <c r="C63" s="2229"/>
      <c r="D63" s="2229"/>
      <c r="E63" s="2258"/>
      <c r="F63" s="2229"/>
      <c r="G63" s="2229"/>
      <c r="H63" s="2229"/>
      <c r="I63" s="2229"/>
      <c r="J63" s="2229"/>
      <c r="K63" s="2229"/>
      <c r="L63" s="240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4.2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c r="AS66" s="2395"/>
      <c r="AT66" s="2395"/>
      <c r="AU66" s="2395"/>
      <c r="AV66" s="2395"/>
      <c r="AW66" s="2395"/>
      <c r="AX66" s="2395"/>
      <c r="AY66" s="2395"/>
      <c r="AZ66" s="2395"/>
      <c r="BA66" s="2395"/>
      <c r="BB66" s="2395"/>
      <c r="BC66" s="2395"/>
    </row>
    <row customHeight="1" ht="14.2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7FF01D-EE47-B7B4-7C71-1982AF7F1125}" mc:Ignorable="x14ac xr xr2 xr3">
  <sheetPr>
    <tabColor rgb="FFCCCCFF"/>
    <pageSetUpPr fitToPage="1"/>
  </sheetPr>
  <dimension ref="A1:AB28"/>
  <sheetViews>
    <sheetView topLeftCell="C2" showGridLines="0" zoomScale="90" workbookViewId="0">
      <selection activeCell="A1" sqref="A1"/>
    </sheetView>
  </sheetViews>
  <sheetFormatPr defaultColWidth="9.140625" customHeight="1" defaultRowHeight="14.25"/>
  <cols>
    <col min="1" max="1" style="39538" width="8.00390625" hidden="1" customWidth="1"/>
    <col min="2" max="2" style="39539" width="6.00390625" hidden="1" customWidth="1"/>
    <col min="3" max="3" style="39538" width="3.7109375" customWidth="1"/>
    <col min="4" max="4" style="39540" width="3.7109375" customWidth="1"/>
    <col min="5" max="5" style="39541" width="6.28125" customWidth="1"/>
    <col min="6" max="6" style="39538" width="2.7109375" hidden="1" customWidth="1"/>
    <col min="7" max="7" style="39541" width="46.7109375" customWidth="1"/>
    <col min="8" max="8" style="39541" width="43.140625" customWidth="1"/>
    <col min="9" max="9" style="39541" width="14.8515625" customWidth="1"/>
    <col min="10" max="10" style="39542" width="3.7109375" customWidth="1"/>
    <col min="11" max="13" style="39542" width="9.140625" hidden="1"/>
    <col min="14" max="14" style="39543" width="25.7109375" hidden="1" customWidth="1"/>
    <col min="15" max="15" style="39542" width="14.421875" hidden="1" customWidth="1"/>
    <col min="16" max="19" style="39544" width="9.140625" hidden="1"/>
    <col min="20" max="27" style="39541" width="9.140625" hidden="1"/>
    <col min="28" max="28" style="39541" width="9.140625"/>
  </cols>
  <sheetData>
    <row s="39455" customFormat="1" customHeight="1" ht="5.25" hidden="1">
      <c r="A1" s="1408"/>
      <c r="B1" s="1423"/>
      <c r="C1" s="1423"/>
      <c r="D1" s="1133"/>
      <c r="F1" s="1423"/>
      <c r="G1" s="1159" t="s">
        <v>79</v>
      </c>
      <c r="H1" s="1406" t="s">
        <v>80</v>
      </c>
      <c r="I1" s="1139" t="s">
        <v>81</v>
      </c>
      <c r="J1" s="1159" t="s">
        <v>79</v>
      </c>
      <c r="K1" s="1159"/>
      <c r="L1" s="1159"/>
      <c r="M1" s="1159"/>
      <c r="N1" s="1160"/>
      <c r="O1" s="1159"/>
      <c r="P1" s="1159"/>
      <c r="Q1" s="1159"/>
      <c r="R1" s="1159"/>
      <c r="S1" s="1159"/>
      <c r="T1" s="1139"/>
      <c r="U1" s="1139"/>
      <c r="V1" s="1139"/>
      <c r="W1" s="1139"/>
      <c r="X1" s="1139"/>
      <c r="Y1" s="1139"/>
      <c r="Z1" s="1139"/>
      <c r="AA1" s="1139"/>
      <c r="AB1" s="1139"/>
    </row>
    <row s="39463" customFormat="1" customHeight="1" ht="11.25">
      <c r="A2" s="1743"/>
      <c r="B2" s="1140"/>
      <c r="C2" s="1140"/>
      <c r="D2" s="1141"/>
      <c r="E2" s="1140"/>
      <c r="F2" s="1140"/>
      <c r="G2" s="1140"/>
      <c r="H2" s="1140"/>
      <c r="I2" s="1140"/>
      <c r="J2" s="1159"/>
      <c r="K2" s="1159"/>
      <c r="L2" s="1159"/>
      <c r="M2" s="1159"/>
      <c r="N2" s="1160"/>
      <c r="O2" s="1159"/>
      <c r="P2" s="1142"/>
      <c r="Q2" s="1142"/>
      <c r="R2" s="1142"/>
      <c r="S2" s="1142"/>
      <c r="T2" s="1141"/>
      <c r="U2" s="1141"/>
      <c r="V2" s="1141"/>
      <c r="W2" s="1141"/>
      <c r="X2" s="1141"/>
      <c r="Y2" s="1141"/>
      <c r="Z2" s="1141"/>
      <c r="AA2" s="1141"/>
      <c r="AB2" s="1141"/>
    </row>
    <row s="39468" customFormat="1" customHeight="1" ht="3">
      <c r="A3" s="1670"/>
      <c r="B3" s="1329"/>
      <c r="C3" s="1670"/>
      <c r="D3" s="1077"/>
      <c r="E3" s="1016"/>
      <c r="F3" s="1421"/>
      <c r="G3" s="1016"/>
      <c r="H3" s="1016"/>
      <c r="I3" s="1079"/>
      <c r="J3" s="1159"/>
      <c r="K3" s="1068"/>
      <c r="L3" s="1068"/>
      <c r="M3" s="1068"/>
      <c r="N3" s="1138"/>
      <c r="O3" s="1068"/>
      <c r="P3" s="1137"/>
      <c r="Q3" s="1137"/>
      <c r="R3" s="1137"/>
      <c r="S3" s="1137"/>
    </row>
    <row s="39468" customFormat="1" customHeight="1" ht="25.5">
      <c r="A4" s="1670"/>
      <c r="B4" s="1329"/>
      <c r="C4" s="1670"/>
      <c r="D4" s="1077"/>
      <c r="E4" s="2926" t="str">
        <f>NameTemplatesInListMO</f>
        <v>Перечень муниципальных районов и муниципальных образований (территорий оказания услуг)</v>
      </c>
      <c r="F4" s="2926"/>
      <c r="G4" s="2926"/>
      <c r="H4" s="2926"/>
      <c r="I4" s="2926"/>
      <c r="J4" s="1159"/>
      <c r="K4" s="1068"/>
      <c r="L4" s="1068"/>
      <c r="M4" s="1068"/>
      <c r="N4" s="1138"/>
      <c r="O4" s="1068"/>
      <c r="P4" s="1137"/>
      <c r="Q4" s="1137"/>
      <c r="R4" s="1137"/>
      <c r="S4" s="1137"/>
    </row>
    <row s="39468" customFormat="1" customHeight="1" ht="3">
      <c r="A5" s="1670"/>
      <c r="B5" s="1329"/>
      <c r="C5" s="1670"/>
      <c r="D5" s="1077"/>
      <c r="E5" s="1016"/>
      <c r="F5" s="1421"/>
      <c r="G5" s="1080"/>
      <c r="H5" s="1080"/>
      <c r="I5" s="1081"/>
      <c r="J5" s="1068"/>
      <c r="K5" s="1068"/>
      <c r="L5" s="1068"/>
      <c r="M5" s="1068"/>
      <c r="N5" s="1138"/>
      <c r="O5" s="1068"/>
      <c r="P5" s="1137"/>
      <c r="Q5" s="1137"/>
      <c r="R5" s="1137"/>
      <c r="S5" s="1137"/>
    </row>
    <row s="39468" customFormat="1" customHeight="1" ht="20.25" hidden="1">
      <c r="A6" s="1749"/>
      <c r="B6" s="1745"/>
      <c r="C6" s="1082"/>
      <c r="D6" s="1077"/>
      <c r="E6" s="1691"/>
      <c r="F6" s="1691"/>
      <c r="G6" s="1080"/>
      <c r="H6" s="1083"/>
      <c r="I6" s="1083"/>
      <c r="J6" s="1068"/>
      <c r="K6" s="1068"/>
      <c r="L6" s="1068"/>
      <c r="M6" s="1068"/>
      <c r="N6" s="1138"/>
      <c r="O6" s="1068"/>
      <c r="P6" s="1137"/>
      <c r="Q6" s="1137"/>
      <c r="R6" s="1137"/>
      <c r="S6" s="1137"/>
    </row>
    <row customHeight="1" ht="25.5" hidden="1"/>
    <row s="39468" customFormat="1" customHeight="1" ht="14.25">
      <c r="A8" s="1670"/>
      <c r="B8" s="1329"/>
      <c r="C8" s="1670"/>
      <c r="D8" s="1077"/>
      <c r="E8" s="2927" t="s">
        <v>82</v>
      </c>
      <c r="F8" s="2928"/>
      <c r="G8" s="2929"/>
      <c r="H8" s="2930" t="s">
        <v>83</v>
      </c>
      <c r="I8" s="2930"/>
      <c r="J8" s="1068"/>
      <c r="K8" s="1068"/>
      <c r="L8" s="1068"/>
      <c r="M8" s="1068"/>
      <c r="N8" s="1138"/>
      <c r="O8" s="1068"/>
      <c r="P8" s="1137"/>
      <c r="Q8" s="1137"/>
      <c r="R8" s="1137"/>
      <c r="S8" s="1137"/>
    </row>
    <row s="39468" customFormat="1" customHeight="1" ht="20.25">
      <c r="A9" s="1670"/>
      <c r="B9" s="1329"/>
      <c r="C9" s="1670"/>
      <c r="D9" s="1077"/>
      <c r="E9" s="1689" t="s">
        <v>84</v>
      </c>
      <c r="F9" s="1689"/>
      <c r="G9" s="1085" t="s">
        <v>85</v>
      </c>
      <c r="H9" s="1085" t="s">
        <v>85</v>
      </c>
      <c r="I9" s="1085" t="s">
        <v>81</v>
      </c>
      <c r="J9" s="1068"/>
      <c r="K9" s="1068"/>
      <c r="L9" s="1068"/>
      <c r="M9" s="1068"/>
      <c r="N9" s="1138"/>
      <c r="O9" s="1068"/>
      <c r="P9" s="1137"/>
      <c r="Q9" s="1137"/>
      <c r="R9" s="1137"/>
      <c r="S9" s="1137"/>
    </row>
    <row customHeight="1" ht="11.25">
      <c r="D10" s="1089"/>
      <c r="E10" s="1690" t="s">
        <v>86</v>
      </c>
      <c r="F10" s="1690"/>
      <c r="G10" s="1135" t="s">
        <v>87</v>
      </c>
      <c r="H10" s="1135" t="s">
        <v>88</v>
      </c>
      <c r="I10" s="1135" t="s">
        <v>89</v>
      </c>
      <c r="J10" s="1098"/>
      <c r="K10" s="1098"/>
      <c r="L10" s="1098"/>
      <c r="M10" s="1098"/>
      <c r="N10" s="1084"/>
      <c r="O10" s="1098"/>
      <c r="P10" s="1136"/>
      <c r="Q10" s="1136"/>
      <c r="R10" s="1136"/>
      <c r="S10" s="1136"/>
    </row>
    <row s="39468" customFormat="1" customHeight="1" ht="0.75">
      <c r="A11" s="1670"/>
      <c r="B11" s="1329"/>
      <c r="C11" s="1670"/>
      <c r="D11" s="1077"/>
      <c r="E11" s="1702"/>
      <c r="F11" s="1702"/>
      <c r="G11" s="1086"/>
      <c r="H11" s="1086"/>
      <c r="I11" s="1088"/>
      <c r="J11" s="1161" t="s">
        <v>90</v>
      </c>
      <c r="K11" s="1068"/>
      <c r="L11" s="1068"/>
      <c r="M11" s="1068" t="s">
        <v>91</v>
      </c>
      <c r="N11" s="1138" t="s">
        <v>92</v>
      </c>
      <c r="O11" s="1068" t="s">
        <v>93</v>
      </c>
      <c r="P11" s="1137"/>
      <c r="Q11" s="1137"/>
      <c r="R11" s="1137"/>
      <c r="S11" s="1137"/>
    </row>
    <row s="39502" customFormat="1" customHeight="1" ht="14.25">
      <c r="A12" s="2925">
        <v>1</v>
      </c>
      <c r="B12" s="1329"/>
      <c r="C12" s="1670"/>
      <c r="D12" s="1694"/>
      <c r="E12" s="1131">
        <f>A12</f>
        <v>1</v>
      </c>
      <c r="F12" s="1714" t="s">
        <v>94</v>
      </c>
      <c r="G12" s="1452" t="str">
        <f>"Территория "&amp;E12</f>
        <v>Территория 1</v>
      </c>
      <c r="H12" s="1704"/>
      <c r="I12" s="1704"/>
      <c r="J12" s="1701"/>
      <c r="K12" s="1412"/>
      <c r="L12" s="1412"/>
      <c r="M12" s="1412"/>
      <c r="N12" s="1138"/>
      <c r="O12" s="1412"/>
      <c r="P12" s="1137"/>
      <c r="Q12" s="1137"/>
      <c r="R12" s="1137"/>
      <c r="S12" s="1137"/>
    </row>
    <row s="39511" customFormat="1" customHeight="1" ht="15">
      <c r="A13" s="2925"/>
      <c r="B13" s="1329">
        <v>1</v>
      </c>
      <c r="C13" s="1329"/>
      <c r="D13" s="1712"/>
      <c r="E13" s="1692" t="str">
        <f>A12&amp;"."&amp;B13</f>
        <v>1.1</v>
      </c>
      <c r="F13" s="1707">
        <v>1</v>
      </c>
      <c r="G13" s="1705"/>
      <c r="H13" s="1705"/>
      <c r="I13" s="1703"/>
      <c r="J13" s="1412">
        <f>MERGEVALUE(G13)</f>
      </c>
      <c r="K13" s="1423"/>
      <c r="L13" s="1423"/>
      <c r="M13" s="1412" t="str">
        <f t="array" ref="M13:M13">IF(ISERROR(MATCH(MID(N13,1,250),MID(note_ter,1,250),0)),"n","y")</f>
        <v>n</v>
      </c>
      <c r="N13" s="1423"/>
      <c r="O13" s="1412" t="str">
        <f>H13&amp;"("&amp;I13&amp;")"</f>
        <v>()</v>
      </c>
      <c r="P13" s="1329"/>
      <c r="Q13" s="1329"/>
      <c r="R13" s="1332"/>
      <c r="S13" s="1329"/>
      <c r="T13" s="1329"/>
      <c r="U13" s="1329"/>
      <c r="V13" s="1334"/>
      <c r="W13" s="1334"/>
      <c r="X13" s="1331"/>
      <c r="Y13" s="1331"/>
      <c r="Z13" s="1331"/>
      <c r="AA13" s="1331"/>
      <c r="AB13" s="1331"/>
    </row>
    <row s="39511" customFormat="1" customHeight="1" ht="15">
      <c r="A14" s="2925"/>
      <c r="B14" s="1329"/>
      <c r="C14" s="1324"/>
      <c r="D14" s="1713"/>
      <c r="E14" s="1333"/>
      <c r="F14" s="1090"/>
      <c r="G14" s="1327" t="s">
        <v>95</v>
      </c>
      <c r="H14" s="1099"/>
      <c r="I14" s="1336"/>
      <c r="J14" s="1423"/>
      <c r="K14" s="1423"/>
      <c r="L14" s="1423"/>
      <c r="M14" s="1423"/>
      <c r="N14" s="1412"/>
      <c r="O14" s="1423"/>
      <c r="P14" s="1329"/>
      <c r="Q14" s="1329"/>
      <c r="R14" s="1332"/>
      <c r="S14" s="1329"/>
      <c r="T14" s="1329"/>
      <c r="U14" s="1329"/>
      <c r="V14" s="1334"/>
      <c r="W14" s="1334"/>
      <c r="X14" s="1331"/>
      <c r="Y14" s="1331"/>
      <c r="Z14" s="1331"/>
      <c r="AA14" s="1331"/>
      <c r="AB14" s="1331"/>
    </row>
    <row s="39468" customFormat="1" customHeight="1" ht="14.25">
      <c r="A15" s="1670"/>
      <c r="B15" s="1329"/>
      <c r="C15" s="1670"/>
      <c r="D15" s="1694"/>
      <c r="E15" s="1706"/>
      <c r="F15" s="1091"/>
      <c r="G15" s="1328" t="s">
        <v>96</v>
      </c>
      <c r="H15" s="1091"/>
      <c r="I15" s="1092"/>
      <c r="J15" s="1161"/>
      <c r="K15" s="1068"/>
      <c r="L15" s="1068"/>
      <c r="M15" s="1068"/>
      <c r="N15" s="1138" t="s">
        <v>97</v>
      </c>
      <c r="O15" s="1068"/>
      <c r="P15" s="1137"/>
      <c r="Q15" s="1137"/>
      <c r="R15" s="1137"/>
      <c r="S15" s="1137"/>
    </row>
    <row s="39468" customFormat="1" customHeight="1" ht="21">
      <c r="A16" s="1670"/>
      <c r="B16" s="1329"/>
      <c r="C16" s="1670"/>
      <c r="D16" s="1078"/>
      <c r="E16" s="1093"/>
      <c r="F16" s="1093"/>
      <c r="G16" s="1093"/>
      <c r="H16" s="1093"/>
      <c r="I16" s="1093"/>
      <c r="J16" s="1068"/>
      <c r="K16" s="1068"/>
      <c r="L16" s="1068"/>
      <c r="M16" s="1068"/>
      <c r="N16" s="1138"/>
      <c r="O16" s="1068"/>
      <c r="P16" s="1137"/>
      <c r="Q16" s="1137"/>
      <c r="R16" s="1137"/>
      <c r="S16" s="1137"/>
    </row>
    <row s="39468" customFormat="1" customHeight="1" ht="14.25">
      <c r="A17" s="1670"/>
      <c r="B17" s="1329"/>
      <c r="C17" s="1670"/>
      <c r="D17" s="1078"/>
      <c r="E17" s="995"/>
      <c r="F17" s="1670"/>
      <c r="G17" s="995"/>
      <c r="H17" s="995"/>
      <c r="I17" s="995"/>
      <c r="J17" s="1068"/>
      <c r="K17" s="1068"/>
      <c r="L17" s="1068"/>
      <c r="M17" s="1068"/>
      <c r="N17" s="1138"/>
      <c r="O17" s="1068"/>
      <c r="P17" s="1137"/>
      <c r="Q17" s="1137"/>
      <c r="R17" s="1137"/>
      <c r="S17" s="1137"/>
    </row>
    <row s="39468" customFormat="1" customHeight="1" ht="0.75">
      <c r="A18" s="1670"/>
      <c r="B18" s="1329"/>
      <c r="C18" s="1670"/>
      <c r="D18" s="1078"/>
      <c r="E18" s="995"/>
      <c r="F18" s="1670"/>
      <c r="G18" s="995"/>
      <c r="H18" s="995"/>
      <c r="I18" s="995"/>
      <c r="J18" s="1068"/>
      <c r="K18" s="1068"/>
      <c r="L18" s="1068"/>
      <c r="M18" s="1068"/>
      <c r="N18" s="1138"/>
      <c r="O18" s="1068"/>
      <c r="P18" s="1137"/>
      <c r="Q18" s="1137"/>
      <c r="R18" s="1137"/>
      <c r="S18" s="1137"/>
    </row>
    <row s="39534" customFormat="1" customHeight="1" ht="10.5">
      <c r="B19" s="1746"/>
      <c r="D19" s="1095"/>
      <c r="J19" s="1068"/>
      <c r="K19" s="1068"/>
      <c r="L19" s="1068"/>
      <c r="M19" s="1068"/>
      <c r="N19" s="1138"/>
      <c r="O19" s="1068"/>
      <c r="P19" s="1137"/>
      <c r="Q19" s="1137"/>
      <c r="R19" s="1137"/>
      <c r="S19" s="1137"/>
    </row>
    <row s="39534" customFormat="1" customHeight="1" ht="10.5">
      <c r="B20" s="1746"/>
      <c r="D20" s="1095"/>
      <c r="J20" s="1068"/>
      <c r="K20" s="1068"/>
      <c r="L20" s="1068"/>
      <c r="M20" s="1068"/>
      <c r="N20" s="1138"/>
      <c r="O20" s="1068"/>
      <c r="P20" s="1137"/>
      <c r="Q20" s="1137"/>
      <c r="R20" s="1137"/>
      <c r="S20" s="1137"/>
    </row>
    <row r="24" customHeight="1" ht="14.25">
      <c r="H24" s="973"/>
    </row>
    <row r="28" customHeight="1" ht="14.25">
      <c r="J28" s="995"/>
      <c r="K28" s="995"/>
      <c r="L28" s="995"/>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23E3D-0C23-DE3C-5C26-F7CC785B2BFC}"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80" width="19.140625" hidden="1" customWidth="1"/>
    <col min="13" max="14" style="40211" width="12.28125" hidden="1" customWidth="1"/>
    <col min="15" max="15" style="40211" width="23.421875" hidden="1" customWidth="1"/>
    <col min="16" max="16" style="40481" width="3.7109375" customWidth="1"/>
    <col min="17" max="18" style="40213" width="3.7109375" customWidth="1"/>
    <col min="19" max="19" style="40214" width="12.7109375" customWidth="1"/>
    <col min="20" max="20" style="40215" width="35.7109375" customWidth="1"/>
    <col min="21" max="21" style="40215" width="0.140625" customWidth="1"/>
    <col min="22" max="22" style="40215" width="19.7109375" hidden="1" customWidth="1"/>
    <col min="23" max="28" style="40257" width="19.7109375" hidden="1" customWidth="1"/>
    <col min="29" max="29" style="40215" width="11.7109375" hidden="1" customWidth="1"/>
    <col min="30" max="30" style="40215" width="3.7109375" hidden="1" customWidth="1"/>
    <col min="31" max="31" style="40215" width="11.7109375" hidden="1" customWidth="1"/>
    <col min="32" max="32" style="40215" width="8.57421875" hidden="1" customWidth="1"/>
    <col min="33" max="33" style="40215" width="19.7109375" customWidth="1"/>
    <col min="34" max="38" style="40257" width="19.7109375" customWidth="1"/>
    <col min="39" max="39" style="40215" width="19.7109375" customWidth="1"/>
    <col min="40" max="40" style="40215" width="11.7109375" customWidth="1"/>
    <col min="41" max="41" style="40215" width="3.7109375" customWidth="1"/>
    <col min="42" max="42" style="40215" width="11.7109375" customWidth="1"/>
    <col min="43" max="43" style="40215" width="8.57421875" hidden="1" customWidth="1"/>
    <col min="44" max="44" style="40215" width="4.7109375" customWidth="1"/>
    <col min="45" max="45" style="40215" width="115.7109375" customWidth="1"/>
    <col min="46" max="47" style="40202" width="10.57421875"/>
    <col min="48" max="48" style="40202" width="11.140625" customWidth="1"/>
    <col min="49" max="50" style="40202" width="10.57421875"/>
  </cols>
  <sheetData>
    <row customHeight="1" ht="14.25" hidden="1">
      <c r="AC1" s="1239"/>
      <c r="AN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7"/>
      <c r="AQ2" s="3067"/>
      <c r="AR2" s="3068"/>
      <c r="AS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12"/>
      <c r="AV2" s="1412" t="str">
        <f>IF(T2="","",T2)</f>
        <v>Наименование тарифа</v>
      </c>
      <c r="AW2" s="1412"/>
      <c r="AX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7"/>
      <c r="AQ3" s="3067"/>
      <c r="AR3" s="3068"/>
      <c r="AS3" s="2172" t="s">
        <v>389</v>
      </c>
      <c r="AU3" s="1412"/>
      <c r="AV3" s="1412" t="str">
        <f>IF(T3="","",T3)</f>
        <v>Территория действия тарифа</v>
      </c>
      <c r="AW3" s="1412"/>
      <c r="AX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522</v>
      </c>
      <c r="U4" s="1212"/>
      <c r="V4" s="3066"/>
      <c r="W4" s="3067"/>
      <c r="X4" s="3067"/>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7"/>
      <c r="AQ4" s="3067"/>
      <c r="AR4" s="3068"/>
      <c r="AS4" s="2172" t="s">
        <v>523</v>
      </c>
      <c r="AU4" s="1412"/>
      <c r="AV4" s="1412" t="str">
        <f>IF(T4="","",T4)</f>
        <v>Наименование централизованной системы горячего водоснабжения</v>
      </c>
      <c r="AW4" s="1412"/>
      <c r="AX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2172" t="s">
        <v>476</v>
      </c>
      <c r="AU5" s="1412"/>
      <c r="AV5" s="1412" t="str">
        <f>IF(T5="","",T5)</f>
        <v>Наименование признака дифференциации</v>
      </c>
      <c r="AW5" s="1412"/>
      <c r="AX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0"/>
      <c r="AC6" s="3070"/>
      <c r="AD6" s="3070"/>
      <c r="AE6" s="3070"/>
      <c r="AF6" s="3071"/>
      <c r="AG6" s="3069"/>
      <c r="AH6" s="3070"/>
      <c r="AI6" s="3070"/>
      <c r="AJ6" s="3070"/>
      <c r="AK6" s="3070"/>
      <c r="AL6" s="3070"/>
      <c r="AM6" s="3070"/>
      <c r="AN6" s="3070"/>
      <c r="AO6" s="3070"/>
      <c r="AP6" s="3070"/>
      <c r="AQ6" s="3070"/>
      <c r="AR6" s="3071"/>
      <c r="AS6" s="2222" t="s">
        <v>477</v>
      </c>
      <c r="AU6" s="1412"/>
      <c r="AV6" s="1412" t="str">
        <f>IF(T6="","",T6)</f>
        <v>Группа потребителей</v>
      </c>
      <c r="AW6" s="1412"/>
      <c r="AX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1663"/>
      <c r="Y7" s="1663"/>
      <c r="Z7" s="1663"/>
      <c r="AA7" s="1663"/>
      <c r="AB7" s="1663"/>
      <c r="AC7" s="3089"/>
      <c r="AD7" s="2933" t="s">
        <v>62</v>
      </c>
      <c r="AE7" s="3089"/>
      <c r="AF7" s="2933" t="s">
        <v>62</v>
      </c>
      <c r="AG7" s="1663"/>
      <c r="AH7" s="1663"/>
      <c r="AI7" s="1663"/>
      <c r="AJ7" s="1663"/>
      <c r="AK7" s="1663"/>
      <c r="AL7" s="1663"/>
      <c r="AM7" s="1663"/>
      <c r="AN7" s="3089"/>
      <c r="AO7" s="2933" t="s">
        <v>62</v>
      </c>
      <c r="AP7" s="3111"/>
      <c r="AQ7" s="2933" t="s">
        <v>62</v>
      </c>
      <c r="AR7" s="2353"/>
      <c r="AS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423">
        <f>STRCHECKDATE(V8:AR8)</f>
      </c>
      <c r="AU7" s="1412"/>
      <c r="AV7" s="1412" t="str">
        <f>IF(T7="","",T7)</f>
        <v/>
      </c>
      <c r="AW7" s="1412"/>
      <c r="AX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37"/>
      <c r="Y8" s="1237"/>
      <c r="Z8" s="1237"/>
      <c r="AA8" s="1237"/>
      <c r="AB8" s="1237"/>
      <c r="AC8" s="3090"/>
      <c r="AD8" s="2933"/>
      <c r="AE8" s="3090"/>
      <c r="AF8" s="2933"/>
      <c r="AG8" s="1237"/>
      <c r="AH8" s="1237"/>
      <c r="AI8" s="1237"/>
      <c r="AJ8" s="1237"/>
      <c r="AK8" s="1237"/>
      <c r="AL8" s="1237"/>
      <c r="AM8" s="1237"/>
      <c r="AN8" s="3090"/>
      <c r="AO8" s="2933"/>
      <c r="AP8" s="3112"/>
      <c r="AQ8" s="2933"/>
      <c r="AR8" s="2354"/>
      <c r="AS8" s="3165"/>
      <c r="AU8" s="1412"/>
      <c r="AV8" s="1412" t="str">
        <f>IF(T8="","",T8)</f>
        <v/>
      </c>
      <c r="AW8" s="1412"/>
      <c r="AX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512"/>
      <c r="X9" s="1512"/>
      <c r="Y9" s="1512"/>
      <c r="Z9" s="1512"/>
      <c r="AA9" s="1512"/>
      <c r="AB9" s="1512"/>
      <c r="AC9" s="1279"/>
      <c r="AD9" s="1279"/>
      <c r="AE9" s="1279"/>
      <c r="AF9" s="1279"/>
      <c r="AG9" s="1279"/>
      <c r="AH9" s="1512"/>
      <c r="AI9" s="1512"/>
      <c r="AJ9" s="1512"/>
      <c r="AK9" s="1512"/>
      <c r="AL9" s="1512"/>
      <c r="AM9" s="1279"/>
      <c r="AN9" s="1279"/>
      <c r="AO9" s="1279"/>
      <c r="AP9" s="1279"/>
      <c r="AQ9" s="1279"/>
      <c r="AR9" s="1279"/>
      <c r="AS9" s="2172" t="s">
        <v>479</v>
      </c>
      <c r="AU9" s="1412"/>
      <c r="AV9" s="1412" t="str">
        <f>IF(T9="","",T9)</f>
        <v>Добавить значение признака дифференциации</v>
      </c>
      <c r="AW9" s="1412"/>
      <c r="AX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512"/>
      <c r="X10" s="1512"/>
      <c r="Y10" s="1512"/>
      <c r="Z10" s="1512"/>
      <c r="AA10" s="1512"/>
      <c r="AB10" s="1512"/>
      <c r="AC10" s="1279"/>
      <c r="AD10" s="1279"/>
      <c r="AE10" s="1279"/>
      <c r="AF10" s="1278"/>
      <c r="AG10" s="1279"/>
      <c r="AH10" s="1512"/>
      <c r="AI10" s="1512"/>
      <c r="AJ10" s="1512"/>
      <c r="AK10" s="1512"/>
      <c r="AL10" s="1512"/>
      <c r="AM10" s="1279"/>
      <c r="AN10" s="1279"/>
      <c r="AO10" s="1279"/>
      <c r="AP10" s="1279"/>
      <c r="AQ10" s="1278"/>
      <c r="AR10" s="1279"/>
      <c r="AS10" s="2355"/>
      <c r="AU10" s="1412"/>
      <c r="AV10" s="1412" t="str">
        <f>IF(T10="","",T10)</f>
        <v>Добавить группу потребителей</v>
      </c>
      <c r="AW10" s="1412"/>
      <c r="AX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512"/>
      <c r="X11" s="1512"/>
      <c r="Y11" s="1512"/>
      <c r="Z11" s="1512"/>
      <c r="AA11" s="1512"/>
      <c r="AB11" s="1512"/>
      <c r="AC11" s="1279"/>
      <c r="AD11" s="1279"/>
      <c r="AE11" s="1279"/>
      <c r="AF11" s="1278"/>
      <c r="AG11" s="1279"/>
      <c r="AH11" s="1512"/>
      <c r="AI11" s="1512"/>
      <c r="AJ11" s="1512"/>
      <c r="AK11" s="1512"/>
      <c r="AL11" s="1512"/>
      <c r="AM11" s="1279"/>
      <c r="AN11" s="1279"/>
      <c r="AO11" s="1279"/>
      <c r="AP11" s="1279"/>
      <c r="AQ11" s="1278"/>
      <c r="AR11" s="1279"/>
      <c r="AS11" s="1215"/>
      <c r="AU11" s="1412"/>
      <c r="AV11" s="1412" t="str">
        <f>IF(T11="","",T11)</f>
        <v>Добавить наименование признака дифференциации</v>
      </c>
      <c r="AW11" s="1412"/>
      <c r="AX11" s="1412"/>
    </row>
    <row s="40110"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c r="AU12" s="1701"/>
      <c r="AV12" s="1701" t="str">
        <f>IF(T12="","",T12)</f>
        <v>Добавить централизованную систему для дифференциации</v>
      </c>
      <c r="AW12" s="1701"/>
      <c r="AX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U13" s="1412"/>
      <c r="AV13" s="1412" t="str">
        <f>IF(T13="","",T13)</f>
        <v>Добавить территорию для дифференциации</v>
      </c>
      <c r="AW13" s="1412"/>
      <c r="AX13" s="1412"/>
    </row>
    <row customHeight="1" ht="14.25" hidden="1">
      <c r="AF14" s="1239"/>
      <c r="AQ14" s="1239"/>
    </row>
    <row customHeight="1" ht="14.25" hidden="1">
      <c r="AG15" s="2275"/>
      <c r="AH15" s="2275"/>
      <c r="AI15" s="2275"/>
      <c r="AJ15" s="2275"/>
      <c r="AK15" s="2275"/>
      <c r="AL15" s="2275"/>
      <c r="AM15" s="2275"/>
      <c r="AN15" s="3091"/>
      <c r="AO15" s="3092" t="s">
        <v>62</v>
      </c>
      <c r="AP15" s="3091"/>
      <c r="AQ15" s="3092" t="s">
        <v>62</v>
      </c>
    </row>
    <row customHeight="1" ht="14.25" hidden="1">
      <c r="AG16" s="2275"/>
      <c r="AH16" s="2275"/>
      <c r="AI16" s="2275"/>
      <c r="AJ16" s="2275"/>
      <c r="AK16" s="2275"/>
      <c r="AL16" s="2275"/>
      <c r="AM16" s="2275"/>
      <c r="AN16" s="3092"/>
      <c r="AO16" s="3092"/>
      <c r="AP16" s="3092"/>
      <c r="AQ16" s="3092"/>
    </row>
    <row customHeight="1" ht="14.25" hidden="1">
      <c r="AQ17" s="1239"/>
    </row>
    <row s="40129" customFormat="1" customHeight="1" ht="22.5" hidden="1">
      <c r="L18" s="2393"/>
      <c r="M18" s="2277"/>
      <c r="N18" s="2277"/>
      <c r="O18" s="2282" t="s">
        <v>408</v>
      </c>
      <c r="P18" s="2277"/>
      <c r="Q18" s="2286"/>
      <c r="R18" s="2286"/>
      <c r="S18" s="1641"/>
      <c r="W18" s="2281"/>
      <c r="X18" s="2281"/>
      <c r="Y18" s="2281"/>
      <c r="Z18" s="2281"/>
      <c r="AA18" s="2281"/>
      <c r="AB18" s="2281"/>
      <c r="AC18" s="2282"/>
      <c r="AE18" s="2282"/>
      <c r="AF18" s="2281"/>
      <c r="AH18" s="2281"/>
      <c r="AI18" s="2281"/>
      <c r="AJ18" s="2281"/>
      <c r="AK18" s="2281"/>
      <c r="AL18" s="2281"/>
      <c r="AN18" s="2282"/>
      <c r="AP18" s="2282"/>
      <c r="AQ18" s="2281"/>
      <c r="AT18" s="1423"/>
      <c r="AU18" s="1423"/>
      <c r="AV18" s="1423"/>
      <c r="AW18" s="1423"/>
      <c r="AX18" s="1423"/>
    </row>
    <row s="40129" customFormat="1" customHeight="1" ht="14.25" hidden="1">
      <c r="L19" s="2393"/>
      <c r="M19" s="2277"/>
      <c r="N19" s="2277"/>
      <c r="O19" s="2277"/>
      <c r="P19" s="2277"/>
      <c r="Q19" s="2286"/>
      <c r="R19" s="2286"/>
      <c r="S19" s="1641"/>
      <c r="W19" s="2281"/>
      <c r="X19" s="2281"/>
      <c r="Y19" s="2281"/>
      <c r="Z19" s="2281"/>
      <c r="AA19" s="2281"/>
      <c r="AB19" s="2281"/>
      <c r="AF19" s="2281"/>
      <c r="AH19" s="2281"/>
      <c r="AI19" s="2281"/>
      <c r="AJ19" s="2281"/>
      <c r="AK19" s="2281"/>
      <c r="AL19" s="2281"/>
      <c r="AQ19" s="2281"/>
      <c r="AT19" s="1423"/>
      <c r="AU19" s="1423"/>
      <c r="AV19" s="1423"/>
      <c r="AW19" s="1423"/>
      <c r="AX19" s="1423"/>
    </row>
    <row s="40129" customFormat="1" customHeight="1" ht="12" hidden="1">
      <c r="L20" s="2393"/>
      <c r="M20" s="2277"/>
      <c r="N20" s="2277"/>
      <c r="O20" s="2279" t="s">
        <v>409</v>
      </c>
      <c r="P20" s="2277"/>
      <c r="Q20" s="2357"/>
      <c r="R20" s="2357"/>
      <c r="S20" s="1641"/>
      <c r="T20" s="2074" t="s">
        <v>410</v>
      </c>
      <c r="W20" s="2281"/>
      <c r="X20" s="2281"/>
      <c r="Y20" s="2281"/>
      <c r="Z20" s="2281"/>
      <c r="AA20" s="2281"/>
      <c r="AB20" s="2281"/>
      <c r="AD20" s="1098" t="s">
        <v>411</v>
      </c>
      <c r="AF20" s="1098" t="s">
        <v>412</v>
      </c>
      <c r="AG20" s="2074" t="s">
        <v>410</v>
      </c>
      <c r="AH20" s="2281"/>
      <c r="AI20" s="2281"/>
      <c r="AJ20" s="2281"/>
      <c r="AK20" s="2281"/>
      <c r="AL20" s="2281"/>
      <c r="AO20" s="1098" t="s">
        <v>413</v>
      </c>
      <c r="AQ20" s="1098" t="s">
        <v>412</v>
      </c>
    </row>
    <row customHeight="1" ht="14.25" hidden="1">
      <c r="O21" s="2279"/>
    </row>
    <row customHeight="1" ht="14.25" hidden="1">
      <c r="O22" s="2279"/>
    </row>
    <row customHeight="1" ht="14.25">
      <c r="Q23" s="1288"/>
      <c r="R23" s="1288"/>
      <c r="S23" s="2190"/>
      <c r="T23" s="1275"/>
      <c r="U23" s="1275"/>
      <c r="V23" s="1421"/>
      <c r="W23" s="2550"/>
      <c r="X23" s="2550"/>
      <c r="Y23" s="2550"/>
      <c r="Z23" s="2550"/>
      <c r="AA23" s="2550"/>
      <c r="AB23" s="2550"/>
      <c r="AC23" s="1421"/>
      <c r="AD23" s="1421"/>
      <c r="AE23" s="1421"/>
      <c r="AF23" s="1421"/>
      <c r="AG23" s="1421"/>
      <c r="AH23" s="2550"/>
      <c r="AI23" s="2550"/>
      <c r="AJ23" s="2550"/>
      <c r="AK23" s="2550"/>
      <c r="AL23" s="2550"/>
      <c r="AM23" s="1421"/>
      <c r="AN23" s="1421"/>
      <c r="AO23" s="1421"/>
      <c r="AP23" s="1421"/>
      <c r="AQ23" s="1421"/>
    </row>
    <row customHeight="1" ht="24.75">
      <c r="Q24" s="1288"/>
      <c r="R24" s="1288"/>
      <c r="S24" s="30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3072"/>
      <c r="AJ24" s="3072"/>
      <c r="AK24" s="3072"/>
      <c r="AL24" s="3072"/>
      <c r="AM24" s="3072"/>
      <c r="AN24" s="3072"/>
      <c r="AO24" s="3072"/>
      <c r="AP24" s="3072"/>
      <c r="AQ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3073"/>
      <c r="AJ25" s="3073"/>
      <c r="AK25" s="3073"/>
      <c r="AL25" s="3073"/>
      <c r="AM25" s="3073"/>
      <c r="AN25" s="3073"/>
      <c r="AO25" s="3073"/>
      <c r="AP25" s="3073"/>
      <c r="AQ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3075"/>
      <c r="AC27" s="3075"/>
      <c r="AD27" s="3075"/>
      <c r="AE27" s="3075"/>
      <c r="AF27" s="1238"/>
      <c r="AG27" s="3075" t="str">
        <f>IF(TITLE_NAME_OR_PR_CHANGE="",IF(TITLE_NAME_OR_PR="","",TITLE_NAME_OR_PR),TITLE_NAME_OR_PR_CHANGE)</f>
        <v/>
      </c>
      <c r="AH27" s="3075"/>
      <c r="AI27" s="3075"/>
      <c r="AJ27" s="3075"/>
      <c r="AK27" s="3075"/>
      <c r="AL27" s="3075"/>
      <c r="AM27" s="3075"/>
      <c r="AN27" s="3075"/>
      <c r="AO27" s="3075"/>
      <c r="AP27" s="3075"/>
      <c r="AQ27" s="1238"/>
      <c r="AR27" s="1238"/>
      <c r="AS27" s="1192"/>
      <c r="AT27" s="1280"/>
      <c r="AU27" s="1280"/>
      <c r="AV27" s="1280"/>
      <c r="AW27" s="1280"/>
      <c r="AX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3088"/>
      <c r="AC28" s="3088"/>
      <c r="AD28" s="3088"/>
      <c r="AE28" s="3088"/>
      <c r="AF28" s="1238"/>
      <c r="AG28" s="3088" t="str">
        <f>IF(TITLE_DATE_PR_CHANGE="",IF(TITLE_DATE_PR="","",TITLE_DATE_PR),TITLE_DATE_PR_CHANGE)</f>
        <v/>
      </c>
      <c r="AH28" s="3088"/>
      <c r="AI28" s="3088"/>
      <c r="AJ28" s="3088"/>
      <c r="AK28" s="3088"/>
      <c r="AL28" s="3088"/>
      <c r="AM28" s="3088"/>
      <c r="AN28" s="3088"/>
      <c r="AO28" s="3088"/>
      <c r="AP28" s="3088"/>
      <c r="AQ28" s="1238"/>
      <c r="AR28" s="1238"/>
      <c r="AS28" s="1192"/>
      <c r="AT28" s="1280"/>
      <c r="AU28" s="1280"/>
      <c r="AV28" s="1280"/>
      <c r="AW28" s="1280"/>
      <c r="AX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3075"/>
      <c r="AC29" s="3075"/>
      <c r="AD29" s="3075"/>
      <c r="AE29" s="3075"/>
      <c r="AF29" s="1238"/>
      <c r="AG29" s="3075" t="str">
        <f>IF(TITLE_NUMBER_PR_CHANGE="",IF(TITLE_NUMBER_PR="","",TITLE_NUMBER_PR),TITLE_NUMBER_PR_CHANGE)</f>
        <v/>
      </c>
      <c r="AH29" s="3075"/>
      <c r="AI29" s="3075"/>
      <c r="AJ29" s="3075"/>
      <c r="AK29" s="3075"/>
      <c r="AL29" s="3075"/>
      <c r="AM29" s="3075"/>
      <c r="AN29" s="3075"/>
      <c r="AO29" s="3075"/>
      <c r="AP29" s="3075"/>
      <c r="AQ29" s="1238"/>
      <c r="AR29" s="1238"/>
      <c r="AS29" s="1192"/>
      <c r="AT29" s="1280"/>
      <c r="AU29" s="1280"/>
      <c r="AV29" s="1280"/>
      <c r="AW29" s="1280"/>
      <c r="AX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3075"/>
      <c r="AC30" s="3075"/>
      <c r="AD30" s="3075"/>
      <c r="AE30" s="3075"/>
      <c r="AF30" s="1238"/>
      <c r="AG30" s="3075" t="str">
        <f>IF(TITLE_IST_PUB_CHANGE="",IF(TITLE_IST_PUB="","",TITLE_IST_PUB),TITLE_IST_PUB_CHANGE)</f>
        <v/>
      </c>
      <c r="AH30" s="3075"/>
      <c r="AI30" s="3075"/>
      <c r="AJ30" s="3075"/>
      <c r="AK30" s="3075"/>
      <c r="AL30" s="3075"/>
      <c r="AM30" s="3075"/>
      <c r="AN30" s="3075"/>
      <c r="AO30" s="3075"/>
      <c r="AP30" s="3075"/>
      <c r="AQ30" s="1238"/>
      <c r="AR30" s="1238"/>
      <c r="AS30" s="1192"/>
      <c r="AT30" s="1280"/>
      <c r="AU30" s="1280"/>
      <c r="AV30" s="1280"/>
      <c r="AW30" s="1280"/>
      <c r="AX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3088"/>
      <c r="AC32" s="3088"/>
      <c r="AD32" s="3088"/>
      <c r="AE32" s="3088"/>
      <c r="AF32" s="1238"/>
      <c r="AG32" s="3088" t="str">
        <f>IF(TITLE_DATE_PR_CHANGE="",IF(TITLE_DATE_PR="","",TITLE_DATE_PR),TITLE_DATE_PR_CHANGE)</f>
        <v/>
      </c>
      <c r="AH32" s="3088"/>
      <c r="AI32" s="3088"/>
      <c r="AJ32" s="3088"/>
      <c r="AK32" s="3088"/>
      <c r="AL32" s="3088"/>
      <c r="AM32" s="3088"/>
      <c r="AN32" s="3088"/>
      <c r="AO32" s="3088"/>
      <c r="AP32" s="3088"/>
      <c r="AQ32" s="1238"/>
      <c r="AR32" s="1238"/>
      <c r="AS32" s="1192"/>
      <c r="AT32" s="1280"/>
      <c r="AU32" s="1280"/>
      <c r="AV32" s="1280"/>
      <c r="AW32" s="1280"/>
      <c r="AX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3075"/>
      <c r="AC33" s="3075"/>
      <c r="AD33" s="3075"/>
      <c r="AE33" s="3075"/>
      <c r="AF33" s="1238"/>
      <c r="AG33" s="3075" t="str">
        <f>IF(TITLE_NUMBER_PR_CHANGE="",IF(TITLE_NUMBER_PR="","",TITLE_NUMBER_PR),TITLE_NUMBER_PR_CHANGE)</f>
        <v/>
      </c>
      <c r="AH33" s="3075"/>
      <c r="AI33" s="3075"/>
      <c r="AJ33" s="3075"/>
      <c r="AK33" s="3075"/>
      <c r="AL33" s="3075"/>
      <c r="AM33" s="3075"/>
      <c r="AN33" s="3075"/>
      <c r="AO33" s="3075"/>
      <c r="AP33" s="3075"/>
      <c r="AQ33" s="1238"/>
      <c r="AR33" s="1238"/>
      <c r="AS33" s="1192"/>
      <c r="AT33" s="1280"/>
      <c r="AU33" s="1280"/>
      <c r="AV33" s="1280"/>
      <c r="AW33" s="1280"/>
      <c r="AX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2550"/>
      <c r="X34" s="2550"/>
      <c r="Y34" s="2550"/>
      <c r="Z34" s="2550"/>
      <c r="AA34" s="2550"/>
      <c r="AB34" s="2550"/>
      <c r="AC34" s="1238"/>
      <c r="AD34" s="1238"/>
      <c r="AE34" s="1238"/>
      <c r="AF34" s="1190" t="s">
        <v>418</v>
      </c>
      <c r="AG34" s="1238"/>
      <c r="AH34" s="2550"/>
      <c r="AI34" s="2550"/>
      <c r="AJ34" s="2550"/>
      <c r="AK34" s="2550"/>
      <c r="AL34" s="2550"/>
      <c r="AM34" s="1238"/>
      <c r="AN34" s="1238"/>
      <c r="AO34" s="1238"/>
      <c r="AP34" s="1238"/>
      <c r="AQ34" s="1190" t="s">
        <v>418</v>
      </c>
      <c r="AT34" s="1280"/>
      <c r="AU34" s="1280"/>
      <c r="AV34" s="1280"/>
      <c r="AW34" s="1280"/>
      <c r="AX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c r="AL36" s="2953"/>
      <c r="AM36" s="2953"/>
      <c r="AN36" s="2953"/>
      <c r="AO36" s="2953"/>
      <c r="AP36" s="2953"/>
      <c r="AQ36" s="2953"/>
      <c r="AR36" s="2953"/>
      <c r="AS36" s="2953" t="s">
        <v>292</v>
      </c>
    </row>
    <row customHeight="1" ht="14.25">
      <c r="Q37" s="1288"/>
      <c r="R37" s="1288"/>
      <c r="S37" s="3097" t="s">
        <v>84</v>
      </c>
      <c r="T37" s="3033" t="s">
        <v>419</v>
      </c>
      <c r="U37" s="1213"/>
      <c r="V37" s="3098" t="s">
        <v>420</v>
      </c>
      <c r="W37" s="3115"/>
      <c r="X37" s="3115"/>
      <c r="Y37" s="3115"/>
      <c r="Z37" s="3115"/>
      <c r="AA37" s="3115"/>
      <c r="AB37" s="3115"/>
      <c r="AC37" s="3099"/>
      <c r="AD37" s="3099"/>
      <c r="AE37" s="3100"/>
      <c r="AF37" s="3101" t="s">
        <v>421</v>
      </c>
      <c r="AG37" s="3098" t="s">
        <v>420</v>
      </c>
      <c r="AH37" s="3099"/>
      <c r="AI37" s="3099"/>
      <c r="AJ37" s="3099"/>
      <c r="AK37" s="3099"/>
      <c r="AL37" s="3099"/>
      <c r="AM37" s="3099"/>
      <c r="AN37" s="3099"/>
      <c r="AO37" s="3099"/>
      <c r="AP37" s="3100"/>
      <c r="AQ37" s="3101" t="s">
        <v>422</v>
      </c>
      <c r="AR37" s="3104" t="s">
        <v>423</v>
      </c>
      <c r="AS37" s="2953"/>
    </row>
    <row customHeight="1" ht="18.75">
      <c r="Q38" s="1288"/>
      <c r="R38" s="1288"/>
      <c r="S38" s="3097"/>
      <c r="T38" s="3033"/>
      <c r="U38" s="1944"/>
      <c r="V38" s="3183" t="s">
        <v>524</v>
      </c>
      <c r="W38" s="3182" t="s">
        <v>525</v>
      </c>
      <c r="X38" s="3182"/>
      <c r="Y38" s="3182"/>
      <c r="Z38" s="3182" t="s">
        <v>526</v>
      </c>
      <c r="AA38" s="3182"/>
      <c r="AB38" s="3182"/>
      <c r="AC38" s="3118" t="s">
        <v>427</v>
      </c>
      <c r="AD38" s="3130"/>
      <c r="AE38" s="3131"/>
      <c r="AF38" s="3102"/>
      <c r="AG38" s="3183" t="s">
        <v>524</v>
      </c>
      <c r="AH38" s="3182" t="s">
        <v>525</v>
      </c>
      <c r="AI38" s="3182"/>
      <c r="AJ38" s="3182"/>
      <c r="AK38" s="3182" t="s">
        <v>526</v>
      </c>
      <c r="AL38" s="3182"/>
      <c r="AM38" s="3182"/>
      <c r="AN38" s="3118" t="s">
        <v>427</v>
      </c>
      <c r="AO38" s="3130"/>
      <c r="AP38" s="3131"/>
      <c r="AQ38" s="3102"/>
      <c r="AR38" s="3105"/>
      <c r="AS38" s="2953"/>
    </row>
    <row s="40257" customFormat="1" customHeight="1" ht="18.75">
      <c r="A39" s="2281"/>
      <c r="B39" s="2281"/>
      <c r="C39" s="2281"/>
      <c r="D39" s="2281"/>
      <c r="E39" s="2281"/>
      <c r="F39" s="2281"/>
      <c r="G39" s="2281"/>
      <c r="H39" s="2281"/>
      <c r="I39" s="2281"/>
      <c r="J39" s="2281"/>
      <c r="K39" s="2281"/>
      <c r="L39" s="2867"/>
      <c r="M39" s="2277"/>
      <c r="N39" s="2277"/>
      <c r="O39" s="2277"/>
      <c r="P39" s="2881"/>
      <c r="Q39" s="1288"/>
      <c r="R39" s="1288"/>
      <c r="S39" s="3097"/>
      <c r="T39" s="3033"/>
      <c r="U39" s="1944"/>
      <c r="V39" s="3183"/>
      <c r="W39" s="3182" t="s">
        <v>527</v>
      </c>
      <c r="X39" s="3182" t="s">
        <v>528</v>
      </c>
      <c r="Y39" s="3182"/>
      <c r="Z39" s="3182" t="s">
        <v>529</v>
      </c>
      <c r="AA39" s="3182" t="s">
        <v>528</v>
      </c>
      <c r="AB39" s="3182"/>
      <c r="AC39" s="3119"/>
      <c r="AD39" s="3132"/>
      <c r="AE39" s="3133"/>
      <c r="AF39" s="3102"/>
      <c r="AG39" s="3183"/>
      <c r="AH39" s="3182" t="s">
        <v>527</v>
      </c>
      <c r="AI39" s="3182" t="s">
        <v>528</v>
      </c>
      <c r="AJ39" s="3182"/>
      <c r="AK39" s="3182" t="s">
        <v>529</v>
      </c>
      <c r="AL39" s="3182" t="s">
        <v>528</v>
      </c>
      <c r="AM39" s="3182"/>
      <c r="AN39" s="3119"/>
      <c r="AO39" s="3132"/>
      <c r="AP39" s="3133"/>
      <c r="AQ39" s="3102"/>
      <c r="AR39" s="3105"/>
      <c r="AS39" s="2953"/>
      <c r="AT39" s="2551"/>
      <c r="AU39" s="2551"/>
      <c r="AV39" s="2551"/>
      <c r="AW39" s="2551"/>
      <c r="AX39" s="2551"/>
    </row>
    <row customHeight="1" ht="59.25">
      <c r="A40" s="2285"/>
      <c r="B40" s="2285" t="s">
        <v>128</v>
      </c>
      <c r="C40" s="2285" t="s">
        <v>129</v>
      </c>
      <c r="D40" s="2285" t="s">
        <v>130</v>
      </c>
      <c r="E40" s="2279" t="s">
        <v>428</v>
      </c>
      <c r="F40" s="2279" t="s">
        <v>429</v>
      </c>
      <c r="G40" s="2279" t="s">
        <v>430</v>
      </c>
      <c r="H40" s="2279"/>
      <c r="I40" s="2279" t="s">
        <v>482</v>
      </c>
      <c r="J40" s="2279" t="s">
        <v>433</v>
      </c>
      <c r="K40" s="2279" t="s">
        <v>483</v>
      </c>
      <c r="L40" s="2279" t="s">
        <v>409</v>
      </c>
      <c r="Q40" s="1288"/>
      <c r="R40" s="1288"/>
      <c r="S40" s="3097"/>
      <c r="T40" s="3033"/>
      <c r="U40" s="1214"/>
      <c r="V40" s="3183"/>
      <c r="W40" s="3182"/>
      <c r="X40" s="2900" t="s">
        <v>530</v>
      </c>
      <c r="Y40" s="2900" t="s">
        <v>531</v>
      </c>
      <c r="Z40" s="3182"/>
      <c r="AA40" s="2900" t="s">
        <v>532</v>
      </c>
      <c r="AB40" s="2900" t="s">
        <v>533</v>
      </c>
      <c r="AC40" s="2404" t="s">
        <v>437</v>
      </c>
      <c r="AD40" s="3094" t="s">
        <v>438</v>
      </c>
      <c r="AE40" s="3095"/>
      <c r="AF40" s="3103"/>
      <c r="AG40" s="3183"/>
      <c r="AH40" s="3182"/>
      <c r="AI40" s="2900" t="s">
        <v>530</v>
      </c>
      <c r="AJ40" s="2900" t="s">
        <v>531</v>
      </c>
      <c r="AK40" s="3182"/>
      <c r="AL40" s="2900" t="s">
        <v>532</v>
      </c>
      <c r="AM40" s="2900" t="s">
        <v>533</v>
      </c>
      <c r="AN40" s="2404" t="s">
        <v>437</v>
      </c>
      <c r="AO40" s="3094" t="s">
        <v>438</v>
      </c>
      <c r="AP40" s="3095"/>
      <c r="AQ40" s="3103"/>
      <c r="AR40" s="3106"/>
      <c r="AS40" s="2953"/>
    </row>
    <row s="39960" customFormat="1" customHeight="1" ht="11.25" hidden="1">
      <c r="A41" s="2285"/>
      <c r="B41" s="2285"/>
      <c r="C41" s="2285"/>
      <c r="D41" s="2285"/>
      <c r="E41" s="2285"/>
      <c r="F41" s="2285"/>
      <c r="G41" s="2285"/>
      <c r="H41" s="2285"/>
      <c r="I41" s="2285"/>
      <c r="J41" s="2285"/>
      <c r="K41" s="2285"/>
      <c r="L41" s="2279"/>
      <c r="M41" s="2277"/>
      <c r="N41" s="2277"/>
      <c r="O41" s="2277"/>
      <c r="P41" s="2160"/>
      <c r="Q41" s="2161"/>
      <c r="R41" s="2168">
        <v>1</v>
      </c>
      <c r="S41" s="2192" t="s">
        <v>102</v>
      </c>
      <c r="T41" s="2169" t="s">
        <v>103</v>
      </c>
      <c r="U41" s="2159" t="str">
        <f>OFFSET(U41,0,-1)</f>
        <v>2</v>
      </c>
      <c r="V41" s="2397">
        <f>OFFSET(V41,0,-1)+1</f>
        <v>3</v>
      </c>
      <c r="W41" s="2256"/>
      <c r="X41" s="2256"/>
      <c r="Y41" s="2256"/>
      <c r="Z41" s="2256"/>
      <c r="AA41" s="2256"/>
      <c r="AB41" s="2256"/>
      <c r="AC41" s="2397">
        <f>OFFSET(AC41,0,-1)+1</f>
        <v>1</v>
      </c>
      <c r="AD41" s="3096">
        <f>OFFSET(AD41,0,-1)+1</f>
        <v>2</v>
      </c>
      <c r="AE41" s="3096"/>
      <c r="AF41" s="2397">
        <f>OFFSET(AF41,0,-2)+1</f>
        <v>3</v>
      </c>
      <c r="AG41" s="2397">
        <f>OFFSET(AG41,0,-1)+1</f>
        <v>4</v>
      </c>
      <c r="AH41" s="2872"/>
      <c r="AI41" s="2872"/>
      <c r="AJ41" s="2872"/>
      <c r="AK41" s="2872"/>
      <c r="AL41" s="2872"/>
      <c r="AM41" s="2397">
        <f>OFFSET(AM41,0,-1)+1</f>
        <v>1</v>
      </c>
      <c r="AN41" s="2397">
        <f>OFFSET(AN41,0,-1)+1</f>
        <v>2</v>
      </c>
      <c r="AO41" s="3096">
        <f>OFFSET(AO41,0,-1)+1</f>
        <v>3</v>
      </c>
      <c r="AP41" s="3096"/>
      <c r="AQ41" s="2397">
        <f>OFFSET(AQ41,0,-2)+1</f>
        <v>4</v>
      </c>
      <c r="AR41" s="2159">
        <f>OFFSET(AR41,0,-1)</f>
        <v>4</v>
      </c>
      <c r="AS41" s="2397">
        <f>OFFSET(AS41,0,-1)+1</f>
        <v>5</v>
      </c>
      <c r="AT41" s="1423"/>
      <c r="AU41" s="1423"/>
      <c r="AV41" s="1423"/>
      <c r="AW41" s="1423"/>
      <c r="AX41" s="1423"/>
    </row>
    <row customHeight="1" ht="23.25">
      <c r="A42" s="2278" t="s">
        <v>242</v>
      </c>
      <c r="B42" s="2278"/>
      <c r="C42" s="2278"/>
      <c r="D42" s="2278"/>
      <c r="E42" s="3082">
        <v>1</v>
      </c>
      <c r="F42" s="2278"/>
      <c r="G42" s="2278"/>
      <c r="H42" s="2278"/>
      <c r="I42" s="2278"/>
      <c r="J42" s="2278"/>
      <c r="K42" s="2278"/>
      <c r="L42" s="2279"/>
      <c r="M42" s="2280"/>
      <c r="N42" s="2280"/>
      <c r="O42" s="2280"/>
      <c r="P42" s="1273"/>
      <c r="Q42" s="1272"/>
      <c r="R42" s="1267"/>
      <c r="S42" s="2408">
        <f>INDEX(PT_DIFFERENTIATION_NUM_NTAR,MATCH(A42,PT_DIFFERENTIATION_NTAR_ID,0))</f>
        <v>0</v>
      </c>
      <c r="T42" s="1210" t="s">
        <v>116</v>
      </c>
      <c r="U42" s="1212"/>
      <c r="V42" s="3066"/>
      <c r="W42" s="3067"/>
      <c r="X42" s="3067"/>
      <c r="Y42" s="3067"/>
      <c r="Z42" s="3067"/>
      <c r="AA42" s="3067"/>
      <c r="AB42" s="3067"/>
      <c r="AC42" s="3067"/>
      <c r="AD42" s="3067"/>
      <c r="AE42" s="3067"/>
      <c r="AF42" s="3068"/>
      <c r="AG42" s="3066" t="str">
        <f>INDEX(PT_DIFFERENTIATION_NTAR,MATCH(A42,PT_DIFFERENTIATION_NTAR_ID,0))</f>
        <v/>
      </c>
      <c r="AH42" s="3067"/>
      <c r="AI42" s="3067"/>
      <c r="AJ42" s="3067"/>
      <c r="AK42" s="3067"/>
      <c r="AL42" s="3067"/>
      <c r="AM42" s="3067"/>
      <c r="AN42" s="3067"/>
      <c r="AO42" s="3067"/>
      <c r="AP42" s="3067"/>
      <c r="AQ42" s="3067"/>
      <c r="AR42" s="3068"/>
      <c r="AS4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12"/>
      <c r="AV42" s="1412" t="str">
        <f>IF(T42="","",T42)</f>
        <v>Наименование тарифа</v>
      </c>
      <c r="AW42" s="1412"/>
      <c r="AX42" s="1412"/>
    </row>
    <row customHeight="1" ht="23.25">
      <c r="A43" s="2278" t="s">
        <v>242</v>
      </c>
      <c r="B43" s="2278" t="s">
        <v>243</v>
      </c>
      <c r="C43" s="2278"/>
      <c r="D43" s="2278"/>
      <c r="E43" s="3083"/>
      <c r="F43" s="3082">
        <v>1</v>
      </c>
      <c r="G43" s="2278"/>
      <c r="H43" s="2278"/>
      <c r="I43" s="2278"/>
      <c r="J43" s="2278"/>
      <c r="K43" s="2278"/>
      <c r="L43" s="2279"/>
      <c r="M43" s="2280"/>
      <c r="N43" s="2280"/>
      <c r="O43" s="2280"/>
      <c r="P43" s="2402"/>
      <c r="Q43" s="1264"/>
      <c r="R43" s="1265"/>
      <c r="S43" s="2408" t="str">
        <f>INDEX(PT_DIFFERENTIATION_NUM_TER,MATCH(B43,PT_DIFFERENTIATION_TER_ID,0))</f>
        <v>.</v>
      </c>
      <c r="T43" s="1220" t="s">
        <v>388</v>
      </c>
      <c r="U43" s="1212"/>
      <c r="V43" s="3066"/>
      <c r="W43" s="3067"/>
      <c r="X43" s="3067"/>
      <c r="Y43" s="3067"/>
      <c r="Z43" s="3067"/>
      <c r="AA43" s="3067"/>
      <c r="AB43" s="3067"/>
      <c r="AC43" s="3067"/>
      <c r="AD43" s="3067"/>
      <c r="AE43" s="3067"/>
      <c r="AF43" s="3068"/>
      <c r="AG43" s="3066" t="str">
        <f>INDEX(PT_DIFFERENTIATION_TER,MATCH(B43,PT_DIFFERENTIATION_TER_ID,0))</f>
        <v/>
      </c>
      <c r="AH43" s="3067"/>
      <c r="AI43" s="3067"/>
      <c r="AJ43" s="3067"/>
      <c r="AK43" s="3067"/>
      <c r="AL43" s="3067"/>
      <c r="AM43" s="3067"/>
      <c r="AN43" s="3067"/>
      <c r="AO43" s="3067"/>
      <c r="AP43" s="3067"/>
      <c r="AQ43" s="3067"/>
      <c r="AR43" s="3068"/>
      <c r="AS43" s="2172" t="s">
        <v>389</v>
      </c>
      <c r="AU43" s="1412"/>
      <c r="AV43" s="1412" t="str">
        <f>IF(T43="","",T43)</f>
        <v>Территория действия тарифа</v>
      </c>
      <c r="AW43" s="1412"/>
      <c r="AX43" s="1412"/>
    </row>
    <row customHeight="1" ht="23.25">
      <c r="A44" s="2278" t="s">
        <v>242</v>
      </c>
      <c r="B44" s="2278" t="s">
        <v>243</v>
      </c>
      <c r="C44" s="2278" t="s">
        <v>244</v>
      </c>
      <c r="D44" s="2278"/>
      <c r="E44" s="3083"/>
      <c r="F44" s="3083"/>
      <c r="G44" s="3082">
        <v>1</v>
      </c>
      <c r="H44" s="2278"/>
      <c r="I44" s="2278"/>
      <c r="J44" s="2278"/>
      <c r="K44" s="2278"/>
      <c r="L44" s="2279"/>
      <c r="M44" s="2280"/>
      <c r="N44" s="2280"/>
      <c r="O44" s="2280"/>
      <c r="P44" s="1266"/>
      <c r="Q44" s="1264"/>
      <c r="R44" s="1265"/>
      <c r="S44" s="2408" t="str">
        <f>INDEX(PT_DIFFERENTIATION_NUM_CS,MATCH(C44,PT_DIFFERENTIATION_CS_ID,0))</f>
        <v>..</v>
      </c>
      <c r="T44" s="1221" t="s">
        <v>522</v>
      </c>
      <c r="U44" s="1212"/>
      <c r="V44" s="3066"/>
      <c r="W44" s="3067"/>
      <c r="X44" s="3067"/>
      <c r="Y44" s="3067"/>
      <c r="Z44" s="3067"/>
      <c r="AA44" s="3067"/>
      <c r="AB44" s="3067"/>
      <c r="AC44" s="3067"/>
      <c r="AD44" s="3067"/>
      <c r="AE44" s="3067"/>
      <c r="AF44" s="3068"/>
      <c r="AG44" s="3066" t="str">
        <f>INDEX(PT_DIFFERENTIATION_CS,MATCH(C44,PT_DIFFERENTIATION_CS_ID,0))</f>
        <v/>
      </c>
      <c r="AH44" s="3067"/>
      <c r="AI44" s="3067"/>
      <c r="AJ44" s="3067"/>
      <c r="AK44" s="3067"/>
      <c r="AL44" s="3067"/>
      <c r="AM44" s="3067"/>
      <c r="AN44" s="3067"/>
      <c r="AO44" s="3067"/>
      <c r="AP44" s="3067"/>
      <c r="AQ44" s="3067"/>
      <c r="AR44" s="3068"/>
      <c r="AS44" s="2172" t="s">
        <v>523</v>
      </c>
      <c r="AU44" s="1412"/>
      <c r="AV44" s="1412" t="str">
        <f>IF(T44="","",T44)</f>
        <v>Наименование централизованной системы горячего водоснабжения</v>
      </c>
      <c r="AW44" s="1412"/>
      <c r="AX44" s="1412"/>
    </row>
    <row customHeight="1" ht="23.25">
      <c r="A45" s="2278" t="s">
        <v>242</v>
      </c>
      <c r="B45" s="2278" t="s">
        <v>243</v>
      </c>
      <c r="C45" s="2278" t="s">
        <v>244</v>
      </c>
      <c r="D45" s="2278" t="s">
        <v>534</v>
      </c>
      <c r="E45" s="3083"/>
      <c r="F45" s="3083"/>
      <c r="G45" s="3083"/>
      <c r="H45" s="3083"/>
      <c r="I45" s="3080" t="str">
        <f>S44&amp;".1"</f>
        <v>...1</v>
      </c>
      <c r="J45" s="2278"/>
      <c r="K45" s="2278"/>
      <c r="L45" s="2279"/>
      <c r="P45" s="3081">
        <v>1</v>
      </c>
      <c r="Q45" s="2396"/>
      <c r="R45" s="1268"/>
      <c r="S45" s="2408" t="str">
        <f>$I45</f>
        <v>...1</v>
      </c>
      <c r="T45" s="1197" t="s">
        <v>475</v>
      </c>
      <c r="U45" s="1212"/>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2172" t="s">
        <v>476</v>
      </c>
      <c r="AU45" s="1412"/>
      <c r="AV45" s="1412" t="str">
        <f>IF(T45="","",T45)</f>
        <v>Наименование признака дифференциации</v>
      </c>
      <c r="AW45" s="1412"/>
      <c r="AX45" s="1412"/>
    </row>
    <row customHeight="1" ht="23.25">
      <c r="A46" s="2278" t="s">
        <v>242</v>
      </c>
      <c r="B46" s="2278" t="s">
        <v>243</v>
      </c>
      <c r="C46" s="2278" t="s">
        <v>244</v>
      </c>
      <c r="D46" s="2278" t="s">
        <v>534</v>
      </c>
      <c r="E46" s="3083"/>
      <c r="F46" s="3083"/>
      <c r="G46" s="3083"/>
      <c r="H46" s="3083"/>
      <c r="I46" s="3110"/>
      <c r="J46" s="3080" t="str">
        <f>I45&amp;".1"</f>
        <v>...1.1</v>
      </c>
      <c r="K46" s="2278"/>
      <c r="L46" s="2279" t="s">
        <v>397</v>
      </c>
      <c r="P46" s="3081"/>
      <c r="Q46" s="3081">
        <v>1</v>
      </c>
      <c r="R46" s="1269"/>
      <c r="S46" s="2408" t="str">
        <f>$J46</f>
        <v>...1.1</v>
      </c>
      <c r="T46" s="1198" t="s">
        <v>398</v>
      </c>
      <c r="U46" s="1212"/>
      <c r="V46" s="3069"/>
      <c r="W46" s="3070"/>
      <c r="X46" s="3070"/>
      <c r="Y46" s="3070"/>
      <c r="Z46" s="3070"/>
      <c r="AA46" s="3070"/>
      <c r="AB46" s="3070"/>
      <c r="AC46" s="3070"/>
      <c r="AD46" s="3070"/>
      <c r="AE46" s="3070"/>
      <c r="AF46" s="3071"/>
      <c r="AG46" s="3069"/>
      <c r="AH46" s="3070"/>
      <c r="AI46" s="3070"/>
      <c r="AJ46" s="3070"/>
      <c r="AK46" s="3070"/>
      <c r="AL46" s="3070"/>
      <c r="AM46" s="3070"/>
      <c r="AN46" s="3070"/>
      <c r="AO46" s="3070"/>
      <c r="AP46" s="3070"/>
      <c r="AQ46" s="3070"/>
      <c r="AR46" s="3071"/>
      <c r="AS46" s="2222" t="s">
        <v>477</v>
      </c>
      <c r="AU46" s="1412"/>
      <c r="AV46" s="1412" t="str">
        <f>IF(T46="","",T46)</f>
        <v>Группа потребителей</v>
      </c>
      <c r="AW46" s="1412"/>
      <c r="AX46" s="1412"/>
    </row>
    <row customHeight="1" ht="23.25">
      <c r="A47" s="2278" t="s">
        <v>242</v>
      </c>
      <c r="B47" s="2278" t="s">
        <v>243</v>
      </c>
      <c r="C47" s="2278" t="s">
        <v>244</v>
      </c>
      <c r="D47" s="2278" t="s">
        <v>534</v>
      </c>
      <c r="E47" s="3083"/>
      <c r="F47" s="3083"/>
      <c r="G47" s="3083"/>
      <c r="H47" s="3083"/>
      <c r="I47" s="3110"/>
      <c r="J47" s="3110"/>
      <c r="K47" s="3080" t="str">
        <f>J46&amp;".1"</f>
        <v>...1.1.1</v>
      </c>
      <c r="L47" s="2279"/>
      <c r="P47" s="3081"/>
      <c r="Q47" s="3081"/>
      <c r="R47" s="1269">
        <v>1</v>
      </c>
      <c r="S47" s="2408" t="str">
        <f>$K47</f>
        <v>...1.1.1</v>
      </c>
      <c r="T47" s="2352"/>
      <c r="U47" s="1212"/>
      <c r="V47" s="1663"/>
      <c r="W47" s="1663"/>
      <c r="X47" s="1663"/>
      <c r="Y47" s="1663"/>
      <c r="Z47" s="1663"/>
      <c r="AA47" s="1663"/>
      <c r="AB47" s="1663"/>
      <c r="AC47" s="3091"/>
      <c r="AD47" s="3092" t="s">
        <v>62</v>
      </c>
      <c r="AE47" s="3091"/>
      <c r="AF47" s="3092" t="s">
        <v>62</v>
      </c>
      <c r="AG47" s="1663"/>
      <c r="AH47" s="1663"/>
      <c r="AI47" s="1663"/>
      <c r="AJ47" s="1663"/>
      <c r="AK47" s="1663"/>
      <c r="AL47" s="1663"/>
      <c r="AM47" s="1663"/>
      <c r="AN47" s="3089"/>
      <c r="AO47" s="2933" t="s">
        <v>62</v>
      </c>
      <c r="AP47" s="3111"/>
      <c r="AQ47" s="2933" t="s">
        <v>52</v>
      </c>
      <c r="AR47" s="2353"/>
      <c r="AS4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423">
        <f>STRCHECKDATE(V48:AR48)</f>
      </c>
      <c r="AU47" s="1412"/>
      <c r="AV47" s="1412" t="str">
        <f>IF(T47="","",T47)</f>
        <v/>
      </c>
      <c r="AW47" s="1412"/>
      <c r="AX47" s="1412"/>
    </row>
    <row customHeight="1" ht="0">
      <c r="A48" s="2278" t="s">
        <v>242</v>
      </c>
      <c r="B48" s="2278" t="s">
        <v>243</v>
      </c>
      <c r="C48" s="2278" t="s">
        <v>244</v>
      </c>
      <c r="D48" s="2278" t="s">
        <v>534</v>
      </c>
      <c r="E48" s="3083"/>
      <c r="F48" s="3083"/>
      <c r="G48" s="3083"/>
      <c r="H48" s="3083"/>
      <c r="I48" s="3110"/>
      <c r="J48" s="3110"/>
      <c r="K48" s="3080"/>
      <c r="L48" s="2279"/>
      <c r="P48" s="3081"/>
      <c r="Q48" s="3081"/>
      <c r="R48" s="1269"/>
      <c r="S48" s="2405"/>
      <c r="T48" s="1212"/>
      <c r="U48" s="1212"/>
      <c r="V48" s="2275"/>
      <c r="W48" s="2275"/>
      <c r="X48" s="2275"/>
      <c r="Y48" s="2275"/>
      <c r="Z48" s="2275"/>
      <c r="AA48" s="2275"/>
      <c r="AB48" s="2275"/>
      <c r="AC48" s="3092"/>
      <c r="AD48" s="3092"/>
      <c r="AE48" s="3092"/>
      <c r="AF48" s="3092"/>
      <c r="AG48" s="1237"/>
      <c r="AH48" s="1237"/>
      <c r="AI48" s="1237"/>
      <c r="AJ48" s="1237"/>
      <c r="AK48" s="1237"/>
      <c r="AL48" s="1237"/>
      <c r="AM48" s="1237"/>
      <c r="AN48" s="3090"/>
      <c r="AO48" s="2933"/>
      <c r="AP48" s="3112"/>
      <c r="AQ48" s="2933"/>
      <c r="AR48" s="2354"/>
      <c r="AS48" s="3165"/>
      <c r="AU48" s="1412"/>
      <c r="AV48" s="1412" t="str">
        <f>IF(T48="","",T48)</f>
        <v/>
      </c>
      <c r="AW48" s="1412"/>
      <c r="AX48" s="1412"/>
    </row>
    <row customHeight="1" ht="21">
      <c r="A49" s="2278" t="s">
        <v>242</v>
      </c>
      <c r="B49" s="2278" t="s">
        <v>243</v>
      </c>
      <c r="C49" s="2278" t="s">
        <v>244</v>
      </c>
      <c r="D49" s="2278" t="s">
        <v>534</v>
      </c>
      <c r="E49" s="3083"/>
      <c r="F49" s="3083"/>
      <c r="G49" s="3083"/>
      <c r="H49" s="3083"/>
      <c r="I49" s="3110"/>
      <c r="J49" s="3080"/>
      <c r="K49" s="2278"/>
      <c r="L49" s="2279"/>
      <c r="P49" s="3081"/>
      <c r="Q49" s="3081"/>
      <c r="R49" s="1268"/>
      <c r="S49" s="2193"/>
      <c r="T49" s="1199" t="s">
        <v>478</v>
      </c>
      <c r="U49" s="1279"/>
      <c r="V49" s="1279"/>
      <c r="W49" s="1512"/>
      <c r="X49" s="1512"/>
      <c r="Y49" s="1512"/>
      <c r="Z49" s="1512"/>
      <c r="AA49" s="1512"/>
      <c r="AB49" s="1512"/>
      <c r="AC49" s="1279"/>
      <c r="AD49" s="1279"/>
      <c r="AE49" s="1279"/>
      <c r="AF49" s="1279"/>
      <c r="AG49" s="1279"/>
      <c r="AH49" s="1512"/>
      <c r="AI49" s="1512"/>
      <c r="AJ49" s="1512"/>
      <c r="AK49" s="1512"/>
      <c r="AL49" s="1512"/>
      <c r="AM49" s="1279"/>
      <c r="AN49" s="1279"/>
      <c r="AO49" s="1279"/>
      <c r="AP49" s="1279"/>
      <c r="AQ49" s="1279"/>
      <c r="AR49" s="1279"/>
      <c r="AS49" s="2172" t="s">
        <v>479</v>
      </c>
      <c r="AU49" s="1412"/>
      <c r="AV49" s="1412" t="str">
        <f>IF(T49="","",T49)</f>
        <v>Добавить значение признака дифференциации</v>
      </c>
      <c r="AW49" s="1412"/>
      <c r="AX49" s="1412"/>
    </row>
    <row customHeight="1" ht="21">
      <c r="A50" s="2278" t="s">
        <v>242</v>
      </c>
      <c r="B50" s="2278" t="s">
        <v>243</v>
      </c>
      <c r="C50" s="2278" t="s">
        <v>244</v>
      </c>
      <c r="D50" s="2278" t="s">
        <v>534</v>
      </c>
      <c r="E50" s="3083"/>
      <c r="F50" s="3083"/>
      <c r="G50" s="3083"/>
      <c r="H50" s="3083"/>
      <c r="I50" s="3080"/>
      <c r="J50" s="2278"/>
      <c r="K50" s="2278"/>
      <c r="L50" s="2279"/>
      <c r="P50" s="3081"/>
      <c r="Q50" s="2396"/>
      <c r="R50" s="1268"/>
      <c r="S50" s="2193"/>
      <c r="T50" s="1277" t="s">
        <v>403</v>
      </c>
      <c r="U50" s="1279"/>
      <c r="V50" s="1279"/>
      <c r="W50" s="1512"/>
      <c r="X50" s="1512"/>
      <c r="Y50" s="1512"/>
      <c r="Z50" s="1512"/>
      <c r="AA50" s="1512"/>
      <c r="AB50" s="1512"/>
      <c r="AC50" s="1279"/>
      <c r="AD50" s="1279"/>
      <c r="AE50" s="1279"/>
      <c r="AF50" s="1278"/>
      <c r="AG50" s="1279"/>
      <c r="AH50" s="1512"/>
      <c r="AI50" s="1512"/>
      <c r="AJ50" s="1512"/>
      <c r="AK50" s="1512"/>
      <c r="AL50" s="1512"/>
      <c r="AM50" s="1279"/>
      <c r="AN50" s="1279"/>
      <c r="AO50" s="1279"/>
      <c r="AP50" s="1279"/>
      <c r="AQ50" s="1278"/>
      <c r="AR50" s="1279"/>
      <c r="AS50" s="2355"/>
      <c r="AU50" s="1412"/>
      <c r="AV50" s="1412" t="str">
        <f>IF(T50="","",T50)</f>
        <v>Добавить группу потребителей</v>
      </c>
      <c r="AW50" s="1412"/>
      <c r="AX50" s="1412"/>
    </row>
    <row customHeight="1" ht="21">
      <c r="A51" s="2278" t="s">
        <v>242</v>
      </c>
      <c r="B51" s="2278" t="s">
        <v>243</v>
      </c>
      <c r="C51" s="2278" t="s">
        <v>244</v>
      </c>
      <c r="D51" s="2278" t="s">
        <v>534</v>
      </c>
      <c r="E51" s="3083"/>
      <c r="F51" s="3083"/>
      <c r="G51" s="3083"/>
      <c r="H51" s="3082"/>
      <c r="I51" s="2278"/>
      <c r="J51" s="2278"/>
      <c r="K51" s="2278"/>
      <c r="L51" s="2279"/>
      <c r="M51" s="2280"/>
      <c r="N51" s="2280"/>
      <c r="O51" s="1449"/>
      <c r="P51" s="1272"/>
      <c r="Q51" s="1287"/>
      <c r="R51" s="1267"/>
      <c r="S51" s="2193"/>
      <c r="T51" s="1284" t="s">
        <v>480</v>
      </c>
      <c r="U51" s="1279"/>
      <c r="V51" s="1279"/>
      <c r="W51" s="1512"/>
      <c r="X51" s="1512"/>
      <c r="Y51" s="1512"/>
      <c r="Z51" s="1512"/>
      <c r="AA51" s="1512"/>
      <c r="AB51" s="1512"/>
      <c r="AC51" s="1279"/>
      <c r="AD51" s="1279"/>
      <c r="AE51" s="1279"/>
      <c r="AF51" s="1278"/>
      <c r="AG51" s="1279"/>
      <c r="AH51" s="1512"/>
      <c r="AI51" s="1512"/>
      <c r="AJ51" s="1512"/>
      <c r="AK51" s="1512"/>
      <c r="AL51" s="1512"/>
      <c r="AM51" s="1279"/>
      <c r="AN51" s="1279"/>
      <c r="AO51" s="1279"/>
      <c r="AP51" s="1279"/>
      <c r="AQ51" s="1278"/>
      <c r="AR51" s="1279"/>
      <c r="AS51" s="1215"/>
      <c r="AU51" s="1412"/>
      <c r="AV51" s="1412" t="str">
        <f>IF(T51="","",T51)</f>
        <v>Добавить наименование признака дифференциации</v>
      </c>
      <c r="AW51" s="1412"/>
      <c r="AX51" s="1412"/>
    </row>
    <row s="40110" customFormat="1" customHeight="1" ht="0">
      <c r="A52" s="2258" t="s">
        <v>242</v>
      </c>
      <c r="B52" s="2258" t="s">
        <v>243</v>
      </c>
      <c r="C52" s="2229"/>
      <c r="D52" s="2229"/>
      <c r="E52" s="3083"/>
      <c r="F52" s="3082"/>
      <c r="G52" s="2229"/>
      <c r="H52" s="2229"/>
      <c r="I52" s="2229"/>
      <c r="J52" s="2229"/>
      <c r="K52" s="2229"/>
      <c r="L52" s="2409"/>
      <c r="M52" s="2236"/>
      <c r="N52" s="2236"/>
      <c r="P52" s="2231"/>
      <c r="Q52" s="2232"/>
      <c r="R52" s="2231"/>
      <c r="S52" s="2237"/>
      <c r="T52" s="2240" t="s">
        <v>406</v>
      </c>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c r="AS52" s="2239"/>
      <c r="AU52" s="1701"/>
      <c r="AV52" s="1701" t="str">
        <f>IF(T52="","",T52)</f>
        <v>Добавить централизованную систему для дифференциации</v>
      </c>
      <c r="AW52" s="1701"/>
      <c r="AX52" s="1701"/>
    </row>
    <row s="40202" customFormat="1" customHeight="1" ht="0">
      <c r="A53" s="2258" t="s">
        <v>242</v>
      </c>
      <c r="B53" s="2258"/>
      <c r="C53" s="2258"/>
      <c r="D53" s="2258"/>
      <c r="E53" s="3082"/>
      <c r="F53" s="2258"/>
      <c r="G53" s="2258"/>
      <c r="H53" s="2258"/>
      <c r="I53" s="2258"/>
      <c r="J53" s="2258"/>
      <c r="K53" s="2258"/>
      <c r="L53" s="2261"/>
      <c r="M53" s="2236"/>
      <c r="N53" s="2236"/>
      <c r="O53" s="1430"/>
      <c r="P53" s="1292"/>
      <c r="Q53" s="2259"/>
      <c r="R53" s="1292"/>
      <c r="S53" s="2237"/>
      <c r="T53" s="2240" t="s">
        <v>407</v>
      </c>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c r="AS53" s="2239"/>
      <c r="AU53" s="1412"/>
      <c r="AV53" s="1412" t="str">
        <f>IF(T53="","",T53)</f>
        <v>Добавить территорию для дифференциации</v>
      </c>
      <c r="AW53" s="1412"/>
      <c r="AX53" s="1412"/>
    </row>
    <row s="40110" customFormat="1" customHeight="1" ht="0">
      <c r="A54" s="2229"/>
      <c r="B54" s="2229"/>
      <c r="C54" s="2229"/>
      <c r="D54" s="2229"/>
      <c r="E54" s="2258"/>
      <c r="F54" s="2229"/>
      <c r="G54" s="2229"/>
      <c r="H54" s="2229"/>
      <c r="I54" s="2229"/>
      <c r="J54" s="2229"/>
      <c r="K54" s="2229"/>
      <c r="L54" s="2409"/>
      <c r="M54" s="2236"/>
      <c r="N54" s="2236"/>
      <c r="P54" s="2231"/>
      <c r="Q54" s="2232"/>
      <c r="R54" s="2231"/>
      <c r="S54" s="2237"/>
      <c r="T54" s="2240" t="s">
        <v>439</v>
      </c>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c r="AS54" s="2239"/>
      <c r="AU54" s="1701"/>
      <c r="AV54" s="1701" t="str">
        <f>IF(T54="","",T54)</f>
        <v>Добавить наименование тарифа</v>
      </c>
      <c r="AW54" s="1701"/>
      <c r="AX54" s="1701"/>
    </row>
    <row customHeight="1" ht="11.25">
      <c r="M55" s="2074"/>
      <c r="N55" s="2074"/>
      <c r="O55" s="1449"/>
      <c r="P55" s="2069"/>
      <c r="Q55" s="2069"/>
      <c r="R55" s="2069"/>
      <c r="S55" s="2069"/>
      <c r="AT55" s="2069"/>
      <c r="AU55" s="2069"/>
      <c r="AV55" s="2069"/>
      <c r="AW55" s="2069"/>
      <c r="AX55" s="2069"/>
    </row>
    <row customHeight="1" ht="14.25">
      <c r="O56" s="1449"/>
      <c r="S56" s="2167"/>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row>
    <row customHeight="1" ht="14.25">
      <c r="O57" s="1449"/>
    </row>
    <row customHeight="1" ht="14.25">
      <c r="O58" s="1449"/>
      <c r="S58" s="2167"/>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EB703C-8843-4BDC-CECC-121E0E645FAD}"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4.140625" hidden="1" customWidth="1"/>
    <col min="10" max="10" style="40129" width="9.8515625" hidden="1" customWidth="1"/>
    <col min="11" max="11" style="40129" width="14.7109375" hidden="1" customWidth="1"/>
    <col min="12" max="12" style="40480" width="19.140625" hidden="1" customWidth="1"/>
    <col min="13" max="14" style="40211" width="12.28125" hidden="1" customWidth="1"/>
    <col min="15" max="15" style="40211" width="23.421875" hidden="1" customWidth="1"/>
    <col min="16" max="16" style="40481" width="3.7109375" customWidth="1"/>
    <col min="17" max="18" style="40213" width="3.7109375" customWidth="1"/>
    <col min="19" max="19" style="40214" width="12.7109375" customWidth="1"/>
    <col min="20" max="20" style="40215" width="35.7109375" customWidth="1"/>
    <col min="21" max="21" style="40215" width="0.140625" customWidth="1"/>
    <col min="22" max="22" style="40215" width="19.7109375" hidden="1" customWidth="1"/>
    <col min="23" max="27" style="40257" width="19.7109375" hidden="1" customWidth="1"/>
    <col min="28" max="28" style="40215" width="19.7109375" hidden="1" customWidth="1"/>
    <col min="29" max="29" style="40215" width="11.7109375" hidden="1" customWidth="1"/>
    <col min="30" max="30" style="40215" width="3.7109375" hidden="1" customWidth="1"/>
    <col min="31" max="31" style="40215" width="11.7109375" hidden="1" customWidth="1"/>
    <col min="32" max="32" style="40215" width="8.57421875" hidden="1" customWidth="1"/>
    <col min="33" max="33" style="40215" width="19.7109375" customWidth="1"/>
    <col min="34" max="38" style="40257" width="19.7109375" customWidth="1"/>
    <col min="39" max="39" style="40215" width="19.7109375" customWidth="1"/>
    <col min="40" max="40" style="40215" width="11.7109375" customWidth="1"/>
    <col min="41" max="41" style="40215" width="3.7109375" customWidth="1"/>
    <col min="42" max="42" style="40215" width="11.7109375" customWidth="1"/>
    <col min="43" max="43" style="40215" width="8.57421875" hidden="1" customWidth="1"/>
    <col min="44" max="44" style="40215" width="4.7109375" customWidth="1"/>
    <col min="45" max="45" style="40215" width="115.7109375" customWidth="1"/>
    <col min="46" max="47" style="40202" width="10.57421875"/>
    <col min="48" max="48" style="40202" width="11.140625" customWidth="1"/>
    <col min="49" max="50" style="40202" width="10.57421875"/>
  </cols>
  <sheetData>
    <row customHeight="1" ht="14.25" hidden="1">
      <c r="AB1" s="1239"/>
      <c r="AC1" s="1239"/>
      <c r="AM1" s="1239"/>
      <c r="AN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7"/>
      <c r="AQ2" s="3067"/>
      <c r="AR2" s="3068"/>
      <c r="AS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12"/>
      <c r="AV2" s="1412" t="str">
        <f>IF(T2="","",T2)</f>
        <v>Наименование тарифа</v>
      </c>
      <c r="AW2" s="1412"/>
      <c r="AX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7"/>
      <c r="AQ3" s="3067"/>
      <c r="AR3" s="3068"/>
      <c r="AS3" s="2172" t="s">
        <v>389</v>
      </c>
      <c r="AU3" s="1412"/>
      <c r="AV3" s="1412" t="str">
        <f>IF(T3="","",T3)</f>
        <v>Территория действия тарифа</v>
      </c>
      <c r="AW3" s="1412"/>
      <c r="AX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522</v>
      </c>
      <c r="U4" s="1212"/>
      <c r="V4" s="3066"/>
      <c r="W4" s="3067"/>
      <c r="X4" s="3067"/>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7"/>
      <c r="AQ4" s="3067"/>
      <c r="AR4" s="3068"/>
      <c r="AS4" s="2172" t="s">
        <v>523</v>
      </c>
      <c r="AU4" s="1412"/>
      <c r="AV4" s="1412" t="str">
        <f>IF(T4="","",T4)</f>
        <v>Наименование централизованной системы горячего водоснабжения</v>
      </c>
      <c r="AW4" s="1412"/>
      <c r="AX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2172" t="s">
        <v>476</v>
      </c>
      <c r="AU5" s="1412"/>
      <c r="AV5" s="1412" t="str">
        <f>IF(T5="","",T5)</f>
        <v>Наименование признака дифференциации</v>
      </c>
      <c r="AW5" s="1412"/>
      <c r="AX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0"/>
      <c r="AC6" s="3070"/>
      <c r="AD6" s="3070"/>
      <c r="AE6" s="3070"/>
      <c r="AF6" s="3071"/>
      <c r="AG6" s="3069"/>
      <c r="AH6" s="3070"/>
      <c r="AI6" s="3070"/>
      <c r="AJ6" s="3070"/>
      <c r="AK6" s="3070"/>
      <c r="AL6" s="3070"/>
      <c r="AM6" s="3070"/>
      <c r="AN6" s="3070"/>
      <c r="AO6" s="3070"/>
      <c r="AP6" s="3070"/>
      <c r="AQ6" s="3070"/>
      <c r="AR6" s="3071"/>
      <c r="AS6" s="2222" t="s">
        <v>477</v>
      </c>
      <c r="AU6" s="1412"/>
      <c r="AV6" s="1412" t="str">
        <f>IF(T6="","",T6)</f>
        <v>Группа потребителей</v>
      </c>
      <c r="AW6" s="1412"/>
      <c r="AX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1663"/>
      <c r="Y7" s="1663"/>
      <c r="Z7" s="1663"/>
      <c r="AA7" s="1663"/>
      <c r="AB7" s="2171"/>
      <c r="AC7" s="3089"/>
      <c r="AD7" s="2933" t="s">
        <v>62</v>
      </c>
      <c r="AE7" s="3089"/>
      <c r="AF7" s="2933" t="s">
        <v>62</v>
      </c>
      <c r="AG7" s="1663"/>
      <c r="AH7" s="1663"/>
      <c r="AI7" s="1663"/>
      <c r="AJ7" s="1663"/>
      <c r="AK7" s="1663"/>
      <c r="AL7" s="1663"/>
      <c r="AM7" s="2171"/>
      <c r="AN7" s="3089"/>
      <c r="AO7" s="2933" t="s">
        <v>62</v>
      </c>
      <c r="AP7" s="3111"/>
      <c r="AQ7" s="2933" t="s">
        <v>62</v>
      </c>
      <c r="AR7" s="2353"/>
      <c r="AS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423">
        <f>STRCHECKDATE(V8:AR8)</f>
      </c>
      <c r="AU7" s="1412"/>
      <c r="AV7" s="1412" t="str">
        <f>IF(T7="","",T7)</f>
        <v/>
      </c>
      <c r="AW7" s="1412"/>
      <c r="AX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37"/>
      <c r="Y8" s="1237"/>
      <c r="Z8" s="1237"/>
      <c r="AA8" s="1237"/>
      <c r="AB8" s="1240" t="str">
        <f>AC7&amp;"-"&amp;AE7</f>
        <v>-</v>
      </c>
      <c r="AC8" s="3090"/>
      <c r="AD8" s="2933"/>
      <c r="AE8" s="3090"/>
      <c r="AF8" s="2933"/>
      <c r="AG8" s="1237"/>
      <c r="AH8" s="1237"/>
      <c r="AI8" s="1237"/>
      <c r="AJ8" s="1237"/>
      <c r="AK8" s="1237"/>
      <c r="AL8" s="1237"/>
      <c r="AM8" s="1240" t="str">
        <f>AN7&amp;"-"&amp;AP7</f>
        <v>-</v>
      </c>
      <c r="AN8" s="3090"/>
      <c r="AO8" s="2933"/>
      <c r="AP8" s="3112"/>
      <c r="AQ8" s="2933"/>
      <c r="AR8" s="2354"/>
      <c r="AS8" s="3165"/>
      <c r="AU8" s="1412"/>
      <c r="AV8" s="1412" t="str">
        <f>IF(T8="","",T8)</f>
        <v/>
      </c>
      <c r="AW8" s="1412"/>
      <c r="AX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512"/>
      <c r="X9" s="1512"/>
      <c r="Y9" s="1512"/>
      <c r="Z9" s="1512"/>
      <c r="AA9" s="1512"/>
      <c r="AB9" s="1279"/>
      <c r="AC9" s="1279"/>
      <c r="AD9" s="1279"/>
      <c r="AE9" s="1279"/>
      <c r="AF9" s="1279"/>
      <c r="AG9" s="1279"/>
      <c r="AH9" s="1512"/>
      <c r="AI9" s="1512"/>
      <c r="AJ9" s="1512"/>
      <c r="AK9" s="1512"/>
      <c r="AL9" s="1512"/>
      <c r="AM9" s="1279"/>
      <c r="AN9" s="1279"/>
      <c r="AO9" s="1279"/>
      <c r="AP9" s="1279"/>
      <c r="AQ9" s="1279"/>
      <c r="AR9" s="1279"/>
      <c r="AS9" s="2172" t="s">
        <v>479</v>
      </c>
      <c r="AU9" s="1412"/>
      <c r="AV9" s="1412" t="str">
        <f>IF(T9="","",T9)</f>
        <v>Добавить значение признака дифференциации</v>
      </c>
      <c r="AW9" s="1412"/>
      <c r="AX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512"/>
      <c r="X10" s="1512"/>
      <c r="Y10" s="1512"/>
      <c r="Z10" s="1512"/>
      <c r="AA10" s="1512"/>
      <c r="AB10" s="1279"/>
      <c r="AC10" s="1279"/>
      <c r="AD10" s="1279"/>
      <c r="AE10" s="1279"/>
      <c r="AF10" s="1278"/>
      <c r="AG10" s="1279"/>
      <c r="AH10" s="1512"/>
      <c r="AI10" s="1512"/>
      <c r="AJ10" s="1512"/>
      <c r="AK10" s="1512"/>
      <c r="AL10" s="1512"/>
      <c r="AM10" s="1279"/>
      <c r="AN10" s="1279"/>
      <c r="AO10" s="1279"/>
      <c r="AP10" s="1279"/>
      <c r="AQ10" s="1278"/>
      <c r="AR10" s="1279"/>
      <c r="AS10" s="2355"/>
      <c r="AU10" s="1412"/>
      <c r="AV10" s="1412" t="str">
        <f>IF(T10="","",T10)</f>
        <v>Добавить группу потребителей</v>
      </c>
      <c r="AW10" s="1412"/>
      <c r="AX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512"/>
      <c r="X11" s="1512"/>
      <c r="Y11" s="1512"/>
      <c r="Z11" s="1512"/>
      <c r="AA11" s="1512"/>
      <c r="AB11" s="1279"/>
      <c r="AC11" s="1279"/>
      <c r="AD11" s="1279"/>
      <c r="AE11" s="1279"/>
      <c r="AF11" s="1278"/>
      <c r="AG11" s="1279"/>
      <c r="AH11" s="1512"/>
      <c r="AI11" s="1512"/>
      <c r="AJ11" s="1512"/>
      <c r="AK11" s="1512"/>
      <c r="AL11" s="1512"/>
      <c r="AM11" s="1279"/>
      <c r="AN11" s="1279"/>
      <c r="AO11" s="1279"/>
      <c r="AP11" s="1279"/>
      <c r="AQ11" s="1278"/>
      <c r="AR11" s="1279"/>
      <c r="AS11" s="1215"/>
      <c r="AU11" s="1412"/>
      <c r="AV11" s="1412" t="str">
        <f>IF(T11="","",T11)</f>
        <v>Добавить наименование признака дифференциации</v>
      </c>
      <c r="AW11" s="1412"/>
      <c r="AX11" s="1412"/>
    </row>
    <row s="40110"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c r="AU12" s="1701"/>
      <c r="AV12" s="1701" t="str">
        <f>IF(T12="","",T12)</f>
        <v>Добавить централизованную систему для дифференциации</v>
      </c>
      <c r="AW12" s="1701"/>
      <c r="AX12" s="1701"/>
    </row>
    <row s="40202"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U13" s="1412"/>
      <c r="AV13" s="1412" t="str">
        <f>IF(T13="","",T13)</f>
        <v>Добавить территорию для дифференциации</v>
      </c>
      <c r="AW13" s="1412"/>
      <c r="AX13" s="1412"/>
    </row>
    <row customHeight="1" ht="14.25" hidden="1">
      <c r="AF14" s="1239"/>
      <c r="AQ14" s="1239"/>
    </row>
    <row customHeight="1" ht="14.25" hidden="1">
      <c r="AG15" s="2275"/>
      <c r="AH15" s="2275"/>
      <c r="AI15" s="2275"/>
      <c r="AJ15" s="2275"/>
      <c r="AK15" s="2275"/>
      <c r="AL15" s="2275"/>
      <c r="AM15" s="2276"/>
      <c r="AN15" s="3091"/>
      <c r="AO15" s="3092" t="s">
        <v>62</v>
      </c>
      <c r="AP15" s="3091"/>
      <c r="AQ15" s="3092" t="s">
        <v>62</v>
      </c>
    </row>
    <row customHeight="1" ht="14.25" hidden="1">
      <c r="AG16" s="2275"/>
      <c r="AH16" s="2275"/>
      <c r="AI16" s="2275"/>
      <c r="AJ16" s="2275"/>
      <c r="AK16" s="2275"/>
      <c r="AL16" s="2275"/>
      <c r="AM16" s="1240" t="str">
        <f>AN15&amp;"-"&amp;AP15</f>
        <v>-</v>
      </c>
      <c r="AN16" s="3092"/>
      <c r="AO16" s="3092"/>
      <c r="AP16" s="3092"/>
      <c r="AQ16" s="3092"/>
    </row>
    <row customHeight="1" ht="14.25" hidden="1">
      <c r="AQ17" s="1239"/>
    </row>
    <row s="40129" customFormat="1" customHeight="1" ht="22.5" hidden="1">
      <c r="L18" s="2393"/>
      <c r="M18" s="2277"/>
      <c r="N18" s="2277"/>
      <c r="O18" s="2282" t="s">
        <v>408</v>
      </c>
      <c r="P18" s="2277"/>
      <c r="Q18" s="2286"/>
      <c r="R18" s="2286"/>
      <c r="S18" s="1641"/>
      <c r="W18" s="2281"/>
      <c r="X18" s="2281"/>
      <c r="Y18" s="2281"/>
      <c r="Z18" s="2281"/>
      <c r="AA18" s="2281"/>
      <c r="AC18" s="2282"/>
      <c r="AE18" s="2282"/>
      <c r="AF18" s="2281"/>
      <c r="AH18" s="2281"/>
      <c r="AI18" s="2281"/>
      <c r="AJ18" s="2281"/>
      <c r="AK18" s="2281"/>
      <c r="AL18" s="2281"/>
      <c r="AN18" s="2282"/>
      <c r="AP18" s="2282"/>
      <c r="AQ18" s="2281"/>
      <c r="AT18" s="1423"/>
      <c r="AU18" s="1423"/>
      <c r="AV18" s="1423"/>
      <c r="AW18" s="1423"/>
      <c r="AX18" s="1423"/>
    </row>
    <row s="40129" customFormat="1" customHeight="1" ht="14.25" hidden="1">
      <c r="L19" s="2393"/>
      <c r="M19" s="2277"/>
      <c r="N19" s="2277"/>
      <c r="O19" s="2277"/>
      <c r="P19" s="2277"/>
      <c r="Q19" s="2286"/>
      <c r="R19" s="2286"/>
      <c r="S19" s="1641"/>
      <c r="W19" s="2281"/>
      <c r="X19" s="2281"/>
      <c r="Y19" s="2281"/>
      <c r="Z19" s="2281"/>
      <c r="AA19" s="2281"/>
      <c r="AF19" s="2281"/>
      <c r="AH19" s="2281"/>
      <c r="AI19" s="2281"/>
      <c r="AJ19" s="2281"/>
      <c r="AK19" s="2281"/>
      <c r="AL19" s="2281"/>
      <c r="AQ19" s="2281"/>
      <c r="AT19" s="1423"/>
      <c r="AU19" s="1423"/>
      <c r="AV19" s="1423"/>
      <c r="AW19" s="1423"/>
      <c r="AX19" s="1423"/>
    </row>
    <row s="40129" customFormat="1" customHeight="1" ht="12" hidden="1">
      <c r="L20" s="2393"/>
      <c r="M20" s="2277"/>
      <c r="N20" s="2277"/>
      <c r="O20" s="2279" t="s">
        <v>409</v>
      </c>
      <c r="P20" s="2277"/>
      <c r="Q20" s="2357"/>
      <c r="R20" s="2357"/>
      <c r="S20" s="1641"/>
      <c r="T20" s="2074" t="s">
        <v>410</v>
      </c>
      <c r="W20" s="2281"/>
      <c r="X20" s="2281"/>
      <c r="Y20" s="2281"/>
      <c r="Z20" s="2281"/>
      <c r="AA20" s="2281"/>
      <c r="AD20" s="1098" t="s">
        <v>411</v>
      </c>
      <c r="AF20" s="1098" t="s">
        <v>412</v>
      </c>
      <c r="AG20" s="2074" t="s">
        <v>410</v>
      </c>
      <c r="AH20" s="2281"/>
      <c r="AI20" s="2281"/>
      <c r="AJ20" s="2281"/>
      <c r="AK20" s="2281"/>
      <c r="AL20" s="2281"/>
      <c r="AO20" s="1098" t="s">
        <v>413</v>
      </c>
      <c r="AQ20" s="1098" t="s">
        <v>412</v>
      </c>
    </row>
    <row customHeight="1" ht="14.25" hidden="1">
      <c r="O21" s="2279"/>
    </row>
    <row customHeight="1" ht="14.25" hidden="1">
      <c r="O22" s="2279"/>
    </row>
    <row customHeight="1" ht="14.25">
      <c r="Q23" s="1288"/>
      <c r="R23" s="1288"/>
      <c r="S23" s="2190"/>
      <c r="T23" s="1275"/>
      <c r="U23" s="1275"/>
      <c r="V23" s="1421"/>
      <c r="W23" s="2550"/>
      <c r="X23" s="2550"/>
      <c r="Y23" s="2550"/>
      <c r="Z23" s="2550"/>
      <c r="AA23" s="2550"/>
      <c r="AB23" s="1421"/>
      <c r="AC23" s="1421"/>
      <c r="AD23" s="1421"/>
      <c r="AE23" s="1421"/>
      <c r="AF23" s="1421"/>
      <c r="AG23" s="1421"/>
      <c r="AH23" s="2550"/>
      <c r="AI23" s="2550"/>
      <c r="AJ23" s="2550"/>
      <c r="AK23" s="2550"/>
      <c r="AL23" s="2550"/>
      <c r="AM23" s="1421"/>
      <c r="AN23" s="1421"/>
      <c r="AO23" s="1421"/>
      <c r="AP23" s="1421"/>
      <c r="AQ23" s="1421"/>
    </row>
    <row customHeight="1" ht="24.75">
      <c r="Q24" s="1288"/>
      <c r="R24" s="1288"/>
      <c r="S24" s="30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3072"/>
      <c r="AJ24" s="3072"/>
      <c r="AK24" s="3072"/>
      <c r="AL24" s="3072"/>
      <c r="AM24" s="3072"/>
      <c r="AN24" s="3072"/>
      <c r="AO24" s="3072"/>
      <c r="AP24" s="3072"/>
      <c r="AQ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3073"/>
      <c r="AJ25" s="3073"/>
      <c r="AK25" s="3073"/>
      <c r="AL25" s="3073"/>
      <c r="AM25" s="3073"/>
      <c r="AN25" s="3073"/>
      <c r="AO25" s="3073"/>
      <c r="AP25" s="3073"/>
      <c r="AQ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421"/>
    </row>
    <row s="40143"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3075"/>
      <c r="AC27" s="3075"/>
      <c r="AD27" s="3075"/>
      <c r="AE27" s="3075"/>
      <c r="AF27" s="1238"/>
      <c r="AG27" s="3075" t="str">
        <f>IF(TITLE_NAME_OR_PR_CHANGE="",IF(TITLE_NAME_OR_PR="","",TITLE_NAME_OR_PR),TITLE_NAME_OR_PR_CHANGE)</f>
        <v/>
      </c>
      <c r="AH27" s="3075"/>
      <c r="AI27" s="3075"/>
      <c r="AJ27" s="3075"/>
      <c r="AK27" s="3075"/>
      <c r="AL27" s="3075"/>
      <c r="AM27" s="3075"/>
      <c r="AN27" s="3075"/>
      <c r="AO27" s="3075"/>
      <c r="AP27" s="3075"/>
      <c r="AQ27" s="1238"/>
      <c r="AR27" s="1238"/>
      <c r="AS27" s="1192"/>
      <c r="AT27" s="1280"/>
      <c r="AU27" s="1280"/>
      <c r="AV27" s="1280"/>
      <c r="AW27" s="1280"/>
      <c r="AX27" s="1280"/>
    </row>
    <row s="40143"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3088"/>
      <c r="AC28" s="3088"/>
      <c r="AD28" s="3088"/>
      <c r="AE28" s="3088"/>
      <c r="AF28" s="1238"/>
      <c r="AG28" s="3088" t="str">
        <f>IF(TITLE_DATE_PR_CHANGE="",IF(TITLE_DATE_PR="","",TITLE_DATE_PR),TITLE_DATE_PR_CHANGE)</f>
        <v/>
      </c>
      <c r="AH28" s="3088"/>
      <c r="AI28" s="3088"/>
      <c r="AJ28" s="3088"/>
      <c r="AK28" s="3088"/>
      <c r="AL28" s="3088"/>
      <c r="AM28" s="3088"/>
      <c r="AN28" s="3088"/>
      <c r="AO28" s="3088"/>
      <c r="AP28" s="3088"/>
      <c r="AQ28" s="1238"/>
      <c r="AR28" s="1238"/>
      <c r="AS28" s="1192"/>
      <c r="AT28" s="1280"/>
      <c r="AU28" s="1280"/>
      <c r="AV28" s="1280"/>
      <c r="AW28" s="1280"/>
      <c r="AX28" s="1280"/>
    </row>
    <row s="40143"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3075"/>
      <c r="AC29" s="3075"/>
      <c r="AD29" s="3075"/>
      <c r="AE29" s="3075"/>
      <c r="AF29" s="1238"/>
      <c r="AG29" s="3075" t="str">
        <f>IF(TITLE_NUMBER_PR_CHANGE="",IF(TITLE_NUMBER_PR="","",TITLE_NUMBER_PR),TITLE_NUMBER_PR_CHANGE)</f>
        <v/>
      </c>
      <c r="AH29" s="3075"/>
      <c r="AI29" s="3075"/>
      <c r="AJ29" s="3075"/>
      <c r="AK29" s="3075"/>
      <c r="AL29" s="3075"/>
      <c r="AM29" s="3075"/>
      <c r="AN29" s="3075"/>
      <c r="AO29" s="3075"/>
      <c r="AP29" s="3075"/>
      <c r="AQ29" s="1238"/>
      <c r="AR29" s="1238"/>
      <c r="AS29" s="1192"/>
      <c r="AT29" s="1280"/>
      <c r="AU29" s="1280"/>
      <c r="AV29" s="1280"/>
      <c r="AW29" s="1280"/>
      <c r="AX29" s="1280"/>
    </row>
    <row s="40143"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3075"/>
      <c r="AC30" s="3075"/>
      <c r="AD30" s="3075"/>
      <c r="AE30" s="3075"/>
      <c r="AF30" s="1238"/>
      <c r="AG30" s="3075" t="str">
        <f>IF(TITLE_IST_PUB_CHANGE="",IF(TITLE_IST_PUB="","",TITLE_IST_PUB),TITLE_IST_PUB_CHANGE)</f>
        <v/>
      </c>
      <c r="AH30" s="3075"/>
      <c r="AI30" s="3075"/>
      <c r="AJ30" s="3075"/>
      <c r="AK30" s="3075"/>
      <c r="AL30" s="3075"/>
      <c r="AM30" s="3075"/>
      <c r="AN30" s="3075"/>
      <c r="AO30" s="3075"/>
      <c r="AP30" s="3075"/>
      <c r="AQ30" s="1238"/>
      <c r="AR30" s="1238"/>
      <c r="AS30" s="1192"/>
      <c r="AT30" s="1280"/>
      <c r="AU30" s="1280"/>
      <c r="AV30" s="1280"/>
      <c r="AW30" s="1280"/>
      <c r="AX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421"/>
    </row>
    <row s="40143"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3088"/>
      <c r="AC32" s="3088"/>
      <c r="AD32" s="3088"/>
      <c r="AE32" s="3088"/>
      <c r="AF32" s="1238"/>
      <c r="AG32" s="3088" t="str">
        <f>IF(TITLE_DATE_PR_CHANGE="",IF(TITLE_DATE_PR="","",TITLE_DATE_PR),TITLE_DATE_PR_CHANGE)</f>
        <v/>
      </c>
      <c r="AH32" s="3088"/>
      <c r="AI32" s="3088"/>
      <c r="AJ32" s="3088"/>
      <c r="AK32" s="3088"/>
      <c r="AL32" s="3088"/>
      <c r="AM32" s="3088"/>
      <c r="AN32" s="3088"/>
      <c r="AO32" s="3088"/>
      <c r="AP32" s="3088"/>
      <c r="AQ32" s="1238"/>
      <c r="AR32" s="1238"/>
      <c r="AS32" s="1192"/>
      <c r="AT32" s="1280"/>
      <c r="AU32" s="1280"/>
      <c r="AV32" s="1280"/>
      <c r="AW32" s="1280"/>
      <c r="AX32" s="1280"/>
    </row>
    <row s="40143"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3075"/>
      <c r="AC33" s="3075"/>
      <c r="AD33" s="3075"/>
      <c r="AE33" s="3075"/>
      <c r="AF33" s="1238"/>
      <c r="AG33" s="3075" t="str">
        <f>IF(TITLE_NUMBER_PR_CHANGE="",IF(TITLE_NUMBER_PR="","",TITLE_NUMBER_PR),TITLE_NUMBER_PR_CHANGE)</f>
        <v/>
      </c>
      <c r="AH33" s="3075"/>
      <c r="AI33" s="3075"/>
      <c r="AJ33" s="3075"/>
      <c r="AK33" s="3075"/>
      <c r="AL33" s="3075"/>
      <c r="AM33" s="3075"/>
      <c r="AN33" s="3075"/>
      <c r="AO33" s="3075"/>
      <c r="AP33" s="3075"/>
      <c r="AQ33" s="1238"/>
      <c r="AR33" s="1238"/>
      <c r="AS33" s="1192"/>
      <c r="AT33" s="1280"/>
      <c r="AU33" s="1280"/>
      <c r="AV33" s="1280"/>
      <c r="AW33" s="1280"/>
      <c r="AX33" s="1280"/>
    </row>
    <row s="40143"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2550"/>
      <c r="X34" s="2550"/>
      <c r="Y34" s="2550"/>
      <c r="Z34" s="2550"/>
      <c r="AA34" s="2550"/>
      <c r="AB34" s="1238"/>
      <c r="AC34" s="1238"/>
      <c r="AD34" s="1238"/>
      <c r="AE34" s="1238"/>
      <c r="AF34" s="1190" t="s">
        <v>418</v>
      </c>
      <c r="AG34" s="1238"/>
      <c r="AH34" s="2550"/>
      <c r="AI34" s="2550"/>
      <c r="AJ34" s="2550"/>
      <c r="AK34" s="2550"/>
      <c r="AL34" s="2550"/>
      <c r="AM34" s="1238"/>
      <c r="AN34" s="1238"/>
      <c r="AO34" s="1238"/>
      <c r="AP34" s="1238"/>
      <c r="AQ34" s="1190" t="s">
        <v>418</v>
      </c>
      <c r="AT34" s="1280"/>
      <c r="AU34" s="1280"/>
      <c r="AV34" s="1280"/>
      <c r="AW34" s="1280"/>
      <c r="AX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c r="AL36" s="2953"/>
      <c r="AM36" s="2953"/>
      <c r="AN36" s="2953"/>
      <c r="AO36" s="2953"/>
      <c r="AP36" s="2953"/>
      <c r="AQ36" s="2953"/>
      <c r="AR36" s="2953"/>
      <c r="AS36" s="2953" t="s">
        <v>292</v>
      </c>
    </row>
    <row customHeight="1" ht="14.25">
      <c r="Q37" s="1288"/>
      <c r="R37" s="1288"/>
      <c r="S37" s="3097" t="s">
        <v>84</v>
      </c>
      <c r="T37" s="3033" t="s">
        <v>419</v>
      </c>
      <c r="U37" s="1213"/>
      <c r="V37" s="3098" t="s">
        <v>420</v>
      </c>
      <c r="W37" s="3099"/>
      <c r="X37" s="3099"/>
      <c r="Y37" s="3099"/>
      <c r="Z37" s="3099"/>
      <c r="AA37" s="3099"/>
      <c r="AB37" s="3099"/>
      <c r="AC37" s="3099"/>
      <c r="AD37" s="3099"/>
      <c r="AE37" s="3100"/>
      <c r="AF37" s="3101" t="s">
        <v>421</v>
      </c>
      <c r="AG37" s="3098" t="s">
        <v>420</v>
      </c>
      <c r="AH37" s="3099"/>
      <c r="AI37" s="3099"/>
      <c r="AJ37" s="3099"/>
      <c r="AK37" s="3099"/>
      <c r="AL37" s="3099"/>
      <c r="AM37" s="3099"/>
      <c r="AN37" s="3099"/>
      <c r="AO37" s="3099"/>
      <c r="AP37" s="3100"/>
      <c r="AQ37" s="3101" t="s">
        <v>422</v>
      </c>
      <c r="AR37" s="3104" t="s">
        <v>423</v>
      </c>
      <c r="AS37" s="2953"/>
    </row>
    <row s="40257" customFormat="1" customHeight="1" ht="18.75">
      <c r="A38" s="2281"/>
      <c r="B38" s="2281"/>
      <c r="C38" s="2281"/>
      <c r="D38" s="2281"/>
      <c r="E38" s="2281"/>
      <c r="F38" s="2281"/>
      <c r="G38" s="2281"/>
      <c r="H38" s="2281"/>
      <c r="I38" s="2281"/>
      <c r="J38" s="2281"/>
      <c r="K38" s="2281"/>
      <c r="L38" s="2897"/>
      <c r="M38" s="2277"/>
      <c r="N38" s="2277"/>
      <c r="O38" s="2277"/>
      <c r="P38" s="2898"/>
      <c r="Q38" s="1288"/>
      <c r="R38" s="1288"/>
      <c r="S38" s="3097"/>
      <c r="T38" s="3033"/>
      <c r="U38" s="1944"/>
      <c r="V38" s="3183" t="s">
        <v>524</v>
      </c>
      <c r="W38" s="3182" t="s">
        <v>525</v>
      </c>
      <c r="X38" s="3182"/>
      <c r="Y38" s="3182"/>
      <c r="Z38" s="3182" t="s">
        <v>526</v>
      </c>
      <c r="AA38" s="3182"/>
      <c r="AB38" s="3182"/>
      <c r="AC38" s="3118" t="s">
        <v>427</v>
      </c>
      <c r="AD38" s="3130"/>
      <c r="AE38" s="3131"/>
      <c r="AF38" s="3102"/>
      <c r="AG38" s="3183" t="s">
        <v>524</v>
      </c>
      <c r="AH38" s="3182" t="s">
        <v>525</v>
      </c>
      <c r="AI38" s="3182"/>
      <c r="AJ38" s="3182"/>
      <c r="AK38" s="3182" t="s">
        <v>526</v>
      </c>
      <c r="AL38" s="3182"/>
      <c r="AM38" s="3182"/>
      <c r="AN38" s="3118" t="s">
        <v>427</v>
      </c>
      <c r="AO38" s="3130"/>
      <c r="AP38" s="3131"/>
      <c r="AQ38" s="3102"/>
      <c r="AR38" s="3105"/>
      <c r="AS38" s="2953"/>
      <c r="AT38" s="2551"/>
      <c r="AU38" s="2551"/>
      <c r="AV38" s="2551"/>
      <c r="AW38" s="2551"/>
      <c r="AX38" s="2551"/>
    </row>
    <row customHeight="1" ht="18.75">
      <c r="Q39" s="1288"/>
      <c r="R39" s="1288"/>
      <c r="S39" s="3097"/>
      <c r="T39" s="3033"/>
      <c r="U39" s="1944"/>
      <c r="V39" s="3183"/>
      <c r="W39" s="3182" t="s">
        <v>527</v>
      </c>
      <c r="X39" s="3182" t="s">
        <v>528</v>
      </c>
      <c r="Y39" s="3182"/>
      <c r="Z39" s="3182" t="s">
        <v>529</v>
      </c>
      <c r="AA39" s="3182" t="s">
        <v>528</v>
      </c>
      <c r="AB39" s="3182"/>
      <c r="AC39" s="3119"/>
      <c r="AD39" s="3132"/>
      <c r="AE39" s="3133"/>
      <c r="AF39" s="3102"/>
      <c r="AG39" s="3183"/>
      <c r="AH39" s="3182" t="s">
        <v>527</v>
      </c>
      <c r="AI39" s="3182" t="s">
        <v>528</v>
      </c>
      <c r="AJ39" s="3182"/>
      <c r="AK39" s="3182" t="s">
        <v>529</v>
      </c>
      <c r="AL39" s="3182" t="s">
        <v>528</v>
      </c>
      <c r="AM39" s="3182"/>
      <c r="AN39" s="3119"/>
      <c r="AO39" s="3132"/>
      <c r="AP39" s="3133"/>
      <c r="AQ39" s="3102"/>
      <c r="AR39" s="3105"/>
      <c r="AS39" s="2953"/>
    </row>
    <row customHeight="1" ht="59.25">
      <c r="A40" s="2285"/>
      <c r="B40" s="2285" t="s">
        <v>128</v>
      </c>
      <c r="C40" s="2285" t="s">
        <v>129</v>
      </c>
      <c r="D40" s="2285" t="s">
        <v>130</v>
      </c>
      <c r="E40" s="2279" t="s">
        <v>428</v>
      </c>
      <c r="F40" s="2279" t="s">
        <v>429</v>
      </c>
      <c r="G40" s="2279" t="s">
        <v>430</v>
      </c>
      <c r="H40" s="2279"/>
      <c r="I40" s="2279" t="s">
        <v>482</v>
      </c>
      <c r="J40" s="2279" t="s">
        <v>433</v>
      </c>
      <c r="K40" s="2279" t="s">
        <v>483</v>
      </c>
      <c r="L40" s="2279" t="s">
        <v>409</v>
      </c>
      <c r="Q40" s="1288"/>
      <c r="R40" s="1288"/>
      <c r="S40" s="3097"/>
      <c r="T40" s="3033"/>
      <c r="U40" s="1214"/>
      <c r="V40" s="3183"/>
      <c r="W40" s="3182"/>
      <c r="X40" s="2900" t="s">
        <v>530</v>
      </c>
      <c r="Y40" s="2900" t="s">
        <v>531</v>
      </c>
      <c r="Z40" s="3182"/>
      <c r="AA40" s="2900" t="s">
        <v>532</v>
      </c>
      <c r="AB40" s="2900" t="s">
        <v>533</v>
      </c>
      <c r="AC40" s="2404" t="s">
        <v>437</v>
      </c>
      <c r="AD40" s="3094" t="s">
        <v>438</v>
      </c>
      <c r="AE40" s="3095"/>
      <c r="AF40" s="3103"/>
      <c r="AG40" s="3183"/>
      <c r="AH40" s="3182"/>
      <c r="AI40" s="2900" t="s">
        <v>530</v>
      </c>
      <c r="AJ40" s="2900" t="s">
        <v>531</v>
      </c>
      <c r="AK40" s="3182"/>
      <c r="AL40" s="2900" t="s">
        <v>532</v>
      </c>
      <c r="AM40" s="2900" t="s">
        <v>533</v>
      </c>
      <c r="AN40" s="2404" t="s">
        <v>437</v>
      </c>
      <c r="AO40" s="3094" t="s">
        <v>438</v>
      </c>
      <c r="AP40" s="3095"/>
      <c r="AQ40" s="3103"/>
      <c r="AR40" s="3106"/>
      <c r="AS40" s="2953"/>
    </row>
    <row s="39960" customFormat="1" customHeight="1" ht="11.25" hidden="1">
      <c r="A41" s="2285"/>
      <c r="B41" s="2285"/>
      <c r="C41" s="2285"/>
      <c r="D41" s="2285"/>
      <c r="E41" s="2285"/>
      <c r="F41" s="2285"/>
      <c r="G41" s="2285"/>
      <c r="H41" s="2285"/>
      <c r="I41" s="2285"/>
      <c r="J41" s="2285"/>
      <c r="K41" s="2285"/>
      <c r="L41" s="2279"/>
      <c r="M41" s="2277"/>
      <c r="N41" s="2277"/>
      <c r="O41" s="2277"/>
      <c r="P41" s="2160"/>
      <c r="Q41" s="2161"/>
      <c r="R41" s="2168">
        <v>1</v>
      </c>
      <c r="S41" s="2192" t="s">
        <v>102</v>
      </c>
      <c r="T41" s="2169" t="s">
        <v>103</v>
      </c>
      <c r="U41" s="2159" t="str">
        <f>OFFSET(U41,0,-1)</f>
        <v>2</v>
      </c>
      <c r="V41" s="2397">
        <f>OFFSET(V41,0,-1)+1</f>
        <v>3</v>
      </c>
      <c r="W41" s="2896"/>
      <c r="X41" s="2896"/>
      <c r="Y41" s="2896"/>
      <c r="Z41" s="2896"/>
      <c r="AA41" s="2896"/>
      <c r="AB41" s="2397">
        <f>OFFSET(AB41,0,-1)+1</f>
        <v>1</v>
      </c>
      <c r="AC41" s="2397">
        <f>OFFSET(AC41,0,-1)+1</f>
        <v>2</v>
      </c>
      <c r="AD41" s="3096">
        <f>OFFSET(AD41,0,-1)+1</f>
        <v>3</v>
      </c>
      <c r="AE41" s="3096"/>
      <c r="AF41" s="2397">
        <f>OFFSET(AF41,0,-2)+1</f>
        <v>4</v>
      </c>
      <c r="AG41" s="2397">
        <f>OFFSET(AG41,0,-1)+1</f>
        <v>5</v>
      </c>
      <c r="AH41" s="2896"/>
      <c r="AI41" s="2896"/>
      <c r="AJ41" s="2896"/>
      <c r="AK41" s="2896"/>
      <c r="AL41" s="2896"/>
      <c r="AM41" s="2397">
        <f>OFFSET(AM41,0,-1)+1</f>
        <v>1</v>
      </c>
      <c r="AN41" s="2397">
        <f>OFFSET(AN41,0,-1)+1</f>
        <v>2</v>
      </c>
      <c r="AO41" s="3096">
        <f>OFFSET(AO41,0,-1)+1</f>
        <v>3</v>
      </c>
      <c r="AP41" s="3096"/>
      <c r="AQ41" s="2397">
        <f>OFFSET(AQ41,0,-2)+1</f>
        <v>4</v>
      </c>
      <c r="AR41" s="2159">
        <f>OFFSET(AR41,0,-1)</f>
        <v>4</v>
      </c>
      <c r="AS41" s="2397">
        <f>OFFSET(AS41,0,-1)+1</f>
        <v>5</v>
      </c>
      <c r="AT41" s="1423"/>
      <c r="AU41" s="1423"/>
      <c r="AV41" s="1423"/>
      <c r="AW41" s="1423"/>
      <c r="AX41" s="1423"/>
    </row>
    <row customHeight="1" ht="23.25">
      <c r="A42" s="2278" t="s">
        <v>247</v>
      </c>
      <c r="B42" s="2278"/>
      <c r="C42" s="2278"/>
      <c r="D42" s="2278"/>
      <c r="E42" s="3082">
        <v>1</v>
      </c>
      <c r="F42" s="2278"/>
      <c r="G42" s="2278"/>
      <c r="H42" s="2278"/>
      <c r="I42" s="2278"/>
      <c r="J42" s="2278"/>
      <c r="K42" s="2278"/>
      <c r="L42" s="2279"/>
      <c r="M42" s="2280"/>
      <c r="N42" s="2280"/>
      <c r="O42" s="2280"/>
      <c r="P42" s="1273"/>
      <c r="Q42" s="1272"/>
      <c r="R42" s="1267"/>
      <c r="S42" s="2408">
        <f>INDEX(PT_DIFFERENTIATION_NUM_NTAR,MATCH(A42,PT_DIFFERENTIATION_NTAR_ID,0))</f>
        <v>0</v>
      </c>
      <c r="T42" s="1210" t="s">
        <v>116</v>
      </c>
      <c r="U42" s="1212"/>
      <c r="V42" s="3066"/>
      <c r="W42" s="3067"/>
      <c r="X42" s="3067"/>
      <c r="Y42" s="3067"/>
      <c r="Z42" s="3067"/>
      <c r="AA42" s="3067"/>
      <c r="AB42" s="3067"/>
      <c r="AC42" s="3067"/>
      <c r="AD42" s="3067"/>
      <c r="AE42" s="3067"/>
      <c r="AF42" s="3068"/>
      <c r="AG42" s="3066" t="str">
        <f>INDEX(PT_DIFFERENTIATION_NTAR,MATCH(A42,PT_DIFFERENTIATION_NTAR_ID,0))</f>
        <v/>
      </c>
      <c r="AH42" s="3067"/>
      <c r="AI42" s="3067"/>
      <c r="AJ42" s="3067"/>
      <c r="AK42" s="3067"/>
      <c r="AL42" s="3067"/>
      <c r="AM42" s="3067"/>
      <c r="AN42" s="3067"/>
      <c r="AO42" s="3067"/>
      <c r="AP42" s="3067"/>
      <c r="AQ42" s="3067"/>
      <c r="AR42" s="3068"/>
      <c r="AS4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12"/>
      <c r="AV42" s="1412" t="str">
        <f>IF(T42="","",T42)</f>
        <v>Наименование тарифа</v>
      </c>
      <c r="AW42" s="1412"/>
      <c r="AX42" s="1412"/>
    </row>
    <row customHeight="1" ht="23.25">
      <c r="A43" s="2278" t="s">
        <v>247</v>
      </c>
      <c r="B43" s="2278" t="s">
        <v>248</v>
      </c>
      <c r="C43" s="2278"/>
      <c r="D43" s="2278"/>
      <c r="E43" s="3083"/>
      <c r="F43" s="3082">
        <v>1</v>
      </c>
      <c r="G43" s="2278"/>
      <c r="H43" s="2278"/>
      <c r="I43" s="2278"/>
      <c r="J43" s="2278"/>
      <c r="K43" s="2278"/>
      <c r="L43" s="2279"/>
      <c r="M43" s="2280"/>
      <c r="N43" s="2280"/>
      <c r="O43" s="2280"/>
      <c r="P43" s="2402"/>
      <c r="Q43" s="1264"/>
      <c r="R43" s="1265"/>
      <c r="S43" s="2408" t="str">
        <f>INDEX(PT_DIFFERENTIATION_NUM_TER,MATCH(B43,PT_DIFFERENTIATION_TER_ID,0))</f>
        <v>.</v>
      </c>
      <c r="T43" s="1220" t="s">
        <v>388</v>
      </c>
      <c r="U43" s="1212"/>
      <c r="V43" s="3066"/>
      <c r="W43" s="3067"/>
      <c r="X43" s="3067"/>
      <c r="Y43" s="3067"/>
      <c r="Z43" s="3067"/>
      <c r="AA43" s="3067"/>
      <c r="AB43" s="3067"/>
      <c r="AC43" s="3067"/>
      <c r="AD43" s="3067"/>
      <c r="AE43" s="3067"/>
      <c r="AF43" s="3068"/>
      <c r="AG43" s="3066" t="str">
        <f>INDEX(PT_DIFFERENTIATION_TER,MATCH(B43,PT_DIFFERENTIATION_TER_ID,0))</f>
        <v/>
      </c>
      <c r="AH43" s="3067"/>
      <c r="AI43" s="3067"/>
      <c r="AJ43" s="3067"/>
      <c r="AK43" s="3067"/>
      <c r="AL43" s="3067"/>
      <c r="AM43" s="3067"/>
      <c r="AN43" s="3067"/>
      <c r="AO43" s="3067"/>
      <c r="AP43" s="3067"/>
      <c r="AQ43" s="3067"/>
      <c r="AR43" s="3068"/>
      <c r="AS43" s="2172" t="s">
        <v>389</v>
      </c>
      <c r="AU43" s="1412"/>
      <c r="AV43" s="1412" t="str">
        <f>IF(T43="","",T43)</f>
        <v>Территория действия тарифа</v>
      </c>
      <c r="AW43" s="1412"/>
      <c r="AX43" s="1412"/>
    </row>
    <row customHeight="1" ht="23.25">
      <c r="A44" s="2278" t="s">
        <v>247</v>
      </c>
      <c r="B44" s="2278" t="s">
        <v>248</v>
      </c>
      <c r="C44" s="2278" t="s">
        <v>249</v>
      </c>
      <c r="D44" s="2278"/>
      <c r="E44" s="3083"/>
      <c r="F44" s="3083"/>
      <c r="G44" s="3082">
        <v>1</v>
      </c>
      <c r="H44" s="2278"/>
      <c r="I44" s="2278"/>
      <c r="J44" s="2278"/>
      <c r="K44" s="2278"/>
      <c r="L44" s="2279"/>
      <c r="M44" s="2280"/>
      <c r="N44" s="2280"/>
      <c r="O44" s="2280"/>
      <c r="P44" s="1266"/>
      <c r="Q44" s="1264"/>
      <c r="R44" s="1265"/>
      <c r="S44" s="2408" t="str">
        <f>INDEX(PT_DIFFERENTIATION_NUM_CS,MATCH(C44,PT_DIFFERENTIATION_CS_ID,0))</f>
        <v>..</v>
      </c>
      <c r="T44" s="1221" t="s">
        <v>522</v>
      </c>
      <c r="U44" s="1212"/>
      <c r="V44" s="3066"/>
      <c r="W44" s="3067"/>
      <c r="X44" s="3067"/>
      <c r="Y44" s="3067"/>
      <c r="Z44" s="3067"/>
      <c r="AA44" s="3067"/>
      <c r="AB44" s="3067"/>
      <c r="AC44" s="3067"/>
      <c r="AD44" s="3067"/>
      <c r="AE44" s="3067"/>
      <c r="AF44" s="3068"/>
      <c r="AG44" s="3066" t="str">
        <f>INDEX(PT_DIFFERENTIATION_CS,MATCH(C44,PT_DIFFERENTIATION_CS_ID,0))</f>
        <v/>
      </c>
      <c r="AH44" s="3067"/>
      <c r="AI44" s="3067"/>
      <c r="AJ44" s="3067"/>
      <c r="AK44" s="3067"/>
      <c r="AL44" s="3067"/>
      <c r="AM44" s="3067"/>
      <c r="AN44" s="3067"/>
      <c r="AO44" s="3067"/>
      <c r="AP44" s="3067"/>
      <c r="AQ44" s="3067"/>
      <c r="AR44" s="3068"/>
      <c r="AS44" s="2172" t="s">
        <v>523</v>
      </c>
      <c r="AU44" s="1412"/>
      <c r="AV44" s="1412" t="str">
        <f>IF(T44="","",T44)</f>
        <v>Наименование централизованной системы горячего водоснабжения</v>
      </c>
      <c r="AW44" s="1412"/>
      <c r="AX44" s="1412"/>
    </row>
    <row customHeight="1" ht="23.25">
      <c r="A45" s="2278" t="s">
        <v>247</v>
      </c>
      <c r="B45" s="2278" t="s">
        <v>248</v>
      </c>
      <c r="C45" s="2278" t="s">
        <v>249</v>
      </c>
      <c r="D45" s="2278" t="s">
        <v>535</v>
      </c>
      <c r="E45" s="3083"/>
      <c r="F45" s="3083"/>
      <c r="G45" s="3083"/>
      <c r="H45" s="3083"/>
      <c r="I45" s="3080" t="str">
        <f>S44&amp;".1"</f>
        <v>...1</v>
      </c>
      <c r="J45" s="2278"/>
      <c r="K45" s="2278"/>
      <c r="L45" s="2279"/>
      <c r="P45" s="3081">
        <v>1</v>
      </c>
      <c r="Q45" s="2396"/>
      <c r="R45" s="1268"/>
      <c r="S45" s="2408" t="str">
        <f>$I45</f>
        <v>...1</v>
      </c>
      <c r="T45" s="1197" t="s">
        <v>475</v>
      </c>
      <c r="U45" s="1212"/>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2172" t="s">
        <v>476</v>
      </c>
      <c r="AU45" s="1412"/>
      <c r="AV45" s="1412" t="str">
        <f>IF(T45="","",T45)</f>
        <v>Наименование признака дифференциации</v>
      </c>
      <c r="AW45" s="1412"/>
      <c r="AX45" s="1412"/>
    </row>
    <row customHeight="1" ht="23.25">
      <c r="A46" s="2278" t="s">
        <v>247</v>
      </c>
      <c r="B46" s="2278" t="s">
        <v>248</v>
      </c>
      <c r="C46" s="2278" t="s">
        <v>249</v>
      </c>
      <c r="D46" s="2278" t="s">
        <v>535</v>
      </c>
      <c r="E46" s="3083"/>
      <c r="F46" s="3083"/>
      <c r="G46" s="3083"/>
      <c r="H46" s="3083"/>
      <c r="I46" s="3110"/>
      <c r="J46" s="3080" t="str">
        <f>I45&amp;".1"</f>
        <v>...1.1</v>
      </c>
      <c r="K46" s="2278"/>
      <c r="L46" s="2279" t="s">
        <v>397</v>
      </c>
      <c r="P46" s="3081"/>
      <c r="Q46" s="3081">
        <v>1</v>
      </c>
      <c r="R46" s="1269"/>
      <c r="S46" s="2408" t="str">
        <f>$J46</f>
        <v>...1.1</v>
      </c>
      <c r="T46" s="1198" t="s">
        <v>398</v>
      </c>
      <c r="U46" s="1212"/>
      <c r="V46" s="3069"/>
      <c r="W46" s="3070"/>
      <c r="X46" s="3070"/>
      <c r="Y46" s="3070"/>
      <c r="Z46" s="3070"/>
      <c r="AA46" s="3070"/>
      <c r="AB46" s="3070"/>
      <c r="AC46" s="3070"/>
      <c r="AD46" s="3070"/>
      <c r="AE46" s="3070"/>
      <c r="AF46" s="3071"/>
      <c r="AG46" s="3069"/>
      <c r="AH46" s="3070"/>
      <c r="AI46" s="3070"/>
      <c r="AJ46" s="3070"/>
      <c r="AK46" s="3070"/>
      <c r="AL46" s="3070"/>
      <c r="AM46" s="3070"/>
      <c r="AN46" s="3070"/>
      <c r="AO46" s="3070"/>
      <c r="AP46" s="3070"/>
      <c r="AQ46" s="3070"/>
      <c r="AR46" s="3071"/>
      <c r="AS46" s="2222" t="s">
        <v>477</v>
      </c>
      <c r="AU46" s="1412"/>
      <c r="AV46" s="1412" t="str">
        <f>IF(T46="","",T46)</f>
        <v>Группа потребителей</v>
      </c>
      <c r="AW46" s="1412"/>
      <c r="AX46" s="1412"/>
    </row>
    <row customHeight="1" ht="23.25">
      <c r="A47" s="2278" t="s">
        <v>247</v>
      </c>
      <c r="B47" s="2278" t="s">
        <v>248</v>
      </c>
      <c r="C47" s="2278" t="s">
        <v>249</v>
      </c>
      <c r="D47" s="2278" t="s">
        <v>535</v>
      </c>
      <c r="E47" s="3083"/>
      <c r="F47" s="3083"/>
      <c r="G47" s="3083"/>
      <c r="H47" s="3083"/>
      <c r="I47" s="3110"/>
      <c r="J47" s="3110"/>
      <c r="K47" s="3080" t="str">
        <f>J46&amp;".1"</f>
        <v>...1.1.1</v>
      </c>
      <c r="L47" s="2279"/>
      <c r="P47" s="3081"/>
      <c r="Q47" s="3081"/>
      <c r="R47" s="1269">
        <v>1</v>
      </c>
      <c r="S47" s="2408" t="str">
        <f>$K47</f>
        <v>...1.1.1</v>
      </c>
      <c r="T47" s="2352"/>
      <c r="U47" s="1212"/>
      <c r="V47" s="2275"/>
      <c r="W47" s="2275"/>
      <c r="X47" s="2275"/>
      <c r="Y47" s="2275"/>
      <c r="Z47" s="2275"/>
      <c r="AA47" s="2275"/>
      <c r="AB47" s="2276"/>
      <c r="AC47" s="3091"/>
      <c r="AD47" s="3092" t="s">
        <v>62</v>
      </c>
      <c r="AE47" s="3091"/>
      <c r="AF47" s="3092" t="s">
        <v>62</v>
      </c>
      <c r="AG47" s="1663"/>
      <c r="AH47" s="1663"/>
      <c r="AI47" s="1663"/>
      <c r="AJ47" s="1663"/>
      <c r="AK47" s="1663"/>
      <c r="AL47" s="1663"/>
      <c r="AM47" s="2171"/>
      <c r="AN47" s="3089"/>
      <c r="AO47" s="2933" t="s">
        <v>62</v>
      </c>
      <c r="AP47" s="3111"/>
      <c r="AQ47" s="2933" t="s">
        <v>52</v>
      </c>
      <c r="AR47" s="2353"/>
      <c r="AS4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423">
        <f>STRCHECKDATE(V48:AR48)</f>
      </c>
      <c r="AU47" s="1412"/>
      <c r="AV47" s="1412" t="str">
        <f>IF(T47="","",T47)</f>
        <v/>
      </c>
      <c r="AW47" s="1412"/>
      <c r="AX47" s="1412"/>
    </row>
    <row customHeight="1" ht="0">
      <c r="A48" s="2278" t="s">
        <v>247</v>
      </c>
      <c r="B48" s="2278" t="s">
        <v>248</v>
      </c>
      <c r="C48" s="2278" t="s">
        <v>249</v>
      </c>
      <c r="D48" s="2278" t="s">
        <v>535</v>
      </c>
      <c r="E48" s="3083"/>
      <c r="F48" s="3083"/>
      <c r="G48" s="3083"/>
      <c r="H48" s="3083"/>
      <c r="I48" s="3110"/>
      <c r="J48" s="3110"/>
      <c r="K48" s="3080"/>
      <c r="L48" s="2279"/>
      <c r="P48" s="3081"/>
      <c r="Q48" s="3081"/>
      <c r="R48" s="1269"/>
      <c r="S48" s="2405"/>
      <c r="T48" s="1212"/>
      <c r="U48" s="1212"/>
      <c r="V48" s="2275"/>
      <c r="W48" s="2275"/>
      <c r="X48" s="2275"/>
      <c r="Y48" s="2275"/>
      <c r="Z48" s="2275"/>
      <c r="AA48" s="2275"/>
      <c r="AB48" s="1240" t="str">
        <f>AC47&amp;"-"&amp;AE47</f>
        <v>-</v>
      </c>
      <c r="AC48" s="3092"/>
      <c r="AD48" s="3092"/>
      <c r="AE48" s="3092"/>
      <c r="AF48" s="3092"/>
      <c r="AG48" s="1237"/>
      <c r="AH48" s="1237"/>
      <c r="AI48" s="1237"/>
      <c r="AJ48" s="1237"/>
      <c r="AK48" s="1237"/>
      <c r="AL48" s="1237"/>
      <c r="AM48" s="1240" t="str">
        <f>AN47&amp;"-"&amp;AP47</f>
        <v>-</v>
      </c>
      <c r="AN48" s="3090"/>
      <c r="AO48" s="2933"/>
      <c r="AP48" s="3112"/>
      <c r="AQ48" s="2933"/>
      <c r="AR48" s="2354"/>
      <c r="AS48" s="3165"/>
      <c r="AU48" s="1412"/>
      <c r="AV48" s="1412" t="str">
        <f>IF(T48="","",T48)</f>
        <v/>
      </c>
      <c r="AW48" s="1412"/>
      <c r="AX48" s="1412"/>
    </row>
    <row customHeight="1" ht="21">
      <c r="A49" s="2278" t="s">
        <v>247</v>
      </c>
      <c r="B49" s="2278" t="s">
        <v>248</v>
      </c>
      <c r="C49" s="2278" t="s">
        <v>249</v>
      </c>
      <c r="D49" s="2278" t="s">
        <v>535</v>
      </c>
      <c r="E49" s="3083"/>
      <c r="F49" s="3083"/>
      <c r="G49" s="3083"/>
      <c r="H49" s="3083"/>
      <c r="I49" s="3110"/>
      <c r="J49" s="3080"/>
      <c r="K49" s="2278"/>
      <c r="L49" s="2279"/>
      <c r="P49" s="3081"/>
      <c r="Q49" s="3081"/>
      <c r="R49" s="1268"/>
      <c r="S49" s="2193"/>
      <c r="T49" s="1199" t="s">
        <v>478</v>
      </c>
      <c r="U49" s="1279"/>
      <c r="V49" s="1279"/>
      <c r="W49" s="1512"/>
      <c r="X49" s="1512"/>
      <c r="Y49" s="1512"/>
      <c r="Z49" s="1512"/>
      <c r="AA49" s="1512"/>
      <c r="AB49" s="1279"/>
      <c r="AC49" s="1279"/>
      <c r="AD49" s="1279"/>
      <c r="AE49" s="1279"/>
      <c r="AF49" s="1279"/>
      <c r="AG49" s="1279"/>
      <c r="AH49" s="1512"/>
      <c r="AI49" s="1512"/>
      <c r="AJ49" s="1512"/>
      <c r="AK49" s="1512"/>
      <c r="AL49" s="1512"/>
      <c r="AM49" s="1279"/>
      <c r="AN49" s="1279"/>
      <c r="AO49" s="1279"/>
      <c r="AP49" s="1279"/>
      <c r="AQ49" s="1279"/>
      <c r="AR49" s="1279"/>
      <c r="AS49" s="2172" t="s">
        <v>479</v>
      </c>
      <c r="AU49" s="1412"/>
      <c r="AV49" s="1412" t="str">
        <f>IF(T49="","",T49)</f>
        <v>Добавить значение признака дифференциации</v>
      </c>
      <c r="AW49" s="1412"/>
      <c r="AX49" s="1412"/>
    </row>
    <row customHeight="1" ht="21">
      <c r="A50" s="2278" t="s">
        <v>247</v>
      </c>
      <c r="B50" s="2278" t="s">
        <v>248</v>
      </c>
      <c r="C50" s="2278" t="s">
        <v>249</v>
      </c>
      <c r="D50" s="2278" t="s">
        <v>535</v>
      </c>
      <c r="E50" s="3083"/>
      <c r="F50" s="3083"/>
      <c r="G50" s="3083"/>
      <c r="H50" s="3083"/>
      <c r="I50" s="3080"/>
      <c r="J50" s="2278"/>
      <c r="K50" s="2278"/>
      <c r="L50" s="2279"/>
      <c r="P50" s="3081"/>
      <c r="Q50" s="2396"/>
      <c r="R50" s="1268"/>
      <c r="S50" s="2193"/>
      <c r="T50" s="1277" t="s">
        <v>403</v>
      </c>
      <c r="U50" s="1279"/>
      <c r="V50" s="1279"/>
      <c r="W50" s="1512"/>
      <c r="X50" s="1512"/>
      <c r="Y50" s="1512"/>
      <c r="Z50" s="1512"/>
      <c r="AA50" s="1512"/>
      <c r="AB50" s="1279"/>
      <c r="AC50" s="1279"/>
      <c r="AD50" s="1279"/>
      <c r="AE50" s="1279"/>
      <c r="AF50" s="1278"/>
      <c r="AG50" s="1279"/>
      <c r="AH50" s="1512"/>
      <c r="AI50" s="1512"/>
      <c r="AJ50" s="1512"/>
      <c r="AK50" s="1512"/>
      <c r="AL50" s="1512"/>
      <c r="AM50" s="1279"/>
      <c r="AN50" s="1279"/>
      <c r="AO50" s="1279"/>
      <c r="AP50" s="1279"/>
      <c r="AQ50" s="1278"/>
      <c r="AR50" s="1279"/>
      <c r="AS50" s="2355"/>
      <c r="AU50" s="1412"/>
      <c r="AV50" s="1412" t="str">
        <f>IF(T50="","",T50)</f>
        <v>Добавить группу потребителей</v>
      </c>
      <c r="AW50" s="1412"/>
      <c r="AX50" s="1412"/>
    </row>
    <row customHeight="1" ht="21">
      <c r="A51" s="2278" t="s">
        <v>247</v>
      </c>
      <c r="B51" s="2278" t="s">
        <v>248</v>
      </c>
      <c r="C51" s="2278" t="s">
        <v>249</v>
      </c>
      <c r="D51" s="2278" t="s">
        <v>535</v>
      </c>
      <c r="E51" s="3083"/>
      <c r="F51" s="3083"/>
      <c r="G51" s="3083"/>
      <c r="H51" s="3082"/>
      <c r="I51" s="2278"/>
      <c r="J51" s="2278"/>
      <c r="K51" s="2278"/>
      <c r="L51" s="2279"/>
      <c r="M51" s="2280"/>
      <c r="N51" s="2280"/>
      <c r="O51" s="1449"/>
      <c r="P51" s="1272"/>
      <c r="Q51" s="1287"/>
      <c r="R51" s="1267"/>
      <c r="S51" s="2193"/>
      <c r="T51" s="1284" t="s">
        <v>480</v>
      </c>
      <c r="U51" s="1279"/>
      <c r="V51" s="1279"/>
      <c r="W51" s="1512"/>
      <c r="X51" s="1512"/>
      <c r="Y51" s="1512"/>
      <c r="Z51" s="1512"/>
      <c r="AA51" s="1512"/>
      <c r="AB51" s="1279"/>
      <c r="AC51" s="1279"/>
      <c r="AD51" s="1279"/>
      <c r="AE51" s="1279"/>
      <c r="AF51" s="1278"/>
      <c r="AG51" s="1279"/>
      <c r="AH51" s="1512"/>
      <c r="AI51" s="1512"/>
      <c r="AJ51" s="1512"/>
      <c r="AK51" s="1512"/>
      <c r="AL51" s="1512"/>
      <c r="AM51" s="1279"/>
      <c r="AN51" s="1279"/>
      <c r="AO51" s="1279"/>
      <c r="AP51" s="1279"/>
      <c r="AQ51" s="1278"/>
      <c r="AR51" s="1279"/>
      <c r="AS51" s="1215"/>
      <c r="AU51" s="1412"/>
      <c r="AV51" s="1412" t="str">
        <f>IF(T51="","",T51)</f>
        <v>Добавить наименование признака дифференциации</v>
      </c>
      <c r="AW51" s="1412"/>
      <c r="AX51" s="1412"/>
    </row>
    <row s="40110" customFormat="1" customHeight="1" ht="0">
      <c r="A52" s="2258" t="s">
        <v>247</v>
      </c>
      <c r="B52" s="2258" t="s">
        <v>248</v>
      </c>
      <c r="C52" s="2229"/>
      <c r="D52" s="2229"/>
      <c r="E52" s="3083"/>
      <c r="F52" s="3082"/>
      <c r="G52" s="2229"/>
      <c r="H52" s="2229"/>
      <c r="I52" s="2229"/>
      <c r="J52" s="2229"/>
      <c r="K52" s="2229"/>
      <c r="L52" s="2409"/>
      <c r="M52" s="2236"/>
      <c r="N52" s="2236"/>
      <c r="P52" s="2231"/>
      <c r="Q52" s="2232"/>
      <c r="R52" s="2231"/>
      <c r="S52" s="2237"/>
      <c r="T52" s="2240" t="s">
        <v>406</v>
      </c>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c r="AS52" s="2239"/>
      <c r="AU52" s="1701"/>
      <c r="AV52" s="1701" t="str">
        <f>IF(T52="","",T52)</f>
        <v>Добавить централизованную систему для дифференциации</v>
      </c>
      <c r="AW52" s="1701"/>
      <c r="AX52" s="1701"/>
    </row>
    <row s="40202" customFormat="1" customHeight="1" ht="0">
      <c r="A53" s="2258" t="s">
        <v>247</v>
      </c>
      <c r="B53" s="2258"/>
      <c r="C53" s="2258"/>
      <c r="D53" s="2258"/>
      <c r="E53" s="3082"/>
      <c r="F53" s="2258"/>
      <c r="G53" s="2258"/>
      <c r="H53" s="2258"/>
      <c r="I53" s="2258"/>
      <c r="J53" s="2258"/>
      <c r="K53" s="2258"/>
      <c r="L53" s="2261"/>
      <c r="M53" s="2236"/>
      <c r="N53" s="2236"/>
      <c r="O53" s="1430"/>
      <c r="P53" s="1292"/>
      <c r="Q53" s="2259"/>
      <c r="R53" s="1292"/>
      <c r="S53" s="2237"/>
      <c r="T53" s="2240" t="s">
        <v>407</v>
      </c>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c r="AS53" s="2239"/>
      <c r="AU53" s="1412"/>
      <c r="AV53" s="1412" t="str">
        <f>IF(T53="","",T53)</f>
        <v>Добавить территорию для дифференциации</v>
      </c>
      <c r="AW53" s="1412"/>
      <c r="AX53" s="1412"/>
    </row>
    <row s="40110" customFormat="1" customHeight="1" ht="0">
      <c r="A54" s="2229"/>
      <c r="B54" s="2229"/>
      <c r="C54" s="2229"/>
      <c r="D54" s="2229"/>
      <c r="E54" s="2258"/>
      <c r="F54" s="2229"/>
      <c r="G54" s="2229"/>
      <c r="H54" s="2229"/>
      <c r="I54" s="2229"/>
      <c r="J54" s="2229"/>
      <c r="K54" s="2229"/>
      <c r="L54" s="2409"/>
      <c r="M54" s="2236"/>
      <c r="N54" s="2236"/>
      <c r="P54" s="2231"/>
      <c r="Q54" s="2232"/>
      <c r="R54" s="2231"/>
      <c r="S54" s="2237"/>
      <c r="T54" s="2240" t="s">
        <v>439</v>
      </c>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c r="AS54" s="2239"/>
      <c r="AU54" s="1701"/>
      <c r="AV54" s="1701" t="str">
        <f>IF(T54="","",T54)</f>
        <v>Добавить наименование тарифа</v>
      </c>
      <c r="AW54" s="1701"/>
      <c r="AX54" s="1701"/>
    </row>
    <row customHeight="1" ht="11.25">
      <c r="M55" s="2074"/>
      <c r="N55" s="2074"/>
      <c r="O55" s="1449"/>
      <c r="P55" s="2069"/>
      <c r="Q55" s="2069"/>
      <c r="R55" s="2069"/>
      <c r="S55" s="2069"/>
      <c r="AT55" s="2069"/>
      <c r="AU55" s="2069"/>
      <c r="AV55" s="2069"/>
      <c r="AW55" s="2069"/>
      <c r="AX55" s="2069"/>
    </row>
    <row customHeight="1" ht="14.25">
      <c r="O56" s="1449"/>
      <c r="S56" s="2167"/>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row>
    <row customHeight="1" ht="14.25">
      <c r="O57" s="1449"/>
    </row>
    <row customHeight="1" ht="14.25">
      <c r="O58" s="1449"/>
      <c r="S58" s="2167"/>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1B4C2D-34DE-CCED-FD87-A6D73A43EC7A}"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0129" width="11.57421875" hidden="1" customWidth="1"/>
    <col min="2" max="2" style="40129" width="11.00390625" hidden="1" customWidth="1"/>
    <col min="3" max="3" style="40129" width="10.57421875" hidden="1"/>
    <col min="4" max="4" style="40129" width="12.8515625" hidden="1" customWidth="1"/>
    <col min="5" max="5" style="40129" width="10.00390625" hidden="1" customWidth="1"/>
    <col min="6" max="6" style="40129" width="8.7109375" hidden="1" customWidth="1"/>
    <col min="7" max="7" style="40129" width="7.57421875" hidden="1" customWidth="1"/>
    <col min="8" max="8" style="40129" width="11.421875" hidden="1" customWidth="1"/>
    <col min="9" max="9" style="40129" width="12.00390625" hidden="1" customWidth="1"/>
    <col min="10" max="10" style="40129" width="9.8515625" hidden="1" customWidth="1"/>
    <col min="11" max="11" style="40129" width="11.421875" hidden="1" customWidth="1"/>
    <col min="12" max="12" style="40480" width="19.140625" hidden="1" customWidth="1"/>
    <col min="13" max="14" style="40211" width="12.28125" hidden="1" customWidth="1"/>
    <col min="15" max="15" style="40211" width="23.421875" hidden="1" customWidth="1"/>
    <col min="16" max="16" style="40211" width="3.7109375" hidden="1" customWidth="1"/>
    <col min="17" max="17" style="40384" width="3.7109375" hidden="1" customWidth="1"/>
    <col min="18" max="18" style="40213" width="3.7109375" customWidth="1"/>
    <col min="19" max="19" style="40214" width="12.7109375" customWidth="1"/>
    <col min="20" max="20" style="40215" width="32.00390625" customWidth="1"/>
    <col min="21" max="21" style="40215" width="0.140625" customWidth="1"/>
    <col min="22" max="25" style="40215" width="21.7109375" hidden="1" customWidth="1"/>
    <col min="26" max="26" style="40215" width="11.7109375" hidden="1" customWidth="1"/>
    <col min="27" max="27" style="40215" width="3.7109375" hidden="1" customWidth="1"/>
    <col min="28" max="28" style="40215" width="11.7109375" hidden="1" customWidth="1"/>
    <col min="29" max="29" style="40215" width="8.57421875" hidden="1" customWidth="1"/>
    <col min="30" max="32" style="40215" width="3.7109375" customWidth="1"/>
    <col min="33" max="33" style="40215" width="24.7109375" customWidth="1"/>
    <col min="34" max="36" style="40215" width="3.7109375" customWidth="1"/>
    <col min="37" max="37" style="40215" width="24.7109375" customWidth="1"/>
    <col min="38" max="40" style="40215" width="3.7109375" customWidth="1"/>
    <col min="41" max="41" style="40215" width="18.8515625" customWidth="1"/>
    <col min="42" max="44" style="40215" width="3.7109375" customWidth="1"/>
    <col min="45" max="45" style="40215" width="18.8515625" customWidth="1"/>
    <col min="46" max="49" style="40215" width="21.7109375" customWidth="1"/>
    <col min="50" max="50" style="40215" width="11.7109375" customWidth="1"/>
    <col min="51" max="51" style="40215" width="3.7109375" customWidth="1"/>
    <col min="52" max="52" style="40215" width="11.7109375" customWidth="1"/>
    <col min="53" max="53" style="40215" width="8.57421875" hidden="1" customWidth="1"/>
    <col min="54" max="54" style="40215" width="4.7109375" customWidth="1"/>
    <col min="55" max="55" style="40215" width="115.7109375" customWidth="1"/>
    <col min="56" max="57" style="40202" width="10.57421875"/>
    <col min="58" max="58" style="40202" width="11.140625" customWidth="1"/>
    <col min="59" max="60" style="40202"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408">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408">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33.75" hidden="1">
      <c r="A4" s="2278"/>
      <c r="B4" s="2278"/>
      <c r="C4" s="2278"/>
      <c r="D4" s="2278"/>
      <c r="E4" s="3083"/>
      <c r="F4" s="3083"/>
      <c r="G4" s="3082">
        <v>1</v>
      </c>
      <c r="H4" s="2278"/>
      <c r="I4" s="2278"/>
      <c r="J4" s="2278"/>
      <c r="K4" s="2278"/>
      <c r="L4" s="2279"/>
      <c r="M4" s="2280"/>
      <c r="N4" s="2280"/>
      <c r="O4" s="2280"/>
      <c r="P4" s="2327"/>
      <c r="Q4" s="2326"/>
      <c r="R4" s="1265"/>
      <c r="S4" s="2408">
        <f>INDEX(PT_DIFFERENTIATION_NUM_CS,MATCH(C4,PT_DIFFERENTIATION_CS_ID,0))</f>
      </c>
      <c r="T4" s="1221" t="s">
        <v>522</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523</v>
      </c>
      <c r="BE4" s="1412"/>
      <c r="BF4" s="1412" t="str">
        <f>IF(T4="","",T4)</f>
        <v>Наименование централизованной системы горячего водоснабжения</v>
      </c>
      <c r="BG4" s="1412"/>
      <c r="BH4" s="1412"/>
    </row>
    <row s="40202"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40202"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96"/>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40202"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84" t="s">
        <v>62</v>
      </c>
      <c r="AB8" s="2649"/>
      <c r="AC8" s="2384" t="s">
        <v>62</v>
      </c>
      <c r="AD8" s="3009" t="s">
        <v>62</v>
      </c>
      <c r="AE8" s="3143"/>
      <c r="AF8" s="3029">
        <v>1</v>
      </c>
      <c r="AG8" s="3180"/>
      <c r="AH8" s="2933" t="s">
        <v>62</v>
      </c>
      <c r="AI8" s="3143"/>
      <c r="AJ8" s="3029">
        <v>1</v>
      </c>
      <c r="AK8" s="3179" t="s">
        <v>18</v>
      </c>
      <c r="AL8" s="2933" t="s">
        <v>62</v>
      </c>
      <c r="AM8" s="3016"/>
      <c r="AN8" s="3029">
        <v>1</v>
      </c>
      <c r="AO8" s="3173"/>
      <c r="AP8" s="3174" t="s">
        <v>62</v>
      </c>
      <c r="AQ8" s="1223"/>
      <c r="AR8" s="2401">
        <v>1</v>
      </c>
      <c r="AS8" s="2407" t="s">
        <v>18</v>
      </c>
      <c r="AT8" s="1663"/>
      <c r="AU8" s="2171"/>
      <c r="AV8" s="1663"/>
      <c r="AW8" s="2171"/>
      <c r="AX8" s="2649"/>
      <c r="AY8" s="2384" t="s">
        <v>62</v>
      </c>
      <c r="AZ8" s="2649"/>
      <c r="BA8" s="238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495</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496</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40202" customFormat="1" customHeight="1" ht="14.25" hidden="1">
      <c r="A14" s="2258"/>
      <c r="B14" s="2258"/>
      <c r="C14" s="2258"/>
      <c r="D14" s="2258"/>
      <c r="E14" s="3083"/>
      <c r="F14" s="3083"/>
      <c r="G14" s="3083"/>
      <c r="H14" s="3083"/>
      <c r="I14" s="3080"/>
      <c r="J14" s="2258"/>
      <c r="K14" s="2258"/>
      <c r="L14" s="2261"/>
      <c r="M14" s="1422"/>
      <c r="N14" s="1422"/>
      <c r="O14" s="1422"/>
      <c r="P14" s="3081"/>
      <c r="Q14" s="2396"/>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40202"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40110" customFormat="1" customHeight="1" ht="14.25" hidden="1">
      <c r="A16" s="2258"/>
      <c r="B16" s="2258"/>
      <c r="C16" s="2258"/>
      <c r="D16" s="2229"/>
      <c r="E16" s="3083"/>
      <c r="F16" s="3083"/>
      <c r="G16" s="3082"/>
      <c r="H16" s="2229"/>
      <c r="I16" s="2229"/>
      <c r="J16" s="2229"/>
      <c r="K16" s="2229"/>
      <c r="L16" s="240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40110" customFormat="1" customHeight="1" ht="14.25" hidden="1">
      <c r="A17" s="2258"/>
      <c r="B17" s="2258"/>
      <c r="C17" s="2229"/>
      <c r="D17" s="2229"/>
      <c r="E17" s="3083"/>
      <c r="F17" s="3082"/>
      <c r="G17" s="2229"/>
      <c r="H17" s="2229"/>
      <c r="I17" s="2229"/>
      <c r="J17" s="2229"/>
      <c r="K17" s="2229"/>
      <c r="L17" s="240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40202"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400" t="s">
        <v>62</v>
      </c>
      <c r="AZ20" s="2651"/>
      <c r="BA20" s="2400"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358"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0143"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40143"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40143"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40143"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0143"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40143"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40143"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403"/>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500</v>
      </c>
      <c r="AE41" s="3115"/>
      <c r="AF41" s="3115"/>
      <c r="AG41" s="3146"/>
      <c r="AH41" s="3145" t="s">
        <v>501</v>
      </c>
      <c r="AI41" s="3115"/>
      <c r="AJ41" s="3115"/>
      <c r="AK41" s="3146"/>
      <c r="AL41" s="3145" t="s">
        <v>502</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504</v>
      </c>
      <c r="AU42" s="3017"/>
      <c r="AV42" s="3016" t="s">
        <v>505</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94" t="s">
        <v>470</v>
      </c>
      <c r="W44" s="2394" t="s">
        <v>471</v>
      </c>
      <c r="X44" s="2394" t="s">
        <v>470</v>
      </c>
      <c r="Y44" s="2394" t="s">
        <v>471</v>
      </c>
      <c r="Z44" s="2404"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94" t="s">
        <v>470</v>
      </c>
      <c r="AU44" s="2394" t="s">
        <v>471</v>
      </c>
      <c r="AV44" s="2394" t="s">
        <v>470</v>
      </c>
      <c r="AW44" s="2394" t="s">
        <v>471</v>
      </c>
      <c r="AX44" s="2404" t="s">
        <v>437</v>
      </c>
      <c r="AY44" s="3094" t="s">
        <v>438</v>
      </c>
      <c r="AZ44" s="3095"/>
      <c r="BA44" s="3103"/>
      <c r="BB44" s="3106"/>
      <c r="BC44" s="2953"/>
    </row>
    <row s="39960" customFormat="1" customHeight="1" ht="0">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97">
        <f>OFFSET(V45,0,-1)+1</f>
        <v>3</v>
      </c>
      <c r="W45" s="2397">
        <f>OFFSET(W45,0,-1)+1</f>
        <v>4</v>
      </c>
      <c r="X45" s="2397">
        <f>OFFSET(X45,0,-1)+1</f>
        <v>5</v>
      </c>
      <c r="Y45" s="2397">
        <f>OFFSET(Y45,0,-1)+1</f>
        <v>6</v>
      </c>
      <c r="Z45" s="2397">
        <f>OFFSET(Z45,0,-1)+1</f>
        <v>7</v>
      </c>
      <c r="AA45" s="3096">
        <f>OFFSET(AA45,0,-1)+1</f>
        <v>8</v>
      </c>
      <c r="AB45" s="3096"/>
      <c r="AC45" s="2397">
        <f>OFFSET(AC45,0,-2)+1</f>
        <v>9</v>
      </c>
      <c r="AD45" s="2397">
        <f>OFFSET(AD45,0,-1)+1</f>
        <v>10</v>
      </c>
      <c r="AE45" s="2397"/>
      <c r="AF45" s="2397"/>
      <c r="AG45" s="2397"/>
      <c r="AH45" s="2397"/>
      <c r="AI45" s="2397"/>
      <c r="AJ45" s="2397"/>
      <c r="AK45" s="2397"/>
      <c r="AL45" s="2397"/>
      <c r="AM45" s="2397"/>
      <c r="AN45" s="2397"/>
      <c r="AO45" s="2397"/>
      <c r="AP45" s="2397"/>
      <c r="AQ45" s="2397"/>
      <c r="AR45" s="2397"/>
      <c r="AS45" s="2397"/>
      <c r="AT45" s="2397"/>
      <c r="AU45" s="2397"/>
      <c r="AV45" s="2397"/>
      <c r="AW45" s="2397">
        <f>OFFSET(AW45,0,-1)+1</f>
        <v>1</v>
      </c>
      <c r="AX45" s="2397">
        <f>OFFSET(AX45,0,-1)+1</f>
        <v>2</v>
      </c>
      <c r="AY45" s="3096">
        <f>OFFSET(AY45,0,-1)+1</f>
        <v>3</v>
      </c>
      <c r="AZ45" s="3096"/>
      <c r="BA45" s="2397">
        <f>OFFSET(BA45,0,-2)+1</f>
        <v>4</v>
      </c>
      <c r="BB45" s="2159">
        <f>OFFSET(BB45,0,-1)</f>
        <v>4</v>
      </c>
      <c r="BC45" s="2397">
        <f>OFFSET(BC45,0,-1)+1</f>
        <v>5</v>
      </c>
      <c r="BD45" s="1423"/>
      <c r="BE45" s="1423"/>
      <c r="BF45" s="1423"/>
      <c r="BG45" s="1423"/>
      <c r="BH45" s="1423"/>
    </row>
    <row customHeight="1" ht="21">
      <c r="A46" s="2278" t="s">
        <v>252</v>
      </c>
      <c r="B46" s="2278"/>
      <c r="C46" s="2278"/>
      <c r="D46" s="2278"/>
      <c r="E46" s="3082">
        <v>1</v>
      </c>
      <c r="F46" s="2278"/>
      <c r="G46" s="2278"/>
      <c r="H46" s="2278"/>
      <c r="I46" s="2278"/>
      <c r="J46" s="2278"/>
      <c r="K46" s="2278"/>
      <c r="L46" s="2279"/>
      <c r="M46" s="2280"/>
      <c r="N46" s="2280"/>
      <c r="O46" s="2280"/>
      <c r="P46" s="2324"/>
      <c r="Q46" s="1785"/>
      <c r="R46" s="1267"/>
      <c r="S46" s="2408">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252</v>
      </c>
      <c r="B47" s="2278" t="s">
        <v>253</v>
      </c>
      <c r="C47" s="2278"/>
      <c r="D47" s="2278"/>
      <c r="E47" s="3083"/>
      <c r="F47" s="3082">
        <v>1</v>
      </c>
      <c r="G47" s="2278"/>
      <c r="H47" s="2278"/>
      <c r="I47" s="2278"/>
      <c r="J47" s="2278"/>
      <c r="K47" s="2278"/>
      <c r="L47" s="2279"/>
      <c r="M47" s="2280"/>
      <c r="N47" s="2280"/>
      <c r="O47" s="2280"/>
      <c r="P47" s="2325"/>
      <c r="Q47" s="2326"/>
      <c r="R47" s="1265"/>
      <c r="S47" s="2408"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33.75">
      <c r="A48" s="2278" t="s">
        <v>252</v>
      </c>
      <c r="B48" s="2278" t="s">
        <v>253</v>
      </c>
      <c r="C48" s="2278" t="s">
        <v>254</v>
      </c>
      <c r="D48" s="2278"/>
      <c r="E48" s="3083"/>
      <c r="F48" s="3083"/>
      <c r="G48" s="3082">
        <v>1</v>
      </c>
      <c r="H48" s="2278"/>
      <c r="I48" s="2278"/>
      <c r="J48" s="2278"/>
      <c r="K48" s="2278"/>
      <c r="L48" s="2279"/>
      <c r="M48" s="2280"/>
      <c r="N48" s="2280"/>
      <c r="O48" s="2280"/>
      <c r="P48" s="2327"/>
      <c r="Q48" s="2326"/>
      <c r="R48" s="1265"/>
      <c r="S48" s="2408" t="str">
        <f>INDEX(PT_DIFFERENTIATION_NUM_CS,MATCH(C48,PT_DIFFERENTIATION_CS_ID,0))</f>
        <v>..</v>
      </c>
      <c r="T48" s="1221" t="s">
        <v>522</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523</v>
      </c>
      <c r="BE48" s="1412"/>
      <c r="BF48" s="1412" t="str">
        <f>IF(T48="","",T48)</f>
        <v>Наименование централизованной системы горячего водоснабжения</v>
      </c>
      <c r="BG48" s="1412"/>
      <c r="BH48" s="1412"/>
    </row>
    <row s="40202" customFormat="1" customHeight="1" ht="0">
      <c r="A49" s="2258" t="s">
        <v>252</v>
      </c>
      <c r="B49" s="2258" t="s">
        <v>253</v>
      </c>
      <c r="C49" s="2258" t="s">
        <v>254</v>
      </c>
      <c r="D49" s="2258" t="s">
        <v>536</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40202" customFormat="1" customHeight="1" ht="0">
      <c r="A50" s="2258" t="s">
        <v>252</v>
      </c>
      <c r="B50" s="2258" t="s">
        <v>253</v>
      </c>
      <c r="C50" s="2258" t="s">
        <v>254</v>
      </c>
      <c r="D50" s="2258" t="s">
        <v>536</v>
      </c>
      <c r="E50" s="3083"/>
      <c r="F50" s="3083"/>
      <c r="G50" s="3083"/>
      <c r="H50" s="3083"/>
      <c r="I50" s="3080" t="str">
        <f>S49&amp;".1"</f>
        <v>.1</v>
      </c>
      <c r="J50" s="2258"/>
      <c r="K50" s="2258"/>
      <c r="L50" s="2261" t="s">
        <v>394</v>
      </c>
      <c r="M50" s="1422"/>
      <c r="N50" s="1422"/>
      <c r="O50" s="1422"/>
      <c r="P50" s="3081">
        <v>1</v>
      </c>
      <c r="Q50" s="2396"/>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40202" customFormat="1" customHeight="1" ht="0">
      <c r="A51" s="2258" t="s">
        <v>252</v>
      </c>
      <c r="B51" s="2258" t="s">
        <v>253</v>
      </c>
      <c r="C51" s="2258" t="s">
        <v>254</v>
      </c>
      <c r="D51" s="2258" t="s">
        <v>536</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252</v>
      </c>
      <c r="B52" s="2278" t="s">
        <v>253</v>
      </c>
      <c r="C52" s="2278" t="s">
        <v>254</v>
      </c>
      <c r="D52" s="2278" t="s">
        <v>536</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84" t="s">
        <v>62</v>
      </c>
      <c r="AB52" s="2649"/>
      <c r="AC52" s="238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401">
        <v>1</v>
      </c>
      <c r="AS52" s="2407" t="s">
        <v>18</v>
      </c>
      <c r="AT52" s="1663"/>
      <c r="AU52" s="2171"/>
      <c r="AV52" s="1663"/>
      <c r="AW52" s="2171"/>
      <c r="AX52" s="2649"/>
      <c r="AY52" s="2384" t="s">
        <v>62</v>
      </c>
      <c r="AZ52" s="2649"/>
      <c r="BA52" s="238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252</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495</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252</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496</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252</v>
      </c>
      <c r="B56" s="2278" t="s">
        <v>253</v>
      </c>
      <c r="C56" s="2278" t="s">
        <v>254</v>
      </c>
      <c r="D56" s="2278" t="s">
        <v>536</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252</v>
      </c>
      <c r="B57" s="2278" t="s">
        <v>253</v>
      </c>
      <c r="C57" s="2278" t="s">
        <v>254</v>
      </c>
      <c r="D57" s="2278" t="s">
        <v>536</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40202" customFormat="1" customHeight="1" ht="0">
      <c r="A58" s="2258" t="s">
        <v>252</v>
      </c>
      <c r="B58" s="2258" t="s">
        <v>253</v>
      </c>
      <c r="C58" s="2258" t="s">
        <v>254</v>
      </c>
      <c r="D58" s="2258" t="s">
        <v>536</v>
      </c>
      <c r="E58" s="3083"/>
      <c r="F58" s="3083"/>
      <c r="G58" s="3083"/>
      <c r="H58" s="3083"/>
      <c r="I58" s="3080"/>
      <c r="J58" s="2258"/>
      <c r="K58" s="2258"/>
      <c r="L58" s="2261"/>
      <c r="M58" s="1422"/>
      <c r="N58" s="1422"/>
      <c r="O58" s="1422"/>
      <c r="P58" s="3081"/>
      <c r="Q58" s="2396"/>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40202" customFormat="1" customHeight="1" ht="0">
      <c r="A59" s="2258" t="s">
        <v>252</v>
      </c>
      <c r="B59" s="2258" t="s">
        <v>253</v>
      </c>
      <c r="C59" s="2258" t="s">
        <v>254</v>
      </c>
      <c r="D59" s="2258" t="s">
        <v>536</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40110" customFormat="1" customHeight="1" ht="0">
      <c r="A60" s="2258" t="s">
        <v>252</v>
      </c>
      <c r="B60" s="2258" t="s">
        <v>253</v>
      </c>
      <c r="C60" s="2258" t="s">
        <v>254</v>
      </c>
      <c r="D60" s="2229"/>
      <c r="E60" s="3083"/>
      <c r="F60" s="3083"/>
      <c r="G60" s="3082"/>
      <c r="H60" s="2229"/>
      <c r="I60" s="2229"/>
      <c r="J60" s="2229"/>
      <c r="K60" s="2229"/>
      <c r="L60" s="240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40110" customFormat="1" customHeight="1" ht="0">
      <c r="A61" s="2258" t="s">
        <v>252</v>
      </c>
      <c r="B61" s="2258" t="s">
        <v>253</v>
      </c>
      <c r="C61" s="2229"/>
      <c r="D61" s="2229"/>
      <c r="E61" s="3083"/>
      <c r="F61" s="3082"/>
      <c r="G61" s="2229"/>
      <c r="H61" s="2229"/>
      <c r="I61" s="2229"/>
      <c r="J61" s="2229"/>
      <c r="K61" s="2229"/>
      <c r="L61" s="240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40202" customFormat="1" customHeight="1" ht="0">
      <c r="A62" s="2258" t="s">
        <v>252</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40110" customFormat="1" customHeight="1" ht="0">
      <c r="A63" s="2229"/>
      <c r="B63" s="2229"/>
      <c r="C63" s="2229"/>
      <c r="D63" s="2229"/>
      <c r="E63" s="2258"/>
      <c r="F63" s="2229"/>
      <c r="G63" s="2229"/>
      <c r="H63" s="2229"/>
      <c r="I63" s="2229"/>
      <c r="J63" s="2229"/>
      <c r="K63" s="2229"/>
      <c r="L63" s="240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c r="AS66" s="2395"/>
      <c r="AT66" s="2395"/>
      <c r="AU66" s="2395"/>
      <c r="AV66" s="2395"/>
      <c r="AW66" s="2395"/>
      <c r="AX66" s="2395"/>
      <c r="AY66" s="2395"/>
      <c r="AZ66" s="2395"/>
      <c r="BA66" s="2395"/>
      <c r="BB66" s="2395"/>
      <c r="BC66" s="2395"/>
    </row>
    <row customHeight="1" ht="18.7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0CE371-470A-B2A6-2607-0F5AADBD013C}" mc:Ignorable="x14ac xr xr2 xr3">
  <sheetPr>
    <tabColor theme="9" tint="-0.25"/>
  </sheetPr>
  <dimension ref="A1:AE302"/>
  <sheetViews>
    <sheetView topLeftCell="D20" showGridLines="0" zoomScale="90" workbookViewId="0">
      <selection activeCell="A1" sqref="A1"/>
    </sheetView>
  </sheetViews>
  <sheetFormatPr defaultColWidth="9.140625" customHeight="1" defaultRowHeight="11.25"/>
  <cols>
    <col min="1" max="1" style="40614" width="10.7109375" hidden="1" customWidth="1"/>
    <col min="2" max="2" style="40129" width="16.8515625" hidden="1" customWidth="1"/>
    <col min="3" max="3" style="40255" width="5.57421875" hidden="1" customWidth="1"/>
    <col min="4" max="4" style="40615" width="3.7109375" customWidth="1"/>
    <col min="5" max="5" style="40257" width="7.7109375" customWidth="1"/>
    <col min="6" max="6" style="40257" width="54.57421875" customWidth="1"/>
    <col min="7" max="7" style="40257" width="10.421875" customWidth="1"/>
    <col min="8" max="8" style="40257" width="40.7109375" hidden="1" customWidth="1"/>
    <col min="9" max="9" style="40257" width="40.7109375" customWidth="1"/>
    <col min="10" max="10" style="40257" width="102.8515625" customWidth="1"/>
    <col min="11" max="11" style="40129" width="9.7109375" customWidth="1"/>
    <col min="12" max="12" style="40255" width="5.28125" customWidth="1"/>
    <col min="13" max="13" style="40255" width="3.7109375" customWidth="1"/>
    <col min="14" max="17" style="40129" width="3.7109375" customWidth="1"/>
    <col min="18" max="18" style="40255" width="10.57421875" customWidth="1"/>
    <col min="19" max="19" style="40129" width="34.7109375" customWidth="1"/>
    <col min="20" max="20" style="40129" width="9.421875" customWidth="1"/>
    <col min="21" max="21" style="40616" width="9.140625"/>
    <col min="22" max="26" style="40129" width="9.140625"/>
    <col min="27" max="31" style="40518" width="9.140625"/>
  </cols>
  <sheetData>
    <row customHeight="1" ht="11.25" hidden="1"/>
    <row customHeight="1" ht="23.25" hidden="1">
      <c r="B2" s="2925"/>
      <c r="C2" s="2081" t="s">
        <v>537</v>
      </c>
      <c r="D2" s="2553"/>
      <c r="E2" s="1458">
        <f>B2</f>
        <v>0</v>
      </c>
      <c r="F2" s="1459"/>
      <c r="G2" s="2561" t="s">
        <v>538</v>
      </c>
      <c r="H2" s="2561" t="s">
        <v>538</v>
      </c>
      <c r="I2" s="2561" t="s">
        <v>538</v>
      </c>
      <c r="J2" s="1201" t="s">
        <v>539</v>
      </c>
      <c r="K2" s="1455"/>
    </row>
    <row s="40255" customFormat="1" customHeight="1" ht="0.75" hidden="1">
      <c r="B3" s="2925"/>
      <c r="C3" s="2081"/>
      <c r="D3" s="1460"/>
      <c r="E3" s="1461"/>
      <c r="F3" s="1462" t="s">
        <v>540</v>
      </c>
      <c r="G3" s="1463"/>
      <c r="H3" s="1463">
        <f>H4*H5+H7</f>
        <v>0</v>
      </c>
      <c r="I3" s="1463">
        <f>I4*I5+I6</f>
        <v>0</v>
      </c>
      <c r="J3" s="1464"/>
    </row>
    <row customHeight="1" ht="23.25" hidden="1">
      <c r="B4" s="2925"/>
      <c r="C4" s="2081"/>
      <c r="D4" s="2553"/>
      <c r="E4" s="1458" t="str">
        <f>B2&amp;".1"</f>
        <v>.1</v>
      </c>
      <c r="F4" s="1465" t="s">
        <v>541</v>
      </c>
      <c r="G4" s="1466"/>
      <c r="H4" s="1453"/>
      <c r="I4" s="1453"/>
      <c r="J4" s="1201" t="s">
        <v>542</v>
      </c>
      <c r="K4" s="1455"/>
    </row>
    <row customHeight="1" ht="18.75" hidden="1">
      <c r="B5" s="2925"/>
      <c r="C5" s="2081"/>
      <c r="D5" s="2553"/>
      <c r="E5" s="1458" t="str">
        <f>B2&amp;".2"</f>
        <v>.2</v>
      </c>
      <c r="F5" s="1465" t="s">
        <v>543</v>
      </c>
      <c r="G5" s="2561" t="s">
        <v>544</v>
      </c>
      <c r="H5" s="1453"/>
      <c r="I5" s="1453"/>
      <c r="J5" s="1201"/>
      <c r="K5" s="1455"/>
    </row>
    <row customHeight="1" ht="18.75" hidden="1">
      <c r="B6" s="2925"/>
      <c r="C6" s="2081"/>
      <c r="D6" s="2553"/>
      <c r="E6" s="1458" t="str">
        <f>B2&amp;".3"</f>
        <v>.3</v>
      </c>
      <c r="F6" s="1465" t="s">
        <v>545</v>
      </c>
      <c r="G6" s="2561" t="s">
        <v>544</v>
      </c>
      <c r="H6" s="1453"/>
      <c r="I6" s="1453"/>
      <c r="J6" s="1201"/>
      <c r="K6" s="1455"/>
    </row>
    <row customHeight="1" ht="18.75" hidden="1">
      <c r="B7" s="2925"/>
      <c r="C7" s="2081"/>
      <c r="D7" s="2553"/>
      <c r="E7" s="1458" t="str">
        <f>B2&amp;".4"</f>
        <v>.4</v>
      </c>
      <c r="F7" s="1465" t="s">
        <v>546</v>
      </c>
      <c r="G7" s="2561" t="s">
        <v>538</v>
      </c>
      <c r="H7" s="1467"/>
      <c r="I7" s="1467"/>
      <c r="J7" s="1201"/>
      <c r="K7" s="1455"/>
    </row>
    <row s="40129" customFormat="1" customHeight="1" ht="11.25" hidden="1">
      <c r="A8" s="1900"/>
      <c r="C8" s="2551"/>
      <c r="D8" s="1449"/>
      <c r="H8" s="2074">
        <v>4</v>
      </c>
      <c r="I8" s="2074">
        <v>4</v>
      </c>
      <c r="L8" s="2551"/>
      <c r="M8" s="2551"/>
      <c r="R8" s="2551"/>
    </row>
    <row s="40129" customFormat="1" customHeight="1" ht="22.5" hidden="1">
      <c r="A9" s="1900"/>
      <c r="C9" s="2551"/>
      <c r="D9" s="1450"/>
      <c r="E9" s="2563"/>
      <c r="F9" s="1452"/>
      <c r="G9" s="2561" t="s">
        <v>544</v>
      </c>
      <c r="H9" s="1453"/>
      <c r="I9" s="1453"/>
      <c r="J9" s="1454" t="s">
        <v>547</v>
      </c>
      <c r="K9" s="1455"/>
      <c r="L9" s="2551"/>
      <c r="M9" s="2551"/>
      <c r="R9" s="2551"/>
      <c r="U9" s="1456"/>
      <c r="AA9" s="2547"/>
      <c r="AB9" s="2547"/>
      <c r="AC9" s="2547"/>
      <c r="AD9" s="2547"/>
      <c r="AE9" s="2547"/>
    </row>
    <row customHeight="1" ht="11.25" hidden="1"/>
    <row customHeight="1" ht="18.75" hidden="1">
      <c r="D11" s="2553"/>
      <c r="E11" s="1458"/>
      <c r="F11" s="1452"/>
      <c r="G11" s="2561" t="s">
        <v>548</v>
      </c>
      <c r="H11" s="1453"/>
      <c r="I11" s="1453"/>
      <c r="J11" s="1201" t="s">
        <v>549</v>
      </c>
      <c r="K11" s="1455"/>
    </row>
    <row customHeight="1" ht="11.25" hidden="1"/>
    <row customHeight="1" ht="22.5" hidden="1">
      <c r="D13" s="2553"/>
      <c r="E13" s="1458"/>
      <c r="F13" s="1452"/>
      <c r="G13" s="1882" t="s">
        <v>550</v>
      </c>
      <c r="H13" s="1457"/>
      <c r="I13" s="1457"/>
      <c r="J13" s="1657" t="s">
        <v>551</v>
      </c>
      <c r="K13" s="1455"/>
    </row>
    <row customHeight="1" ht="11.25" hidden="1"/>
    <row customHeight="1" ht="22.5" hidden="1">
      <c r="D15" s="2553"/>
      <c r="E15" s="1458"/>
      <c r="F15" s="1452"/>
      <c r="G15" s="2561" t="s">
        <v>552</v>
      </c>
      <c r="H15" s="1457"/>
      <c r="I15" s="1457"/>
      <c r="J15" s="1201" t="s">
        <v>553</v>
      </c>
      <c r="K15" s="1455"/>
    </row>
    <row customHeight="1" ht="11.25" hidden="1"/>
    <row customHeight="1" ht="22.5" hidden="1">
      <c r="D17" s="2553"/>
      <c r="E17" s="1458"/>
      <c r="F17" s="1452"/>
      <c r="G17" s="2561" t="s">
        <v>554</v>
      </c>
      <c r="H17" s="1457"/>
      <c r="I17" s="1457"/>
      <c r="J17" s="1201" t="s">
        <v>555</v>
      </c>
      <c r="K17" s="1455"/>
    </row>
    <row customHeight="1" ht="11.25" hidden="1"/>
    <row s="40518" customFormat="1" customHeight="1" ht="11.25" hidden="1">
      <c r="A19" s="1900"/>
      <c r="B19" s="2074"/>
      <c r="C19" s="2551"/>
      <c r="D19" s="1274"/>
      <c r="J19" s="2547">
        <v>4</v>
      </c>
      <c r="K19" s="2074"/>
      <c r="L19" s="2551"/>
      <c r="M19" s="2551"/>
      <c r="N19" s="2074"/>
      <c r="O19" s="2074"/>
      <c r="P19" s="2074"/>
      <c r="Q19" s="2074"/>
      <c r="R19" s="2551"/>
      <c r="S19" s="2074"/>
      <c r="T19" s="2074"/>
      <c r="U19" s="1456"/>
      <c r="V19" s="2074"/>
      <c r="W19" s="2074"/>
      <c r="X19" s="2074"/>
      <c r="Y19" s="2074"/>
      <c r="Z19" s="2074"/>
    </row>
    <row r="21" customHeight="1" ht="24">
      <c r="E21" s="307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72"/>
      <c r="G21" s="3072"/>
      <c r="H21" s="3072"/>
      <c r="I21" s="3072"/>
      <c r="J21" s="1468"/>
    </row>
    <row customHeight="1" ht="24">
      <c r="E22" s="3073" t="str">
        <f>IF(org=0,"Не определено",org)</f>
        <v>ПАО "ТГК-1" филиал "Невский"</v>
      </c>
      <c r="F22" s="3073"/>
      <c r="G22" s="3073"/>
      <c r="H22" s="3073"/>
      <c r="I22" s="3073"/>
    </row>
    <row customHeight="1" ht="11.25">
      <c r="E23" s="2049"/>
      <c r="F23" s="2049"/>
      <c r="G23" s="2049"/>
      <c r="H23" s="2049"/>
      <c r="I23" s="2049"/>
    </row>
    <row s="40255" customFormat="1" customHeight="1" ht="0.75">
      <c r="A24" s="2081"/>
      <c r="D24" s="2557"/>
      <c r="H24" s="1801"/>
      <c r="I24" s="1801" t="s">
        <v>110</v>
      </c>
    </row>
    <row customHeight="1" ht="11.25">
      <c r="E25" s="1623"/>
      <c r="F25" s="3184" t="s">
        <v>98</v>
      </c>
      <c r="G25" s="3185"/>
      <c r="H25" s="2567" t="str">
        <f>IF(H24="","",INDEX(DIFFERENTIATION_UNMERGE_VD,MATCH(H24,DIFFERENTIATION_ID_DIFF,0)))</f>
        <v/>
      </c>
      <c r="I25" s="2567">
        <f>IF(I24="","",INDEX(DIFFERENTIATION_UNMERGE_VD,MATCH(I24,DIFFERENTIATION_ID_DIFF,0)))</f>
        <v>0</v>
      </c>
      <c r="J25" s="2953"/>
    </row>
    <row customHeight="1" ht="11.25">
      <c r="E26" s="1623"/>
      <c r="F26" s="3184" t="s">
        <v>556</v>
      </c>
      <c r="G26" s="3185"/>
      <c r="H26" s="2567" t="str">
        <f>IF(H24="","",INDEX(DIFFERENTIATION_UNMERGE_AREA,MATCH(H24,DIFFERENTIATION_ID_DIFF,0)))</f>
        <v/>
      </c>
      <c r="I26" s="2567" t="str">
        <f>IF(I24="","",INDEX(DIFFERENTIATION_UNMERGE_AREA,MATCH(I24,DIFFERENTIATION_ID_DIFF,0)))</f>
        <v/>
      </c>
      <c r="J26" s="2953"/>
    </row>
    <row customHeight="1" ht="11.25">
      <c r="E27" s="1623"/>
      <c r="F27" s="3184" t="s">
        <v>557</v>
      </c>
      <c r="G27" s="3185"/>
      <c r="H27" s="2567" t="str">
        <f>IF(H24="","",INDEX(DIFFERENTIATION_UNMERGE_SYSTEM,MATCH(H24,DIFFERENTIATION_ID_DIFF,0)))</f>
        <v/>
      </c>
      <c r="I27" s="2567" t="str">
        <f>IF(I24="","",INDEX(DIFFERENTIATION_UNMERGE_SYSTEM,MATCH(I24,DIFFERENTIATION_ID_DIFF,0)))</f>
        <v>без дифференциации</v>
      </c>
      <c r="J27" s="2953"/>
    </row>
    <row customHeight="1" ht="11.25">
      <c r="E28" s="3186" t="s">
        <v>291</v>
      </c>
      <c r="F28" s="3187"/>
      <c r="G28" s="3187"/>
      <c r="H28" s="2560"/>
      <c r="I28" s="2560"/>
      <c r="J28" s="2953"/>
    </row>
    <row customHeight="1" ht="22.5">
      <c r="E29" s="2561" t="s">
        <v>84</v>
      </c>
      <c r="F29" s="2568" t="s">
        <v>293</v>
      </c>
      <c r="G29" s="2568" t="s">
        <v>558</v>
      </c>
      <c r="H29" s="2568" t="s">
        <v>294</v>
      </c>
      <c r="I29" s="2568" t="s">
        <v>294</v>
      </c>
      <c r="J29" s="2953"/>
    </row>
    <row customHeight="1" ht="18.75">
      <c r="D30" s="2553"/>
      <c r="E30" s="1458">
        <f>FHD_NUM_P_1</f>
        <v>1</v>
      </c>
      <c r="F30" s="2796" t="str">
        <f>FHD_P_1</f>
        <v>Выручка от регулируемого вида деятельности с распределением по видам деятельности</v>
      </c>
      <c r="G30" s="2794" t="s">
        <v>544</v>
      </c>
      <c r="H30" s="1469"/>
      <c r="I30" s="1469"/>
      <c r="J30" s="1201" t="str">
        <f>FHD_NOTE_P_1</f>
        <v>Указывается выручка от регулируемого вида деятельности с распределением по видам деятельности.</v>
      </c>
      <c r="K30" s="1455"/>
    </row>
    <row customHeight="1" ht="11.25">
      <c r="D31" s="2553"/>
      <c r="E31" s="1458">
        <f>FHD_NUM_P_2</f>
        <v>2</v>
      </c>
      <c r="F31" s="2796" t="str">
        <f>FHD_P_2</f>
        <v>Себестоимость производимых товаров (оказываемых услуг) по регулируемому виду деятельности, включая:</v>
      </c>
      <c r="G31" s="2794" t="s">
        <v>544</v>
      </c>
      <c r="H31" s="1470">
        <f>SUMIF($K33:$K71,$K31,H33:H71)</f>
        <v>0</v>
      </c>
      <c r="I31" s="1470">
        <f>SUMIF($K33:$K71,$K31,I33:I71)</f>
        <v>0</v>
      </c>
      <c r="J31" s="1201" t="str">
        <f>FHD_NOTE_P_2</f>
        <v>Указывается суммарная себестоимость производимых товаров.</v>
      </c>
      <c r="K31" s="2551" t="s">
        <v>559</v>
      </c>
    </row>
    <row customHeight="1" ht="11.25">
      <c r="D32" s="2553"/>
      <c r="E32" s="1458" t="str">
        <f>FHD_NUM_P_3</f>
        <v>2.1</v>
      </c>
      <c r="F32" s="2439" t="str">
        <f>FHD_P_3</f>
        <v>Расходы на приобретаемую тепловую энергию (мощность), теплоноситель</v>
      </c>
      <c r="G32" s="2794" t="s">
        <v>544</v>
      </c>
      <c r="H32" s="1469"/>
      <c r="I32" s="1469"/>
      <c r="J32" s="1201" t="str">
        <f>FHD_NOTE_P_3</f>
        <v/>
      </c>
      <c r="K32" s="2551" t="str">
        <f>IF((LEN(E32)-LEN(SUBSTITUTE(E32,".","")))/LEN(".")=1,"p","")</f>
        <v>p</v>
      </c>
    </row>
    <row customHeight="1" ht="11.25">
      <c r="A33" s="3188" t="s">
        <v>560</v>
      </c>
      <c r="D33" s="2553"/>
      <c r="E33" s="1458" t="str">
        <f>FHD_NUM_P_4</f>
        <v>2.2</v>
      </c>
      <c r="F33" s="2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794" t="s">
        <v>544</v>
      </c>
      <c r="H33" s="1470">
        <f>SUMIF($F34:$F40,$F3,H34:H40)</f>
        <v>0</v>
      </c>
      <c r="I33" s="1470">
        <f>SUMIF($F34:$F40,$F3,I34:I40)</f>
        <v>0</v>
      </c>
      <c r="J33" s="1201" t="str">
        <f>FHD_NOTE_P_4</f>
        <v>Указываются суммарные расходы на приобретение топлива всех видов.</v>
      </c>
      <c r="K33" s="2551" t="str">
        <f>IF((LEN(E33)-LEN(SUBSTITUTE(E33,".","")))/LEN(".")=1,"p","")</f>
        <v>p</v>
      </c>
    </row>
    <row s="40252" customFormat="1" customHeight="1" ht="0.75">
      <c r="A34" s="3188"/>
      <c r="B34" s="3189" t="str">
        <f>E33&amp;".0"</f>
        <v>2.2.0</v>
      </c>
      <c r="C34" s="2081"/>
      <c r="D34" s="1472"/>
      <c r="E34" s="1473"/>
      <c r="F34" s="1474"/>
      <c r="G34" s="1475"/>
      <c r="H34" s="1409"/>
      <c r="I34" s="1409"/>
      <c r="J34" s="1476"/>
      <c r="K34" s="2551" t="str">
        <f>IF((LEN(E34)-LEN(SUBSTITUTE(E34,".","")))/LEN(".")=1,"p","")</f>
        <v/>
      </c>
      <c r="L34" s="2551"/>
      <c r="M34" s="2551"/>
      <c r="N34" s="2551"/>
      <c r="O34" s="2551"/>
      <c r="P34" s="2551"/>
      <c r="Q34" s="2551"/>
      <c r="R34" s="2551"/>
      <c r="S34" s="2551"/>
      <c r="T34" s="2551"/>
      <c r="U34" s="1477"/>
      <c r="V34" s="2551"/>
      <c r="W34" s="2551"/>
      <c r="X34" s="2551"/>
      <c r="Y34" s="2551"/>
      <c r="Z34" s="2551"/>
      <c r="AA34" s="1478"/>
      <c r="AB34" s="1478"/>
      <c r="AC34" s="1478"/>
      <c r="AD34" s="1478"/>
      <c r="AE34" s="1478"/>
    </row>
    <row s="40252" customFormat="1" customHeight="1" ht="0.75">
      <c r="A35" s="3188"/>
      <c r="B35" s="3189"/>
      <c r="C35" s="2081"/>
      <c r="D35" s="1472"/>
      <c r="E35" s="1479"/>
      <c r="F35" s="1480"/>
      <c r="G35" s="1475"/>
      <c r="H35" s="1481"/>
      <c r="I35" s="1481"/>
      <c r="J35" s="1476"/>
      <c r="K35" s="2551" t="str">
        <f>IF((LEN(E35)-LEN(SUBSTITUTE(E35,".","")))/LEN(".")=1,"p","")</f>
        <v/>
      </c>
      <c r="L35" s="2551"/>
      <c r="M35" s="2551"/>
      <c r="N35" s="2551"/>
      <c r="O35" s="2551"/>
      <c r="P35" s="2551"/>
      <c r="Q35" s="2551"/>
      <c r="R35" s="2551"/>
      <c r="S35" s="2551"/>
      <c r="T35" s="2551"/>
      <c r="U35" s="1477"/>
      <c r="V35" s="2551"/>
      <c r="W35" s="2551"/>
      <c r="X35" s="2551"/>
      <c r="Y35" s="2551"/>
      <c r="Z35" s="2551"/>
      <c r="AA35" s="1478"/>
      <c r="AB35" s="1478"/>
      <c r="AC35" s="1478"/>
      <c r="AD35" s="1478"/>
      <c r="AE35" s="1478"/>
    </row>
    <row s="40252" customFormat="1" customHeight="1" ht="0.75">
      <c r="A36" s="3188"/>
      <c r="B36" s="3189"/>
      <c r="C36" s="2081"/>
      <c r="D36" s="1472"/>
      <c r="E36" s="1479"/>
      <c r="F36" s="1480"/>
      <c r="G36" s="1475"/>
      <c r="H36" s="1481"/>
      <c r="I36" s="1481"/>
      <c r="J36" s="1476"/>
      <c r="K36" s="2551" t="str">
        <f>IF((LEN(E36)-LEN(SUBSTITUTE(E36,".","")))/LEN(".")=1,"p","")</f>
        <v/>
      </c>
      <c r="L36" s="2551"/>
      <c r="M36" s="2551"/>
      <c r="N36" s="2551"/>
      <c r="O36" s="2551"/>
      <c r="P36" s="2551"/>
      <c r="Q36" s="2551"/>
      <c r="R36" s="2551"/>
      <c r="S36" s="2551"/>
      <c r="T36" s="2551"/>
      <c r="U36" s="1477"/>
      <c r="V36" s="2551"/>
      <c r="W36" s="2551"/>
      <c r="X36" s="2551"/>
      <c r="Y36" s="2551"/>
      <c r="Z36" s="2551"/>
      <c r="AA36" s="1478"/>
      <c r="AB36" s="1478"/>
      <c r="AC36" s="1478"/>
      <c r="AD36" s="1478"/>
      <c r="AE36" s="1478"/>
    </row>
    <row s="40252" customFormat="1" customHeight="1" ht="0.75">
      <c r="A37" s="3188"/>
      <c r="B37" s="3189"/>
      <c r="C37" s="2081"/>
      <c r="D37" s="1472"/>
      <c r="E37" s="1479"/>
      <c r="F37" s="1480"/>
      <c r="G37" s="1475"/>
      <c r="H37" s="1481"/>
      <c r="I37" s="1481"/>
      <c r="J37" s="1476"/>
      <c r="K37" s="2551" t="str">
        <f>IF((LEN(E37)-LEN(SUBSTITUTE(E37,".","")))/LEN(".")=1,"p","")</f>
        <v/>
      </c>
      <c r="L37" s="2551"/>
      <c r="M37" s="2551"/>
      <c r="N37" s="2551"/>
      <c r="O37" s="2551"/>
      <c r="P37" s="2551"/>
      <c r="Q37" s="2551"/>
      <c r="R37" s="2551"/>
      <c r="S37" s="2551"/>
      <c r="T37" s="2551"/>
      <c r="U37" s="1477"/>
      <c r="V37" s="2551"/>
      <c r="W37" s="2551"/>
      <c r="X37" s="2551"/>
      <c r="Y37" s="2551"/>
      <c r="Z37" s="2551"/>
      <c r="AA37" s="1478"/>
      <c r="AB37" s="1478"/>
      <c r="AC37" s="1478"/>
      <c r="AD37" s="1478"/>
      <c r="AE37" s="1478"/>
    </row>
    <row s="40252" customFormat="1" customHeight="1" ht="0.75">
      <c r="A38" s="3188"/>
      <c r="B38" s="3189"/>
      <c r="C38" s="2081"/>
      <c r="D38" s="1472"/>
      <c r="E38" s="1479"/>
      <c r="F38" s="1480"/>
      <c r="G38" s="1475"/>
      <c r="H38" s="1481"/>
      <c r="I38" s="1481"/>
      <c r="J38" s="1476"/>
      <c r="K38" s="2551" t="str">
        <f>IF((LEN(E38)-LEN(SUBSTITUTE(E38,".","")))/LEN(".")=1,"p","")</f>
        <v/>
      </c>
      <c r="L38" s="2551"/>
      <c r="M38" s="2551"/>
      <c r="N38" s="2551"/>
      <c r="O38" s="2551"/>
      <c r="P38" s="2551"/>
      <c r="Q38" s="2551"/>
      <c r="R38" s="2551"/>
      <c r="S38" s="2551"/>
      <c r="T38" s="2551"/>
      <c r="U38" s="1477"/>
      <c r="V38" s="2551"/>
      <c r="W38" s="2551"/>
      <c r="X38" s="2551"/>
      <c r="Y38" s="2551"/>
      <c r="Z38" s="2551"/>
      <c r="AA38" s="1478"/>
      <c r="AB38" s="1478"/>
      <c r="AC38" s="1478"/>
      <c r="AD38" s="1478"/>
      <c r="AE38" s="1478"/>
    </row>
    <row s="40252" customFormat="1" customHeight="1" ht="0.75">
      <c r="A39" s="3188"/>
      <c r="B39" s="3189"/>
      <c r="C39" s="2081"/>
      <c r="D39" s="1472"/>
      <c r="E39" s="1479"/>
      <c r="F39" s="1480"/>
      <c r="G39" s="1475"/>
      <c r="H39" s="1409"/>
      <c r="I39" s="1409"/>
      <c r="J39" s="1476"/>
      <c r="K39" s="2551" t="str">
        <f>IF((LEN(E39)-LEN(SUBSTITUTE(E39,".","")))/LEN(".")=1,"p","")</f>
        <v/>
      </c>
      <c r="L39" s="2551"/>
      <c r="M39" s="2551"/>
      <c r="N39" s="2551"/>
      <c r="O39" s="2551"/>
      <c r="P39" s="2551"/>
      <c r="Q39" s="2551"/>
      <c r="R39" s="2551"/>
      <c r="S39" s="2551"/>
      <c r="T39" s="2551"/>
      <c r="U39" s="1477"/>
      <c r="V39" s="2551"/>
      <c r="W39" s="2551"/>
      <c r="X39" s="2551"/>
      <c r="Y39" s="2551"/>
      <c r="Z39" s="2551"/>
      <c r="AA39" s="1478"/>
      <c r="AB39" s="1478"/>
      <c r="AC39" s="1478"/>
      <c r="AD39" s="1478"/>
      <c r="AE39" s="1478"/>
    </row>
    <row s="40129" customFormat="1" customHeight="1" ht="15">
      <c r="A40" s="3188"/>
      <c r="C40" s="2551"/>
      <c r="D40" s="2548"/>
      <c r="E40" s="1482"/>
      <c r="F40" s="1483" t="s">
        <v>561</v>
      </c>
      <c r="G40" s="1484"/>
      <c r="H40" s="1485"/>
      <c r="I40" s="1485"/>
      <c r="J40" s="1213"/>
      <c r="K40" s="2551" t="str">
        <f>IF((LEN(E40)-LEN(SUBSTITUTE(E40,".","")))/LEN(".")=1,"p","")</f>
        <v/>
      </c>
      <c r="L40" s="2551"/>
      <c r="M40" s="2551"/>
      <c r="R40" s="2551"/>
      <c r="U40" s="1456"/>
      <c r="AA40" s="2547"/>
      <c r="AB40" s="2547"/>
      <c r="AC40" s="2547"/>
      <c r="AD40" s="2547"/>
      <c r="AE40" s="2547"/>
    </row>
    <row customHeight="1" ht="11.25" hidden="1">
      <c r="A41" s="3188" t="s">
        <v>562</v>
      </c>
      <c r="D41" s="2553"/>
      <c r="E41" s="1458" t="str">
        <f>FHD_NUM_P_5</f>
        <v/>
      </c>
      <c r="F41" s="2439" t="str">
        <f>FHD_P_5</f>
        <v/>
      </c>
      <c r="G41" s="2794" t="s">
        <v>544</v>
      </c>
      <c r="H41" s="1469"/>
      <c r="I41" s="1469"/>
      <c r="J41" s="1201" t="str">
        <f>FHD_NOTE_P_5</f>
        <v/>
      </c>
      <c r="K41" s="2551" t="str">
        <f>IF((LEN(E41)-LEN(SUBSTITUTE(E41,".","")))/LEN(".")=1,"p","")</f>
        <v/>
      </c>
    </row>
    <row customHeight="1" ht="11.25" hidden="1">
      <c r="A42" s="3188"/>
      <c r="D42" s="2553"/>
      <c r="E42" s="1458" t="str">
        <f>FHD_NUM_P_6</f>
        <v/>
      </c>
      <c r="F42" s="2439" t="str">
        <f>FHD_P_6</f>
        <v/>
      </c>
      <c r="G42" s="2794" t="s">
        <v>544</v>
      </c>
      <c r="H42" s="1469"/>
      <c r="I42" s="1469"/>
      <c r="J42" s="1201" t="str">
        <f>FHD_NOTE_P_6</f>
        <v/>
      </c>
      <c r="K42" s="2551" t="str">
        <f>IF((LEN(E42)-LEN(SUBSTITUTE(E42,".","")))/LEN(".")=1,"p","")</f>
        <v/>
      </c>
    </row>
    <row customHeight="1" ht="11.25" hidden="1">
      <c r="A43" s="3188"/>
      <c r="D43" s="2553"/>
      <c r="E43" s="1458" t="str">
        <f>FHD_NUM_P_7</f>
        <v/>
      </c>
      <c r="F43" s="2439" t="str">
        <f>FHD_P_7</f>
        <v/>
      </c>
      <c r="G43" s="2794" t="s">
        <v>544</v>
      </c>
      <c r="H43" s="1469"/>
      <c r="I43" s="1469"/>
      <c r="J43" s="1201" t="str">
        <f>FHD_NOTE_P_7</f>
        <v/>
      </c>
      <c r="K43" s="2551" t="str">
        <f>IF((LEN(E43)-LEN(SUBSTITUTE(E43,".","")))/LEN(".")=1,"p","")</f>
        <v/>
      </c>
    </row>
    <row customHeight="1" ht="11.25">
      <c r="D44" s="2553"/>
      <c r="E44" s="1458" t="str">
        <f>FHD_NUM_P_8</f>
        <v>2.3</v>
      </c>
      <c r="F44" s="2439" t="str">
        <f>FHD_P_8</f>
        <v>Расходы на приобретаемую электрическую энергию (мощность), используемую в технологическом процессе</v>
      </c>
      <c r="G44" s="2794" t="s">
        <v>544</v>
      </c>
      <c r="H44" s="1469"/>
      <c r="I44" s="1469"/>
      <c r="J44" s="1201" t="str">
        <f>FHD_NOTE_P_8</f>
        <v/>
      </c>
      <c r="K44" s="2551" t="str">
        <f>IF((LEN(E44)-LEN(SUBSTITUTE(E44,".","")))/LEN(".")=1,"p","")</f>
        <v>p</v>
      </c>
    </row>
    <row customHeight="1" ht="11.25">
      <c r="D45" s="2553"/>
      <c r="E45" s="1458" t="str">
        <f>FHD_NUM_P_9</f>
        <v>2.3.1</v>
      </c>
      <c r="F45" s="2565" t="str">
        <f>FHD_P_9</f>
        <v>Средневзвешенная стоимость 1 кВт.ч (с учетом мощности)</v>
      </c>
      <c r="G45" s="2794" t="s">
        <v>563</v>
      </c>
      <c r="H45" s="1469"/>
      <c r="I45" s="1469"/>
      <c r="J45" s="1201" t="str">
        <f>FHD_NOTE_P_9</f>
        <v/>
      </c>
      <c r="K45" s="2551" t="str">
        <f>IF((LEN(E45)-LEN(SUBSTITUTE(E45,".","")))/LEN(".")=1,"p","")</f>
        <v/>
      </c>
    </row>
    <row s="40129" customFormat="1" customHeight="1" ht="11.25">
      <c r="A46" s="1900"/>
      <c r="C46" s="2551"/>
      <c r="D46" s="1486"/>
      <c r="E46" s="1458" t="str">
        <f>FHD_NUM_P_10</f>
        <v>2.3.2</v>
      </c>
      <c r="F46" s="2565" t="str">
        <f>FHD_P_10</f>
        <v>Объём приобретения электрической энергии</v>
      </c>
      <c r="G46" s="2794" t="s">
        <v>564</v>
      </c>
      <c r="H46" s="1469"/>
      <c r="I46" s="1469"/>
      <c r="J46" s="1201" t="str">
        <f>FHD_NOTE_P_10</f>
        <v/>
      </c>
      <c r="K46" s="2551" t="str">
        <f>IF((LEN(E46)-LEN(SUBSTITUTE(E46,".","")))/LEN(".")=1,"p","")</f>
        <v/>
      </c>
      <c r="L46" s="2551"/>
      <c r="M46" s="2551"/>
      <c r="R46" s="2551"/>
      <c r="U46" s="1456"/>
      <c r="AA46" s="2547"/>
      <c r="AB46" s="2547"/>
      <c r="AC46" s="2547"/>
      <c r="AD46" s="2547"/>
      <c r="AE46" s="2547"/>
    </row>
    <row s="40129" customFormat="1" customHeight="1" ht="11.25">
      <c r="A47" s="1902" t="s">
        <v>565</v>
      </c>
      <c r="C47" s="2551"/>
      <c r="D47" s="1487"/>
      <c r="E47" s="1458" t="str">
        <f>FHD_NUM_P_11</f>
        <v>2.4</v>
      </c>
      <c r="F47" s="2439" t="str">
        <f>FHD_P_11</f>
        <v>Расходы на приобретение холодной воды, используемой в технологическом процессе</v>
      </c>
      <c r="G47" s="2794" t="s">
        <v>544</v>
      </c>
      <c r="H47" s="1469"/>
      <c r="I47" s="1469"/>
      <c r="J47" s="1201" t="str">
        <f>FHD_NOTE_P_11</f>
        <v/>
      </c>
      <c r="K47" s="2551" t="str">
        <f>IF((LEN(E47)-LEN(SUBSTITUTE(E47,".","")))/LEN(".")=1,"p","")</f>
        <v>p</v>
      </c>
      <c r="L47" s="2551"/>
      <c r="M47" s="2551"/>
      <c r="R47" s="2551"/>
      <c r="U47" s="1456"/>
      <c r="AA47" s="2547"/>
      <c r="AB47" s="2547"/>
      <c r="AC47" s="2547"/>
      <c r="AD47" s="2547"/>
      <c r="AE47" s="2547"/>
    </row>
    <row s="40129" customFormat="1" customHeight="1" ht="18">
      <c r="A48" s="1902" t="s">
        <v>566</v>
      </c>
      <c r="C48" s="2551"/>
      <c r="D48" s="2553"/>
      <c r="E48" s="1458" t="str">
        <f>FHD_NUM_P_12</f>
        <v>2.5</v>
      </c>
      <c r="F48" s="2439" t="str">
        <f>FHD_P_12</f>
        <v>Расходы на химические реагенты, используемые в технологическом процессе</v>
      </c>
      <c r="G48" s="2794" t="s">
        <v>544</v>
      </c>
      <c r="H48" s="1489"/>
      <c r="I48" s="1489"/>
      <c r="J48" s="1201" t="str">
        <f>FHD_NOTE_P_12</f>
        <v/>
      </c>
      <c r="K48" s="2551" t="str">
        <f>IF((LEN(E48)-LEN(SUBSTITUTE(E48,".","")))/LEN(".")=1,"p","")</f>
        <v>p</v>
      </c>
      <c r="L48" s="2551"/>
      <c r="M48" s="2551"/>
      <c r="R48" s="2551"/>
      <c r="U48" s="1456"/>
      <c r="AA48" s="2547"/>
      <c r="AB48" s="2547"/>
      <c r="AC48" s="2547"/>
      <c r="AD48" s="2547"/>
      <c r="AE48" s="2547"/>
    </row>
    <row s="40557" customFormat="1" customHeight="1" ht="11.25">
      <c r="A49" s="1901"/>
      <c r="C49" s="1642"/>
      <c r="D49" s="1585"/>
      <c r="E49" s="1458" t="str">
        <f>FHD_NUM_P_13</f>
        <v>2.6</v>
      </c>
      <c r="F49" s="2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794" t="s">
        <v>544</v>
      </c>
      <c r="H49" s="1469"/>
      <c r="I49" s="1469"/>
      <c r="J49" s="1201" t="str">
        <f>FHD_NOTE_P_13</f>
        <v/>
      </c>
      <c r="K49" s="2551" t="str">
        <f>IF((LEN(E49)-LEN(SUBSTITUTE(E49,".","")))/LEN(".")=1,"p","")</f>
        <v>p</v>
      </c>
      <c r="L49" s="1642"/>
      <c r="M49" s="1642"/>
      <c r="R49" s="1642"/>
      <c r="U49" s="1643"/>
      <c r="AA49" s="1644"/>
      <c r="AB49" s="1644"/>
      <c r="AC49" s="1644"/>
      <c r="AD49" s="1644"/>
      <c r="AE49" s="1644"/>
    </row>
    <row s="40557" customFormat="1" customHeight="1" ht="11.25">
      <c r="A50" s="1901"/>
      <c r="C50" s="1642"/>
      <c r="D50" s="1585"/>
      <c r="E50" s="1458" t="str">
        <f>FHD_NUM_P_14</f>
        <v>2.6.1</v>
      </c>
      <c r="F50" s="2565" t="str">
        <f>FHD_P_14</f>
        <v>Расходы на оплату труда основного производственного персонала</v>
      </c>
      <c r="G50" s="2794" t="s">
        <v>544</v>
      </c>
      <c r="H50" s="1469"/>
      <c r="I50" s="1469"/>
      <c r="J50" s="1201" t="str">
        <f>FHD_NOTE_P_14</f>
        <v/>
      </c>
      <c r="K50" s="2551" t="str">
        <f>IF((LEN(E50)-LEN(SUBSTITUTE(E50,".","")))/LEN(".")=1,"p","")</f>
        <v/>
      </c>
      <c r="L50" s="1642"/>
      <c r="M50" s="1642"/>
      <c r="R50" s="1642"/>
      <c r="U50" s="1643"/>
      <c r="AA50" s="1644"/>
      <c r="AB50" s="1644"/>
      <c r="AC50" s="1644"/>
      <c r="AD50" s="1644"/>
      <c r="AE50" s="1644"/>
    </row>
    <row s="40557" customFormat="1" customHeight="1" ht="11.25">
      <c r="A51" s="1901"/>
      <c r="C51" s="1642"/>
      <c r="D51" s="1585"/>
      <c r="E51" s="1458" t="str">
        <f>FHD_NUM_P_15</f>
        <v>2.6.2</v>
      </c>
      <c r="F51" s="2565" t="str">
        <f>FHD_P_15</f>
        <v>Страховые взносы на обязательное социальное страхование, выплачиваемые из фонда оплаты труда основного производственного персонала</v>
      </c>
      <c r="G51" s="2794" t="s">
        <v>544</v>
      </c>
      <c r="H51" s="1469"/>
      <c r="I51" s="1469"/>
      <c r="J51" s="1201" t="str">
        <f>FHD_NOTE_P_15</f>
        <v/>
      </c>
      <c r="K51" s="2551" t="str">
        <f>IF((LEN(E51)-LEN(SUBSTITUTE(E51,".","")))/LEN(".")=1,"p","")</f>
        <v/>
      </c>
      <c r="L51" s="1642"/>
      <c r="M51" s="1642"/>
      <c r="R51" s="1642"/>
      <c r="U51" s="1643"/>
      <c r="AA51" s="1644"/>
      <c r="AB51" s="1644"/>
      <c r="AC51" s="1644"/>
      <c r="AD51" s="1644"/>
      <c r="AE51" s="1644"/>
    </row>
    <row s="40129" customFormat="1" customHeight="1" ht="11.25">
      <c r="A52" s="1900"/>
      <c r="C52" s="2551"/>
      <c r="D52" s="2553"/>
      <c r="E52" s="1458" t="str">
        <f>FHD_NUM_P_16</f>
        <v>2.7</v>
      </c>
      <c r="F52" s="2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794" t="s">
        <v>544</v>
      </c>
      <c r="H52" s="1469"/>
      <c r="I52" s="1469"/>
      <c r="J52" s="1201" t="str">
        <f>FHD_NOTE_P_16</f>
        <v/>
      </c>
      <c r="K52" s="2551" t="str">
        <f>IF((LEN(E52)-LEN(SUBSTITUTE(E52,".","")))/LEN(".")=1,"p","")</f>
        <v>p</v>
      </c>
      <c r="L52" s="2551"/>
      <c r="M52" s="2557"/>
      <c r="N52" s="1449"/>
      <c r="O52" s="1449"/>
      <c r="R52" s="2551"/>
      <c r="U52" s="1456"/>
      <c r="AA52" s="2547"/>
      <c r="AB52" s="2547"/>
      <c r="AC52" s="2547"/>
      <c r="AD52" s="2547"/>
      <c r="AE52" s="2547"/>
    </row>
    <row s="40129" customFormat="1" customHeight="1" ht="11.25">
      <c r="A53" s="1900"/>
      <c r="C53" s="2551"/>
      <c r="D53" s="2553"/>
      <c r="E53" s="1458" t="str">
        <f>FHD_NUM_P_17</f>
        <v>2.7.1</v>
      </c>
      <c r="F53" s="2565" t="str">
        <f>FHD_P_17</f>
        <v>Расходы на оплату труда административно-управленческого персонала</v>
      </c>
      <c r="G53" s="2794" t="s">
        <v>544</v>
      </c>
      <c r="H53" s="1469"/>
      <c r="I53" s="1469"/>
      <c r="J53" s="1201" t="str">
        <f>FHD_NOTE_P_17</f>
        <v/>
      </c>
      <c r="K53" s="2551" t="str">
        <f>IF((LEN(E53)-LEN(SUBSTITUTE(E53,".","")))/LEN(".")=1,"p","")</f>
        <v/>
      </c>
      <c r="L53" s="2551"/>
      <c r="M53" s="2557"/>
      <c r="N53" s="1449"/>
      <c r="O53" s="1449"/>
      <c r="R53" s="2551"/>
      <c r="U53" s="1456"/>
      <c r="AA53" s="2547"/>
      <c r="AB53" s="2547"/>
      <c r="AC53" s="2547"/>
      <c r="AD53" s="2547"/>
      <c r="AE53" s="2547"/>
    </row>
    <row s="40129" customFormat="1" customHeight="1" ht="11.25">
      <c r="A54" s="1900"/>
      <c r="C54" s="2551"/>
      <c r="D54" s="2553"/>
      <c r="E54" s="1458" t="str">
        <f>FHD_NUM_P_18</f>
        <v>2.7.2</v>
      </c>
      <c r="F54" s="2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794" t="s">
        <v>544</v>
      </c>
      <c r="H54" s="1469"/>
      <c r="I54" s="1469"/>
      <c r="J54" s="1201" t="str">
        <f>FHD_NOTE_P_18</f>
        <v/>
      </c>
      <c r="K54" s="2551" t="str">
        <f>IF((LEN(E54)-LEN(SUBSTITUTE(E54,".","")))/LEN(".")=1,"p","")</f>
        <v/>
      </c>
      <c r="L54" s="2551"/>
      <c r="M54" s="2557"/>
      <c r="N54" s="1449"/>
      <c r="O54" s="1449"/>
      <c r="R54" s="2551"/>
      <c r="U54" s="1456"/>
      <c r="AA54" s="2547"/>
      <c r="AB54" s="2547"/>
      <c r="AC54" s="2547"/>
      <c r="AD54" s="2547"/>
      <c r="AE54" s="2547"/>
    </row>
    <row s="40129" customFormat="1" customHeight="1" ht="11.25">
      <c r="A55" s="1900"/>
      <c r="C55" s="2551"/>
      <c r="D55" s="1487"/>
      <c r="E55" s="1458" t="str">
        <f>FHD_NUM_P_19</f>
        <v>2.8</v>
      </c>
      <c r="F55" s="2439" t="str">
        <f>FHD_P_19</f>
        <v>Расходы на амортизацию основных средств и нематериальных активов</v>
      </c>
      <c r="G55" s="2794" t="s">
        <v>544</v>
      </c>
      <c r="H55" s="1469"/>
      <c r="I55" s="1469"/>
      <c r="J55" s="1201" t="str">
        <f>FHD_NOTE_P_19</f>
        <v/>
      </c>
      <c r="K55" s="2551" t="str">
        <f>IF((LEN(E55)-LEN(SUBSTITUTE(E55,".","")))/LEN(".")=1,"p","")</f>
        <v>p</v>
      </c>
      <c r="L55" s="2551"/>
      <c r="M55" s="2551"/>
      <c r="R55" s="2551"/>
      <c r="U55" s="1456"/>
      <c r="AA55" s="2547"/>
      <c r="AB55" s="2547"/>
      <c r="AC55" s="2547"/>
      <c r="AD55" s="2547"/>
      <c r="AE55" s="2547"/>
    </row>
    <row s="40129" customFormat="1" customHeight="1" ht="11.25">
      <c r="A56" s="1900"/>
      <c r="C56" s="2551"/>
      <c r="D56" s="1487"/>
      <c r="E56" s="1458" t="str">
        <f>FHD_NUM_P_20</f>
        <v>2.8.1</v>
      </c>
      <c r="F56" s="2565" t="str">
        <f>FHD_P_20</f>
        <v>Расходы на амортизацию основных средств</v>
      </c>
      <c r="G56" s="2794" t="s">
        <v>544</v>
      </c>
      <c r="H56" s="1469"/>
      <c r="I56" s="1469"/>
      <c r="J56" s="1201" t="str">
        <f>FHD_NOTE_P_20</f>
        <v/>
      </c>
      <c r="K56" s="2551" t="str">
        <f>IF((LEN(E56)-LEN(SUBSTITUTE(E56,".","")))/LEN(".")=1,"p","")</f>
        <v/>
      </c>
      <c r="L56" s="2551"/>
      <c r="M56" s="2551"/>
      <c r="R56" s="2551"/>
      <c r="U56" s="1456"/>
      <c r="AA56" s="2547"/>
      <c r="AB56" s="2547"/>
      <c r="AC56" s="2547"/>
      <c r="AD56" s="2547"/>
      <c r="AE56" s="2547"/>
    </row>
    <row s="40129" customFormat="1" customHeight="1" ht="11.25">
      <c r="A57" s="1900"/>
      <c r="C57" s="2551"/>
      <c r="D57" s="1487"/>
      <c r="E57" s="1458" t="str">
        <f>FHD_NUM_P_21</f>
        <v>2.8.2</v>
      </c>
      <c r="F57" s="2565" t="str">
        <f>FHD_P_21</f>
        <v>Расходы на амортизацию нематериальных активов</v>
      </c>
      <c r="G57" s="2794" t="s">
        <v>544</v>
      </c>
      <c r="H57" s="1469"/>
      <c r="I57" s="1469"/>
      <c r="J57" s="1201" t="str">
        <f>FHD_NOTE_P_21</f>
        <v/>
      </c>
      <c r="K57" s="2551" t="str">
        <f>IF((LEN(E57)-LEN(SUBSTITUTE(E57,".","")))/LEN(".")=1,"p","")</f>
        <v/>
      </c>
      <c r="L57" s="2551"/>
      <c r="M57" s="2551"/>
      <c r="R57" s="2551"/>
      <c r="U57" s="1456"/>
      <c r="AA57" s="2547"/>
      <c r="AB57" s="2547"/>
      <c r="AC57" s="2547"/>
      <c r="AD57" s="2547"/>
      <c r="AE57" s="2547"/>
    </row>
    <row s="40129" customFormat="1" customHeight="1" ht="11.25">
      <c r="A58" s="1900"/>
      <c r="C58" s="2551"/>
      <c r="D58" s="2553"/>
      <c r="E58" s="1458" t="str">
        <f>FHD_NUM_P_22</f>
        <v>2.9</v>
      </c>
      <c r="F58" s="2439" t="str">
        <f>FHD_P_22</f>
        <v>Расходы на аренду имущества, используемого для осуществления регулируемого вида деятельности</v>
      </c>
      <c r="G58" s="2794" t="s">
        <v>544</v>
      </c>
      <c r="H58" s="1469"/>
      <c r="I58" s="1469"/>
      <c r="J58" s="1201" t="str">
        <f>FHD_NOTE_P_22</f>
        <v/>
      </c>
      <c r="K58" s="2551" t="str">
        <f>IF((LEN(E58)-LEN(SUBSTITUTE(E58,".","")))/LEN(".")=1,"p","")</f>
        <v>p</v>
      </c>
      <c r="L58" s="2551"/>
      <c r="M58" s="2551"/>
      <c r="R58" s="2551"/>
      <c r="U58" s="1456"/>
      <c r="AA58" s="2547"/>
      <c r="AB58" s="2547"/>
      <c r="AC58" s="2547"/>
      <c r="AD58" s="2547"/>
      <c r="AE58" s="2547"/>
    </row>
    <row s="40129" customFormat="1" customHeight="1" ht="11.25">
      <c r="A59" s="1900"/>
      <c r="C59" s="2551"/>
      <c r="D59" s="1487"/>
      <c r="E59" s="1458" t="str">
        <f>FHD_NUM_P_23</f>
        <v>2.10</v>
      </c>
      <c r="F59" s="2439" t="str">
        <f>FHD_P_23</f>
        <v>Общепроизводственные расходы, в том числе:</v>
      </c>
      <c r="G59" s="2794" t="s">
        <v>544</v>
      </c>
      <c r="H59" s="1469"/>
      <c r="I59" s="1469"/>
      <c r="J59" s="1201" t="str">
        <f>FHD_NOTE_P_23</f>
        <v>Указывается общая сумма общепроизводственных расходов.</v>
      </c>
      <c r="K59" s="2551" t="str">
        <f>IF((LEN(E59)-LEN(SUBSTITUTE(E59,".","")))/LEN(".")=1,"p","")</f>
        <v>p</v>
      </c>
      <c r="L59" s="2551"/>
      <c r="M59" s="2551"/>
      <c r="R59" s="2551"/>
      <c r="U59" s="1456"/>
      <c r="AA59" s="2547"/>
      <c r="AB59" s="2547"/>
      <c r="AC59" s="2547"/>
      <c r="AD59" s="2547"/>
      <c r="AE59" s="2547"/>
    </row>
    <row s="40129" customFormat="1" customHeight="1" ht="11.25">
      <c r="A60" s="1900"/>
      <c r="C60" s="2551"/>
      <c r="D60" s="1487"/>
      <c r="E60" s="1458" t="str">
        <f>FHD_NUM_P_24</f>
        <v>2.10.1</v>
      </c>
      <c r="F60" s="2565" t="str">
        <f>FHD_P_24</f>
        <v>Расходы на текущий ремонт</v>
      </c>
      <c r="G60" s="2794" t="s">
        <v>544</v>
      </c>
      <c r="H60" s="1469"/>
      <c r="I60" s="1469"/>
      <c r="J60" s="1201" t="str">
        <f>FHD_NOTE_P_24</f>
        <v>Указываются расходы на текущий ремонт, отнесенные к общепроизводственным расходам.</v>
      </c>
      <c r="K60" s="2551" t="str">
        <f>IF((LEN(E60)-LEN(SUBSTITUTE(E60,".","")))/LEN(".")=1,"p","")</f>
        <v/>
      </c>
      <c r="L60" s="2551"/>
      <c r="M60" s="2551"/>
      <c r="R60" s="2551"/>
      <c r="U60" s="1456"/>
      <c r="AA60" s="2547"/>
      <c r="AB60" s="2547"/>
      <c r="AC60" s="2547"/>
      <c r="AD60" s="2547"/>
      <c r="AE60" s="2547"/>
    </row>
    <row s="40129" customFormat="1" customHeight="1" ht="11.25">
      <c r="A61" s="1900"/>
      <c r="C61" s="2551"/>
      <c r="D61" s="1487"/>
      <c r="E61" s="1458" t="str">
        <f>FHD_NUM_P_25</f>
        <v>2.10.2</v>
      </c>
      <c r="F61" s="2565" t="str">
        <f>FHD_P_25</f>
        <v>Расходы на капитальный ремонт</v>
      </c>
      <c r="G61" s="2794" t="s">
        <v>544</v>
      </c>
      <c r="H61" s="1469"/>
      <c r="I61" s="1469"/>
      <c r="J61" s="1201" t="str">
        <f>FHD_NOTE_P_25</f>
        <v>Указываются расходы на капитальный ремонт, отнесенные к общепроизводственным расходам.</v>
      </c>
      <c r="K61" s="2551" t="str">
        <f>IF((LEN(E61)-LEN(SUBSTITUTE(E61,".","")))/LEN(".")=1,"p","")</f>
        <v/>
      </c>
      <c r="L61" s="2551"/>
      <c r="M61" s="2551"/>
      <c r="R61" s="2551"/>
      <c r="U61" s="1456"/>
      <c r="AA61" s="2547"/>
      <c r="AB61" s="2547"/>
      <c r="AC61" s="2547"/>
      <c r="AD61" s="2547"/>
      <c r="AE61" s="2547"/>
    </row>
    <row s="40129" customFormat="1" customHeight="1" ht="11.25">
      <c r="A62" s="1900"/>
      <c r="C62" s="2551"/>
      <c r="D62" s="2553"/>
      <c r="E62" s="1458" t="str">
        <f>FHD_NUM_P_26</f>
        <v>2.11</v>
      </c>
      <c r="F62" s="2439" t="str">
        <f>FHD_P_26</f>
        <v>Общехозяйственные расходы, в том числе:</v>
      </c>
      <c r="G62" s="2794" t="s">
        <v>544</v>
      </c>
      <c r="H62" s="1469"/>
      <c r="I62" s="1469"/>
      <c r="J62" s="1201" t="str">
        <f>FHD_NOTE_P_26</f>
        <v>Указывается общая сумма общехозяйственных расходов.</v>
      </c>
      <c r="K62" s="2551" t="str">
        <f>IF((LEN(E62)-LEN(SUBSTITUTE(E62,".","")))/LEN(".")=1,"p","")</f>
        <v>p</v>
      </c>
      <c r="L62" s="2551"/>
      <c r="M62" s="2551"/>
      <c r="R62" s="2551"/>
      <c r="U62" s="1456"/>
      <c r="AA62" s="2547"/>
      <c r="AB62" s="2547"/>
      <c r="AC62" s="2547"/>
      <c r="AD62" s="2547"/>
      <c r="AE62" s="2547"/>
    </row>
    <row s="40129" customFormat="1" customHeight="1" ht="11.25">
      <c r="A63" s="1900"/>
      <c r="C63" s="2551"/>
      <c r="D63" s="2553"/>
      <c r="E63" s="1458" t="str">
        <f>FHD_NUM_P_27</f>
        <v>2.11.1</v>
      </c>
      <c r="F63" s="2565" t="str">
        <f>FHD_P_27</f>
        <v>Расходы на текущий ремонт</v>
      </c>
      <c r="G63" s="2794" t="s">
        <v>544</v>
      </c>
      <c r="H63" s="1469"/>
      <c r="I63" s="1469"/>
      <c r="J63" s="1201" t="str">
        <f>FHD_NOTE_P_27</f>
        <v>Указываются расходы на текущий ремонт, отнесенные к общехозяйственным расходам.</v>
      </c>
      <c r="K63" s="2551" t="str">
        <f>IF((LEN(E63)-LEN(SUBSTITUTE(E63,".","")))/LEN(".")=1,"p","")</f>
        <v/>
      </c>
      <c r="L63" s="2551"/>
      <c r="M63" s="2551"/>
      <c r="R63" s="2551"/>
      <c r="U63" s="1456"/>
      <c r="AA63" s="2547"/>
      <c r="AB63" s="2547"/>
      <c r="AC63" s="2547"/>
      <c r="AD63" s="2547"/>
      <c r="AE63" s="2547"/>
    </row>
    <row s="40129" customFormat="1" customHeight="1" ht="11.25">
      <c r="A64" s="1900"/>
      <c r="C64" s="2551"/>
      <c r="D64" s="2553"/>
      <c r="E64" s="1458" t="str">
        <f>FHD_NUM_P_28</f>
        <v>2.11.2</v>
      </c>
      <c r="F64" s="2565" t="str">
        <f>FHD_P_28</f>
        <v>Расходы на капитальный ремонт</v>
      </c>
      <c r="G64" s="2794" t="s">
        <v>544</v>
      </c>
      <c r="H64" s="1469"/>
      <c r="I64" s="1469"/>
      <c r="J64" s="1201" t="str">
        <f>FHD_NOTE_P_28</f>
        <v>Указываются расходы на капитальный ремонт, отнесенные к общехозяйственным расходам.</v>
      </c>
      <c r="K64" s="2551" t="str">
        <f>IF((LEN(E64)-LEN(SUBSTITUTE(E64,".","")))/LEN(".")=1,"p","")</f>
        <v/>
      </c>
      <c r="L64" s="2551"/>
      <c r="M64" s="2551"/>
      <c r="R64" s="2551"/>
      <c r="U64" s="1456"/>
      <c r="AA64" s="2547"/>
      <c r="AB64" s="2547"/>
      <c r="AC64" s="2547"/>
      <c r="AD64" s="2547"/>
      <c r="AE64" s="2547"/>
    </row>
    <row s="40129" customFormat="1" customHeight="1" ht="11.25">
      <c r="A65" s="1900"/>
      <c r="C65" s="2551"/>
      <c r="D65" s="2553"/>
      <c r="E65" s="1458" t="str">
        <f>FHD_NUM_P_29</f>
        <v>2.12</v>
      </c>
      <c r="F65" s="2439" t="str">
        <f>FHD_P_29</f>
        <v>Расходы на капитальный и текущий ремонт основных средств</v>
      </c>
      <c r="G65" s="2794" t="s">
        <v>544</v>
      </c>
      <c r="H65" s="1469"/>
      <c r="I65" s="1469"/>
      <c r="J65" s="12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551" t="str">
        <f>IF((LEN(E65)-LEN(SUBSTITUTE(E65,".","")))/LEN(".")=1,"p","")</f>
        <v>p</v>
      </c>
      <c r="L65" s="2551"/>
      <c r="M65" s="2551"/>
      <c r="R65" s="2551"/>
      <c r="U65" s="1456"/>
      <c r="AA65" s="2547"/>
      <c r="AB65" s="2547"/>
      <c r="AC65" s="2547"/>
      <c r="AD65" s="2547"/>
      <c r="AE65" s="2547"/>
    </row>
    <row s="40129" customFormat="1" customHeight="1" ht="11.25">
      <c r="A66" s="1900"/>
      <c r="C66" s="2551"/>
      <c r="D66" s="2553"/>
      <c r="E66" s="1458" t="str">
        <f>FHD_NUM_P_30</f>
        <v>2.12.1</v>
      </c>
      <c r="F66" s="2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794" t="s">
        <v>297</v>
      </c>
      <c r="H66" s="2564" t="s">
        <v>567</v>
      </c>
      <c r="I66" s="2564" t="s">
        <v>567</v>
      </c>
      <c r="J66" s="1201" t="str">
        <f>FHD_NOTE_P_30</f>
        <v/>
      </c>
      <c r="K66" s="2551" t="str">
        <f>IF((LEN(E66)-LEN(SUBSTITUTE(E66,".","")))/LEN(".")=1,"p","")</f>
        <v/>
      </c>
      <c r="L66" s="2551">
        <f>_xlfn.IFERROR(MATCH("есть",B_FHD_FLAG_INDEX_1,0),0)</f>
        <v>0</v>
      </c>
      <c r="M66" s="2551"/>
      <c r="R66" s="2551"/>
      <c r="U66" s="1456"/>
      <c r="AA66" s="2547"/>
      <c r="AB66" s="2547"/>
      <c r="AC66" s="2547"/>
      <c r="AD66" s="2547"/>
      <c r="AE66" s="2547"/>
    </row>
    <row s="40129" customFormat="1" customHeight="1" ht="22.5" hidden="1">
      <c r="A67" s="3188" t="s">
        <v>568</v>
      </c>
      <c r="C67" s="2551"/>
      <c r="D67" s="2553"/>
      <c r="E67" s="1458" t="str">
        <f>FHD_NUM_P_31</f>
        <v/>
      </c>
      <c r="F67" s="2439" t="str">
        <f>FHD_P_31</f>
        <v/>
      </c>
      <c r="G67" s="2794" t="s">
        <v>544</v>
      </c>
      <c r="H67" s="1469"/>
      <c r="I67" s="1469"/>
      <c r="J67" s="1201" t="str">
        <f>FHD_NOTE_P_31</f>
        <v/>
      </c>
      <c r="K67" s="2551" t="str">
        <f>IF((LEN(E67)-LEN(SUBSTITUTE(E67,".","")))/LEN(".")=1,"p","")</f>
        <v/>
      </c>
      <c r="L67" s="2551"/>
      <c r="M67" s="2551"/>
      <c r="R67" s="2551"/>
      <c r="U67" s="1456"/>
      <c r="AA67" s="2547"/>
      <c r="AB67" s="2547"/>
      <c r="AC67" s="2547"/>
      <c r="AD67" s="2547"/>
      <c r="AE67" s="2547"/>
    </row>
    <row s="40129" customFormat="1" customHeight="1" ht="45" hidden="1">
      <c r="A68" s="3188"/>
      <c r="C68" s="2551"/>
      <c r="D68" s="2553"/>
      <c r="E68" s="1458" t="str">
        <f>FHD_NUM_P_32</f>
        <v/>
      </c>
      <c r="F68" s="2565" t="str">
        <f>FHD_P_32</f>
        <v/>
      </c>
      <c r="G68" s="2794" t="s">
        <v>297</v>
      </c>
      <c r="H68" s="2564" t="s">
        <v>567</v>
      </c>
      <c r="I68" s="2564" t="s">
        <v>567</v>
      </c>
      <c r="J68" s="1201" t="str">
        <f>FHD_NOTE_P_32</f>
        <v/>
      </c>
      <c r="K68" s="2551" t="str">
        <f>IF((LEN(E68)-LEN(SUBSTITUTE(E68,".","")))/LEN(".")=1,"p","")</f>
        <v/>
      </c>
      <c r="L68" s="2551">
        <f>_xlfn.IFERROR(MATCH("есть",B_FHD_FLAG_INDEX_2,0),0)</f>
        <v>0</v>
      </c>
      <c r="M68" s="2551"/>
      <c r="R68" s="2551"/>
      <c r="U68" s="1456"/>
      <c r="AA68" s="2547"/>
      <c r="AB68" s="2547"/>
      <c r="AC68" s="2547"/>
      <c r="AD68" s="2547"/>
      <c r="AE68" s="2547"/>
    </row>
    <row s="40129" customFormat="1" customHeight="1" ht="11.25">
      <c r="A69" s="1900"/>
      <c r="C69" s="2551"/>
      <c r="D69" s="2553"/>
      <c r="E69" s="1458" t="str">
        <f>FHD_NUM_P_33</f>
        <v>2.13</v>
      </c>
      <c r="F69" s="2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2795" t="s">
        <v>544</v>
      </c>
      <c r="H69" s="1491">
        <f>SUM(H70:H71)</f>
        <v>0</v>
      </c>
      <c r="I69" s="1491">
        <f>SUM(I70:I71)</f>
        <v>0</v>
      </c>
      <c r="J69" s="12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551" t="str">
        <f>IF((LEN(E69)-LEN(SUBSTITUTE(E69,".","")))/LEN(".")=1,"p","")</f>
        <v>p</v>
      </c>
      <c r="L69" s="2551"/>
      <c r="M69" s="2551"/>
      <c r="R69" s="2551"/>
      <c r="U69" s="1456"/>
      <c r="AA69" s="2547"/>
      <c r="AB69" s="2547"/>
      <c r="AC69" s="2547"/>
      <c r="AD69" s="2547"/>
      <c r="AE69" s="2547"/>
    </row>
    <row s="40255" customFormat="1" customHeight="1" ht="0.75">
      <c r="A70" s="2081"/>
      <c r="D70" s="1460"/>
      <c r="E70" s="1926" t="str">
        <f>E69&amp;".0"</f>
        <v>2.13.0</v>
      </c>
      <c r="F70" s="1904"/>
      <c r="G70" s="1926"/>
      <c r="H70" s="1905"/>
      <c r="I70" s="1905"/>
      <c r="J70" s="1906"/>
      <c r="K70" s="2551" t="str">
        <f>IF((LEN(E70)-LEN(SUBSTITUTE(E70,".","")))/LEN(".")=1,"p","")</f>
        <v/>
      </c>
    </row>
    <row s="40129" customFormat="1" customHeight="1" ht="14.25">
      <c r="A71" s="1900"/>
      <c r="C71" s="2551"/>
      <c r="D71" s="2548"/>
      <c r="E71" s="1482"/>
      <c r="F71" s="1483" t="s">
        <v>569</v>
      </c>
      <c r="G71" s="1484"/>
      <c r="H71" s="1485"/>
      <c r="I71" s="1485"/>
      <c r="J71" s="1213"/>
      <c r="K71" s="2551"/>
      <c r="L71" s="2551"/>
      <c r="M71" s="2551"/>
      <c r="R71" s="2551"/>
      <c r="U71" s="1456"/>
      <c r="AA71" s="2547"/>
      <c r="AB71" s="2547"/>
      <c r="AC71" s="2547"/>
      <c r="AD71" s="2547"/>
      <c r="AE71" s="2547"/>
    </row>
    <row s="40129" customFormat="1" customHeight="1" ht="18.75">
      <c r="A72" s="1902" t="s">
        <v>570</v>
      </c>
      <c r="C72" s="2551"/>
      <c r="D72" s="2553"/>
      <c r="E72" s="1458" t="str">
        <f>FHD_NUM_P_34</f>
        <v>3</v>
      </c>
      <c r="F72" s="2796" t="str">
        <f>FHD_P_34</f>
        <v>Валовая прибыль (убытки) от реализации товаров и оказания услуг по регулируемому виду деятельности</v>
      </c>
      <c r="G72" s="2794" t="s">
        <v>544</v>
      </c>
      <c r="H72" s="1469"/>
      <c r="I72" s="1469"/>
      <c r="J72" s="1201" t="str">
        <f>FHD_NOTE_P_34</f>
        <v/>
      </c>
      <c r="K72" s="1455"/>
      <c r="L72" s="2551"/>
      <c r="M72" s="2551"/>
      <c r="R72" s="2551"/>
      <c r="U72" s="1456"/>
      <c r="AA72" s="2547"/>
      <c r="AB72" s="2547"/>
      <c r="AC72" s="2547"/>
      <c r="AD72" s="2547"/>
      <c r="AE72" s="2547"/>
    </row>
    <row s="40129" customFormat="1" customHeight="1" ht="18.75">
      <c r="A73" s="1900"/>
      <c r="C73" s="2551"/>
      <c r="D73" s="1487"/>
      <c r="E73" s="1458" t="str">
        <f>FHD_NUM_P_35</f>
        <v>4</v>
      </c>
      <c r="F73" s="2796" t="str">
        <f>FHD_P_35</f>
        <v>Чистая прибыль, полученная от регулируемого вида деятельности, в том числе:</v>
      </c>
      <c r="G73" s="2794" t="s">
        <v>544</v>
      </c>
      <c r="H73" s="1469"/>
      <c r="I73" s="1469"/>
      <c r="J73" s="1201" t="str">
        <f>FHD_NOTE_P_35</f>
        <v>Указывается общая сумма чистой прибыли, полученной от регулируемого вида деятельности.</v>
      </c>
      <c r="K73" s="1455"/>
      <c r="L73" s="2551"/>
      <c r="M73" s="2551"/>
      <c r="R73" s="2551"/>
      <c r="U73" s="1456"/>
      <c r="AA73" s="2547"/>
      <c r="AB73" s="2547"/>
      <c r="AC73" s="2547"/>
      <c r="AD73" s="2547"/>
      <c r="AE73" s="2547"/>
    </row>
    <row s="40129" customFormat="1" customHeight="1" ht="18.75">
      <c r="A74" s="1900"/>
      <c r="C74" s="2551"/>
      <c r="D74" s="2553"/>
      <c r="E74" s="1458" t="str">
        <f>FHD_NUM_P_36</f>
        <v>4.1</v>
      </c>
      <c r="F74" s="2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794" t="s">
        <v>544</v>
      </c>
      <c r="H74" s="1469"/>
      <c r="I74" s="1469"/>
      <c r="J74" s="1201" t="str">
        <f>FHD_NOTE_P_36</f>
        <v/>
      </c>
      <c r="K74" s="1455"/>
      <c r="L74" s="2551"/>
      <c r="M74" s="2551"/>
      <c r="R74" s="2551"/>
      <c r="U74" s="1456"/>
      <c r="AA74" s="2547"/>
      <c r="AB74" s="2547"/>
      <c r="AC74" s="2547"/>
      <c r="AD74" s="2547"/>
      <c r="AE74" s="2547"/>
    </row>
    <row s="40129" customFormat="1" customHeight="1" ht="18.75">
      <c r="A75" s="1900"/>
      <c r="C75" s="2551"/>
      <c r="D75" s="2553"/>
      <c r="E75" s="1458" t="str">
        <f>FHD_NUM_P_37</f>
        <v>5</v>
      </c>
      <c r="F75" s="2796" t="str">
        <f>FHD_P_37</f>
        <v>Изменение стоимости основных фондов, в том числе:</v>
      </c>
      <c r="G75" s="2794" t="s">
        <v>544</v>
      </c>
      <c r="H75" s="1469"/>
      <c r="I75" s="1469"/>
      <c r="J75" s="1201" t="str">
        <f>FHD_NOTE_P_37</f>
        <v>Указывается общее изменение стоимости основных фондов.</v>
      </c>
      <c r="K75" s="1455"/>
      <c r="L75" s="2551"/>
      <c r="M75" s="2551"/>
      <c r="R75" s="2551"/>
      <c r="U75" s="1456"/>
      <c r="AA75" s="2547"/>
      <c r="AB75" s="2547"/>
      <c r="AC75" s="2547"/>
      <c r="AD75" s="2547"/>
      <c r="AE75" s="2547"/>
    </row>
    <row s="40129" customFormat="1" customHeight="1" ht="18.75">
      <c r="A76" s="1900"/>
      <c r="C76" s="2551"/>
      <c r="D76" s="2553"/>
      <c r="E76" s="1458" t="str">
        <f>FHD_NUM_P_38</f>
        <v>5.1</v>
      </c>
      <c r="F76" s="2439" t="str">
        <f>FHD_P_38</f>
        <v>Изменение стоимости основных фондов за счет:</v>
      </c>
      <c r="G76" s="2794" t="s">
        <v>544</v>
      </c>
      <c r="H76" s="1469"/>
      <c r="I76" s="1469"/>
      <c r="J76" s="1201" t="str">
        <f>FHD_NOTE_P_38</f>
        <v>Указываются общее изменение стоимости основных фондов за счет их ввода в эксплуатацию и вывода из эксплуатации.</v>
      </c>
      <c r="K76" s="1455"/>
      <c r="L76" s="2551"/>
      <c r="M76" s="2551"/>
      <c r="R76" s="2551"/>
      <c r="U76" s="1456"/>
      <c r="AA76" s="2547"/>
      <c r="AB76" s="2547"/>
      <c r="AC76" s="2547"/>
      <c r="AD76" s="2547"/>
      <c r="AE76" s="2547"/>
    </row>
    <row s="40129" customFormat="1" customHeight="1" ht="18.75">
      <c r="A77" s="1900"/>
      <c r="C77" s="2551"/>
      <c r="D77" s="2553"/>
      <c r="E77" s="1458" t="str">
        <f>FHD_NUM_P_39</f>
        <v>5.1.1</v>
      </c>
      <c r="F77" s="2565" t="str">
        <f>FHD_P_39</f>
        <v>Изменения стоимости основных фондов за счет их ввода в эксплуатацию</v>
      </c>
      <c r="G77" s="2794" t="s">
        <v>544</v>
      </c>
      <c r="H77" s="1469"/>
      <c r="I77" s="1469"/>
      <c r="J77" s="1201" t="str">
        <f>FHD_NOTE_P_39</f>
        <v>Указываются изменение стоимости основных фондов за счет их ввода в эксплуатацию.</v>
      </c>
      <c r="K77" s="1455"/>
      <c r="L77" s="2551"/>
      <c r="M77" s="2551"/>
      <c r="R77" s="2551"/>
      <c r="U77" s="1456"/>
      <c r="AA77" s="2547"/>
      <c r="AB77" s="2547"/>
      <c r="AC77" s="2547"/>
      <c r="AD77" s="2547"/>
      <c r="AE77" s="2547"/>
    </row>
    <row s="40129" customFormat="1" customHeight="1" ht="18.75">
      <c r="A78" s="1900"/>
      <c r="C78" s="2551"/>
      <c r="D78" s="2553"/>
      <c r="E78" s="1458" t="str">
        <f>FHD_NUM_P_40</f>
        <v>5.1.2</v>
      </c>
      <c r="F78" s="2565" t="str">
        <f>FHD_P_40</f>
        <v>Изменения стоимости основных фондов за счет их вывода в эксплуатацию</v>
      </c>
      <c r="G78" s="2794" t="s">
        <v>544</v>
      </c>
      <c r="H78" s="1469"/>
      <c r="I78" s="1469"/>
      <c r="J78" s="1201" t="str">
        <f>FHD_NOTE_P_40</f>
        <v>Указываются изменение стоимости основных фондов за счет их вывода из эксплуатации.</v>
      </c>
      <c r="K78" s="1455"/>
      <c r="L78" s="2551"/>
      <c r="M78" s="2551"/>
      <c r="R78" s="2551"/>
      <c r="U78" s="1456"/>
      <c r="AA78" s="2547"/>
      <c r="AB78" s="2547"/>
      <c r="AC78" s="2547"/>
      <c r="AD78" s="2547"/>
      <c r="AE78" s="2547"/>
    </row>
    <row s="40129" customFormat="1" customHeight="1" ht="18.75">
      <c r="A79" s="1900"/>
      <c r="C79" s="2551"/>
      <c r="D79" s="2553"/>
      <c r="E79" s="1458" t="str">
        <f>FHD_NUM_P_41</f>
        <v>5.2</v>
      </c>
      <c r="F79" s="2439" t="str">
        <f>FHD_P_41</f>
        <v>Изменение стоимости основных фондов за счет их переоценки</v>
      </c>
      <c r="G79" s="2795" t="s">
        <v>544</v>
      </c>
      <c r="H79" s="1469"/>
      <c r="I79" s="1469"/>
      <c r="J79" s="1201" t="str">
        <f>FHD_NOTE_P_41</f>
        <v/>
      </c>
      <c r="K79" s="1455"/>
      <c r="L79" s="2551"/>
      <c r="M79" s="2551"/>
      <c r="R79" s="2551"/>
      <c r="U79" s="1456"/>
      <c r="AA79" s="2547"/>
      <c r="AB79" s="2547"/>
      <c r="AC79" s="2547"/>
      <c r="AD79" s="2547"/>
      <c r="AE79" s="2547"/>
    </row>
    <row s="40129" customFormat="1" customHeight="1" ht="18.75" hidden="1">
      <c r="A80" s="1902" t="s">
        <v>571</v>
      </c>
      <c r="C80" s="2551"/>
      <c r="D80" s="2553"/>
      <c r="E80" s="1458" t="str">
        <f>FHD_NUM_P_42</f>
        <v/>
      </c>
      <c r="F80" s="2796" t="str">
        <f>FHD_P_42</f>
        <v/>
      </c>
      <c r="G80" s="2794" t="s">
        <v>544</v>
      </c>
      <c r="H80" s="1889"/>
      <c r="I80" s="1469"/>
      <c r="J80" s="1201" t="str">
        <f>FHD_NOTE_P_42</f>
        <v/>
      </c>
      <c r="K80" s="1455"/>
      <c r="L80" s="2551"/>
      <c r="M80" s="2551"/>
      <c r="R80" s="2551"/>
      <c r="U80" s="1456"/>
      <c r="AA80" s="2547"/>
      <c r="AB80" s="2547"/>
      <c r="AC80" s="2547"/>
      <c r="AD80" s="2547"/>
      <c r="AE80" s="2547"/>
    </row>
    <row s="40129" customFormat="1" customHeight="1" ht="18.75">
      <c r="A81" s="1900"/>
      <c r="C81" s="2551"/>
      <c r="D81" s="2553"/>
      <c r="E81" s="1458" t="str">
        <f>FHD_NUM_P_43</f>
        <v>6</v>
      </c>
      <c r="F81" s="2796" t="str">
        <f>FHD_P_43</f>
        <v>Годовая бухгалтерская (финансовая) отчетность, включая бухгалтерский баланс и приложения к нему</v>
      </c>
      <c r="G81" s="2794" t="s">
        <v>297</v>
      </c>
      <c r="H81" s="1968"/>
      <c r="I81" s="1730"/>
      <c r="J81" s="120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455"/>
      <c r="L81" s="2551"/>
      <c r="M81" s="2551"/>
      <c r="R81" s="2551"/>
      <c r="U81" s="1456"/>
      <c r="AA81" s="2547"/>
      <c r="AB81" s="2547"/>
      <c r="AC81" s="2547"/>
      <c r="AD81" s="2547"/>
      <c r="AE81" s="2547"/>
    </row>
    <row s="40572" customFormat="1" customHeight="1" ht="18.75" hidden="1">
      <c r="A82" s="3188" t="s">
        <v>572</v>
      </c>
      <c r="C82" s="1647"/>
      <c r="D82" s="1645"/>
      <c r="E82" s="1458" t="str">
        <f>FHD_NUM_P_44</f>
        <v/>
      </c>
      <c r="F82" s="2796" t="str">
        <f>FHD_P_44</f>
        <v/>
      </c>
      <c r="G82" s="2797" t="s">
        <v>573</v>
      </c>
      <c r="H82" s="1890"/>
      <c r="I82" s="1489"/>
      <c r="J82" s="1201" t="str">
        <f>FHD_NOTE_P_44</f>
        <v/>
      </c>
      <c r="K82" s="1646"/>
      <c r="L82" s="1647"/>
      <c r="M82" s="1647"/>
      <c r="R82" s="1647"/>
      <c r="U82" s="1648"/>
      <c r="AA82" s="1649"/>
      <c r="AB82" s="1649"/>
      <c r="AC82" s="1649"/>
      <c r="AD82" s="1649"/>
      <c r="AE82" s="1649"/>
    </row>
    <row s="40572" customFormat="1" customHeight="1" ht="18.75" hidden="1">
      <c r="A83" s="3188"/>
      <c r="C83" s="1647"/>
      <c r="D83" s="1645"/>
      <c r="E83" s="1458" t="str">
        <f>FHD_NUM_P_45</f>
        <v/>
      </c>
      <c r="F83" s="2796" t="str">
        <f>FHD_P_45</f>
        <v/>
      </c>
      <c r="G83" s="2797" t="s">
        <v>573</v>
      </c>
      <c r="H83" s="1890"/>
      <c r="I83" s="1489"/>
      <c r="J83" s="1201" t="str">
        <f>FHD_NOTE_P_45</f>
        <v/>
      </c>
      <c r="K83" s="1646"/>
      <c r="L83" s="1647"/>
      <c r="M83" s="1647"/>
      <c r="R83" s="1647"/>
      <c r="U83" s="1648"/>
      <c r="AA83" s="1649"/>
      <c r="AB83" s="1649"/>
      <c r="AC83" s="1649"/>
      <c r="AD83" s="1649"/>
      <c r="AE83" s="1649"/>
    </row>
    <row s="40572" customFormat="1" customHeight="1" ht="18.75" hidden="1">
      <c r="A84" s="3188"/>
      <c r="C84" s="1647"/>
      <c r="D84" s="1650"/>
      <c r="E84" s="1458" t="str">
        <f>FHD_NUM_P_46</f>
        <v/>
      </c>
      <c r="F84" s="2796" t="str">
        <f>FHD_P_46</f>
        <v/>
      </c>
      <c r="G84" s="2797" t="s">
        <v>573</v>
      </c>
      <c r="H84" s="1890"/>
      <c r="I84" s="1489"/>
      <c r="J84" s="1201" t="str">
        <f>FHD_NOTE_P_46</f>
        <v/>
      </c>
      <c r="K84" s="1646"/>
      <c r="L84" s="1647"/>
      <c r="M84" s="1647"/>
      <c r="R84" s="1647"/>
      <c r="U84" s="1648"/>
      <c r="AA84" s="1649"/>
      <c r="AB84" s="1649"/>
      <c r="AC84" s="1649"/>
      <c r="AD84" s="1649"/>
      <c r="AE84" s="1649"/>
    </row>
    <row s="40572" customFormat="1" customHeight="1" ht="18.75" hidden="1">
      <c r="A85" s="3188"/>
      <c r="C85" s="1647"/>
      <c r="D85" s="1645"/>
      <c r="E85" s="1458" t="str">
        <f>FHD_NUM_P_47</f>
        <v/>
      </c>
      <c r="F85" s="2796" t="str">
        <f>FHD_P_47</f>
        <v/>
      </c>
      <c r="G85" s="2797" t="s">
        <v>573</v>
      </c>
      <c r="H85" s="1890"/>
      <c r="I85" s="1489"/>
      <c r="J85" s="1201" t="str">
        <f>FHD_NOTE_P_47</f>
        <v/>
      </c>
      <c r="K85" s="1646"/>
      <c r="L85" s="1647"/>
      <c r="M85" s="1647"/>
      <c r="R85" s="1647"/>
      <c r="U85" s="1648"/>
      <c r="AA85" s="1649"/>
      <c r="AB85" s="1649"/>
      <c r="AC85" s="1649"/>
      <c r="AD85" s="1649"/>
      <c r="AE85" s="1649"/>
    </row>
    <row s="40581" customFormat="1" customHeight="1" ht="18.75" hidden="1">
      <c r="A86" s="3188"/>
      <c r="B86" s="1822"/>
      <c r="C86" s="1647"/>
      <c r="D86" s="1645"/>
      <c r="E86" s="1458" t="str">
        <f>FHD_NUM_P_48</f>
        <v/>
      </c>
      <c r="F86" s="2796" t="str">
        <f>FHD_P_48</f>
        <v/>
      </c>
      <c r="G86" s="2797" t="s">
        <v>573</v>
      </c>
      <c r="H86" s="1890"/>
      <c r="I86" s="1489"/>
      <c r="J86" s="1201" t="str">
        <f>FHD_NOTE_P_48</f>
        <v/>
      </c>
      <c r="K86" s="1646"/>
      <c r="L86" s="1647"/>
      <c r="M86" s="1647"/>
      <c r="N86" s="1822"/>
      <c r="O86" s="1822"/>
      <c r="P86" s="1822"/>
      <c r="Q86" s="1822"/>
      <c r="R86" s="1647"/>
      <c r="S86" s="1822"/>
      <c r="T86" s="1822"/>
      <c r="U86" s="1648"/>
      <c r="V86" s="1822"/>
      <c r="W86" s="1822"/>
      <c r="X86" s="1822"/>
      <c r="Y86" s="1822"/>
      <c r="Z86" s="1822"/>
      <c r="AA86" s="1649"/>
      <c r="AB86" s="1649"/>
      <c r="AC86" s="1649"/>
      <c r="AD86" s="1649"/>
      <c r="AE86" s="1649"/>
    </row>
    <row s="40581" customFormat="1" customHeight="1" ht="18.75" hidden="1">
      <c r="A87" s="3188"/>
      <c r="B87" s="1822"/>
      <c r="C87" s="1647"/>
      <c r="D87" s="1645"/>
      <c r="E87" s="1458" t="str">
        <f>FHD_NUM_P_49</f>
        <v/>
      </c>
      <c r="F87" s="2796" t="str">
        <f>FHD_P_49</f>
        <v/>
      </c>
      <c r="G87" s="2797" t="s">
        <v>573</v>
      </c>
      <c r="H87" s="1891">
        <f>SUM(H88:H89)</f>
        <v>0</v>
      </c>
      <c r="I87" s="1661">
        <f>SUM(I88:I89)</f>
        <v>0</v>
      </c>
      <c r="J87" s="1201" t="str">
        <f>FHD_NOTE_P_49</f>
        <v/>
      </c>
      <c r="K87" s="1646"/>
      <c r="L87" s="1647"/>
      <c r="M87" s="1647"/>
      <c r="N87" s="1822"/>
      <c r="O87" s="1822"/>
      <c r="P87" s="1822"/>
      <c r="Q87" s="1822"/>
      <c r="R87" s="1647"/>
      <c r="S87" s="1822"/>
      <c r="T87" s="1822"/>
      <c r="U87" s="1648"/>
      <c r="V87" s="1822"/>
      <c r="W87" s="1822"/>
      <c r="X87" s="1822"/>
      <c r="Y87" s="1822"/>
      <c r="Z87" s="1822"/>
      <c r="AA87" s="1649"/>
      <c r="AB87" s="1649"/>
      <c r="AC87" s="1649"/>
      <c r="AD87" s="1649"/>
      <c r="AE87" s="1649"/>
    </row>
    <row s="40581" customFormat="1" customHeight="1" ht="18.75" hidden="1">
      <c r="A88" s="3188"/>
      <c r="B88" s="1822"/>
      <c r="C88" s="1647"/>
      <c r="D88" s="1645"/>
      <c r="E88" s="1458" t="str">
        <f>FHD_NUM_P_50</f>
        <v/>
      </c>
      <c r="F88" s="2796" t="str">
        <f>FHD_P_50</f>
        <v/>
      </c>
      <c r="G88" s="2797" t="s">
        <v>573</v>
      </c>
      <c r="H88" s="1890"/>
      <c r="I88" s="1489"/>
      <c r="J88" s="1201" t="str">
        <f>FHD_NOTE_P_50</f>
        <v/>
      </c>
      <c r="K88" s="1646"/>
      <c r="L88" s="1647"/>
      <c r="M88" s="1647"/>
      <c r="N88" s="1822"/>
      <c r="O88" s="1822"/>
      <c r="P88" s="1822"/>
      <c r="Q88" s="1822"/>
      <c r="R88" s="1647"/>
      <c r="S88" s="1822"/>
      <c r="T88" s="1822"/>
      <c r="U88" s="1648"/>
      <c r="V88" s="1822"/>
      <c r="W88" s="1822"/>
      <c r="X88" s="1822"/>
      <c r="Y88" s="1822"/>
      <c r="Z88" s="1822"/>
      <c r="AA88" s="1649"/>
      <c r="AB88" s="1649"/>
      <c r="AC88" s="1649"/>
      <c r="AD88" s="1649"/>
      <c r="AE88" s="1649"/>
    </row>
    <row s="40581" customFormat="1" customHeight="1" ht="18.75" hidden="1">
      <c r="A89" s="3188"/>
      <c r="B89" s="1822"/>
      <c r="C89" s="1647"/>
      <c r="D89" s="1645"/>
      <c r="E89" s="1458" t="str">
        <f>FHD_NUM_P_51</f>
        <v/>
      </c>
      <c r="F89" s="2796" t="str">
        <f>FHD_P_51</f>
        <v/>
      </c>
      <c r="G89" s="2797" t="s">
        <v>573</v>
      </c>
      <c r="H89" s="1890"/>
      <c r="I89" s="1489"/>
      <c r="J89" s="1201" t="str">
        <f>FHD_NOTE_P_51</f>
        <v/>
      </c>
      <c r="K89" s="1646"/>
      <c r="L89" s="1647"/>
      <c r="M89" s="1647"/>
      <c r="N89" s="1822"/>
      <c r="O89" s="1822"/>
      <c r="P89" s="1822"/>
      <c r="Q89" s="1822"/>
      <c r="R89" s="1647"/>
      <c r="S89" s="1822"/>
      <c r="T89" s="1822"/>
      <c r="U89" s="1648"/>
      <c r="V89" s="1822"/>
      <c r="W89" s="1822"/>
      <c r="X89" s="1822"/>
      <c r="Y89" s="1822"/>
      <c r="Z89" s="1822"/>
      <c r="AA89" s="1649"/>
      <c r="AB89" s="1649"/>
      <c r="AC89" s="1649"/>
      <c r="AD89" s="1649"/>
      <c r="AE89" s="1649"/>
    </row>
    <row s="40581" customFormat="1" customHeight="1" ht="18.75" hidden="1">
      <c r="A90" s="3188"/>
      <c r="B90" s="1822"/>
      <c r="C90" s="1647"/>
      <c r="D90" s="1645"/>
      <c r="E90" s="1458" t="str">
        <f>FHD_NUM_P_52</f>
        <v/>
      </c>
      <c r="F90" s="2796" t="str">
        <f>FHD_P_52</f>
        <v/>
      </c>
      <c r="G90" s="2797" t="s">
        <v>550</v>
      </c>
      <c r="H90" s="1889"/>
      <c r="I90" s="1469"/>
      <c r="J90" s="1201" t="str">
        <f>FHD_NOTE_P_52</f>
        <v/>
      </c>
      <c r="K90" s="1646"/>
      <c r="L90" s="1647"/>
      <c r="M90" s="1647"/>
      <c r="N90" s="1822"/>
      <c r="O90" s="1822"/>
      <c r="P90" s="1822"/>
      <c r="Q90" s="1822"/>
      <c r="R90" s="1647"/>
      <c r="S90" s="1822"/>
      <c r="T90" s="1822"/>
      <c r="U90" s="1648"/>
      <c r="V90" s="1822"/>
      <c r="W90" s="1822"/>
      <c r="X90" s="1822"/>
      <c r="Y90" s="1822"/>
      <c r="Z90" s="1822"/>
      <c r="AA90" s="1649"/>
      <c r="AB90" s="1649"/>
      <c r="AC90" s="1649"/>
      <c r="AD90" s="1649"/>
      <c r="AE90" s="1649"/>
    </row>
    <row s="40572" customFormat="1" customHeight="1" ht="18.75" hidden="1">
      <c r="A91" s="3190" t="s">
        <v>574</v>
      </c>
      <c r="C91" s="1647"/>
      <c r="D91" s="1645"/>
      <c r="E91" s="1458" t="str">
        <f>FHD_NUM_P_53</f>
        <v/>
      </c>
      <c r="F91" s="2796" t="str">
        <f>FHD_P_53</f>
        <v/>
      </c>
      <c r="G91" s="2797" t="s">
        <v>573</v>
      </c>
      <c r="H91" s="1890"/>
      <c r="I91" s="1489"/>
      <c r="J91" s="1201" t="str">
        <f>FHD_NOTE_P_53</f>
        <v/>
      </c>
      <c r="K91" s="1646"/>
      <c r="L91" s="1647"/>
      <c r="M91" s="1647"/>
      <c r="R91" s="1647"/>
      <c r="U91" s="1648"/>
      <c r="AA91" s="1649"/>
      <c r="AB91" s="1649"/>
      <c r="AC91" s="1649"/>
      <c r="AD91" s="1649"/>
      <c r="AE91" s="1649"/>
    </row>
    <row s="40572" customFormat="1" customHeight="1" ht="18.75" hidden="1">
      <c r="A92" s="3190"/>
      <c r="C92" s="1647"/>
      <c r="D92" s="1645"/>
      <c r="E92" s="1458" t="str">
        <f>FHD_NUM_P_54</f>
        <v/>
      </c>
      <c r="F92" s="2796" t="str">
        <f>FHD_P_54</f>
        <v/>
      </c>
      <c r="G92" s="2797" t="s">
        <v>573</v>
      </c>
      <c r="H92" s="1890"/>
      <c r="I92" s="1489"/>
      <c r="J92" s="1201" t="str">
        <f>FHD_NOTE_P_54</f>
        <v/>
      </c>
      <c r="K92" s="1646"/>
      <c r="L92" s="1647"/>
      <c r="M92" s="1647"/>
      <c r="R92" s="1647"/>
      <c r="U92" s="1648"/>
      <c r="AA92" s="1649"/>
      <c r="AB92" s="1649"/>
      <c r="AC92" s="1649"/>
      <c r="AD92" s="1649"/>
      <c r="AE92" s="1649"/>
    </row>
    <row s="40572" customFormat="1" customHeight="1" ht="18.75" hidden="1">
      <c r="A93" s="3190"/>
      <c r="C93" s="1647"/>
      <c r="D93" s="1650"/>
      <c r="E93" s="1458" t="str">
        <f>FHD_NUM_P_55</f>
        <v/>
      </c>
      <c r="F93" s="2796" t="str">
        <f>FHD_P_55</f>
        <v/>
      </c>
      <c r="G93" s="2800"/>
      <c r="H93" s="1890"/>
      <c r="I93" s="1489"/>
      <c r="J93" s="1201" t="str">
        <f>FHD_NOTE_P_55</f>
        <v/>
      </c>
      <c r="K93" s="1646"/>
      <c r="L93" s="1647"/>
      <c r="M93" s="1647"/>
      <c r="R93" s="1647"/>
      <c r="U93" s="1648"/>
      <c r="AA93" s="1649"/>
      <c r="AB93" s="1649"/>
      <c r="AC93" s="1649"/>
      <c r="AD93" s="1649"/>
      <c r="AE93" s="1649"/>
    </row>
    <row s="40572" customFormat="1" customHeight="1" ht="18.75" hidden="1">
      <c r="A94" s="3190"/>
      <c r="C94" s="1647"/>
      <c r="D94" s="1645"/>
      <c r="E94" s="1458" t="str">
        <f>FHD_NUM_P_56</f>
        <v/>
      </c>
      <c r="F94" s="2796" t="str">
        <f>FHD_P_56</f>
        <v/>
      </c>
      <c r="G94" s="2797" t="s">
        <v>575</v>
      </c>
      <c r="H94" s="1890"/>
      <c r="I94" s="1489"/>
      <c r="J94" s="1201" t="str">
        <f>FHD_NOTE_P_56</f>
        <v/>
      </c>
      <c r="K94" s="1646"/>
      <c r="L94" s="1647"/>
      <c r="M94" s="1647"/>
      <c r="R94" s="1647"/>
      <c r="U94" s="1648"/>
      <c r="AA94" s="1649"/>
      <c r="AB94" s="1649"/>
      <c r="AC94" s="1649"/>
      <c r="AD94" s="1649"/>
      <c r="AE94" s="1649"/>
    </row>
    <row s="40581" customFormat="1" customHeight="1" ht="18.75" hidden="1">
      <c r="A95" s="3190"/>
      <c r="B95" s="1822"/>
      <c r="C95" s="1647"/>
      <c r="D95" s="1645"/>
      <c r="E95" s="1458" t="str">
        <f>FHD_NUM_P_57</f>
        <v/>
      </c>
      <c r="F95" s="2796" t="str">
        <f>FHD_P_57</f>
        <v/>
      </c>
      <c r="G95" s="2797" t="s">
        <v>550</v>
      </c>
      <c r="H95" s="1889"/>
      <c r="I95" s="1469"/>
      <c r="J95" s="1201" t="str">
        <f>FHD_NOTE_P_57</f>
        <v/>
      </c>
      <c r="K95" s="1646"/>
      <c r="L95" s="1647"/>
      <c r="M95" s="1647"/>
      <c r="N95" s="1822"/>
      <c r="O95" s="1822"/>
      <c r="P95" s="1822"/>
      <c r="Q95" s="1822"/>
      <c r="R95" s="1647"/>
      <c r="S95" s="1822"/>
      <c r="T95" s="1822"/>
      <c r="U95" s="1648"/>
      <c r="V95" s="1822"/>
      <c r="W95" s="1822"/>
      <c r="X95" s="1822"/>
      <c r="Y95" s="1822"/>
      <c r="Z95" s="1822"/>
      <c r="AA95" s="1649"/>
      <c r="AB95" s="1649"/>
      <c r="AC95" s="1649"/>
      <c r="AD95" s="1649"/>
      <c r="AE95" s="1649"/>
    </row>
    <row customHeight="1" ht="18.75" hidden="1">
      <c r="A96" s="3188" t="s">
        <v>576</v>
      </c>
      <c r="D96" s="2553"/>
      <c r="E96" s="1458" t="str">
        <f>FHD_NUM_P_58</f>
        <v/>
      </c>
      <c r="F96" s="2796" t="str">
        <f>FHD_P_58</f>
        <v/>
      </c>
      <c r="G96" s="2797" t="s">
        <v>573</v>
      </c>
      <c r="H96" s="1890"/>
      <c r="I96" s="1489"/>
      <c r="J96" s="1201" t="str">
        <f>FHD_NOTE_P_58</f>
        <v/>
      </c>
      <c r="K96" s="1455"/>
    </row>
    <row customHeight="1" ht="18.75" hidden="1">
      <c r="A97" s="3188"/>
      <c r="D97" s="2553"/>
      <c r="E97" s="1458" t="str">
        <f>FHD_NUM_P_59</f>
        <v/>
      </c>
      <c r="F97" s="2796" t="str">
        <f>FHD_P_59</f>
        <v/>
      </c>
      <c r="G97" s="2797" t="s">
        <v>573</v>
      </c>
      <c r="H97" s="1890"/>
      <c r="I97" s="1489"/>
      <c r="J97" s="1201" t="str">
        <f>FHD_NOTE_P_59</f>
        <v/>
      </c>
      <c r="K97" s="1455"/>
    </row>
    <row customHeight="1" ht="18.75" hidden="1">
      <c r="A98" s="3188"/>
      <c r="D98" s="2553"/>
      <c r="E98" s="1458" t="str">
        <f>FHD_NUM_P_60</f>
        <v/>
      </c>
      <c r="F98" s="2796" t="str">
        <f>FHD_P_60</f>
        <v/>
      </c>
      <c r="G98" s="2797" t="s">
        <v>573</v>
      </c>
      <c r="H98" s="1890"/>
      <c r="I98" s="1489"/>
      <c r="J98" s="1201" t="str">
        <f>FHD_NOTE_P_60</f>
        <v/>
      </c>
      <c r="K98" s="1455"/>
    </row>
    <row s="40129" customFormat="1" customHeight="1" ht="18.75">
      <c r="A99" s="3188" t="s">
        <v>577</v>
      </c>
      <c r="C99" s="2551"/>
      <c r="D99" s="2553"/>
      <c r="E99" s="1458" t="str">
        <f>FHD_NUM_P_61</f>
        <v>7</v>
      </c>
      <c r="F99" s="2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794" t="s">
        <v>548</v>
      </c>
      <c r="H99" s="1892"/>
      <c r="I99" s="1654"/>
      <c r="J99" s="120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455"/>
      <c r="L99" s="2551"/>
      <c r="M99" s="2551"/>
      <c r="R99" s="2551"/>
      <c r="U99" s="1456"/>
      <c r="AA99" s="2547"/>
      <c r="AB99" s="2547"/>
      <c r="AC99" s="2547"/>
      <c r="AD99" s="2547"/>
      <c r="AE99" s="2547"/>
    </row>
    <row s="40255" customFormat="1" customHeight="1" ht="0.75">
      <c r="A100" s="3188"/>
      <c r="D100" s="1460"/>
      <c r="E100" s="1926" t="str">
        <f>E99&amp;".0"</f>
        <v>7.0</v>
      </c>
      <c r="F100" s="1907"/>
      <c r="G100" s="1908"/>
      <c r="H100" s="1905"/>
      <c r="I100" s="1905"/>
      <c r="J100" s="1909"/>
    </row>
    <row customHeight="1" ht="15">
      <c r="A101" s="3188"/>
      <c r="D101" s="2548"/>
      <c r="E101" s="1884"/>
      <c r="F101" s="1885" t="s">
        <v>578</v>
      </c>
      <c r="G101" s="1484"/>
      <c r="H101" s="1485"/>
      <c r="I101" s="1485"/>
      <c r="J101" s="1917" t="s">
        <v>579</v>
      </c>
      <c r="K101" s="1455"/>
    </row>
    <row s="40129" customFormat="1" customHeight="1" ht="18.75">
      <c r="A102" s="3188"/>
      <c r="C102" s="2551"/>
      <c r="D102" s="2553"/>
      <c r="E102" s="1458" t="str">
        <f>FHD_NUM_P_62</f>
        <v>8</v>
      </c>
      <c r="F102" s="2796" t="str">
        <f>FHD_P_62</f>
        <v>Тепловая нагрузка по договорам, заключенным в рамках осуществления регулируемых видов деятельности</v>
      </c>
      <c r="G102" s="2793" t="s">
        <v>548</v>
      </c>
      <c r="H102" s="1469"/>
      <c r="I102" s="1469"/>
      <c r="J102" s="12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455"/>
      <c r="L102" s="2551"/>
      <c r="M102" s="2551"/>
      <c r="R102" s="2551"/>
      <c r="U102" s="1456"/>
      <c r="AA102" s="2547"/>
      <c r="AB102" s="2547"/>
      <c r="AC102" s="2547"/>
      <c r="AD102" s="2547"/>
      <c r="AE102" s="2547"/>
    </row>
    <row s="40129" customFormat="1" customHeight="1" ht="18.75">
      <c r="A103" s="3188"/>
      <c r="C103" s="2551"/>
      <c r="D103" s="2553"/>
      <c r="E103" s="1458" t="str">
        <f>FHD_NUM_P_63</f>
        <v>9</v>
      </c>
      <c r="F103" s="2796" t="str">
        <f>FHD_P_63</f>
        <v>Объем вырабатываемой регулируемой организацией тепловой энергии в рамках осуществления регулируемых видов деятельности</v>
      </c>
      <c r="G103" s="2793" t="s">
        <v>575</v>
      </c>
      <c r="H103" s="1489"/>
      <c r="I103" s="1489"/>
      <c r="J103" s="12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455"/>
      <c r="L103" s="2551"/>
      <c r="M103" s="2551"/>
      <c r="R103" s="2551"/>
      <c r="U103" s="1456"/>
      <c r="AA103" s="2547"/>
      <c r="AB103" s="2547"/>
      <c r="AC103" s="2547"/>
      <c r="AD103" s="2547"/>
      <c r="AE103" s="2547"/>
    </row>
    <row s="40129" customFormat="1" customHeight="1" ht="18.75">
      <c r="A104" s="3188"/>
      <c r="C104" s="2551" t="s">
        <v>580</v>
      </c>
      <c r="D104" s="2553"/>
      <c r="E104" s="1458" t="str">
        <f>FHD_NUM_P_64</f>
        <v>9.1</v>
      </c>
      <c r="F104" s="2796" t="str">
        <f>FHD_P_64</f>
        <v>Объем приобретаемой регулируемой организацией тепловой энергии в рамках осуществления регулируемых видов деятельности</v>
      </c>
      <c r="G104" s="2793" t="s">
        <v>575</v>
      </c>
      <c r="H104" s="1457"/>
      <c r="I104" s="1457"/>
      <c r="J104" s="1201" t="str">
        <f>FHD_NOTE_P_64</f>
        <v>Информация указывается только едиными теплоснабжающими организациями.</v>
      </c>
      <c r="K104" s="1455"/>
      <c r="L104" s="2551"/>
      <c r="M104" s="2551"/>
      <c r="R104" s="2551"/>
      <c r="U104" s="1456"/>
      <c r="AA104" s="2547"/>
      <c r="AB104" s="2547"/>
      <c r="AC104" s="2547"/>
      <c r="AD104" s="2547"/>
      <c r="AE104" s="2547"/>
    </row>
    <row s="40129" customFormat="1" customHeight="1" ht="18.75">
      <c r="A105" s="3188"/>
      <c r="C105" s="2551"/>
      <c r="D105" s="2553"/>
      <c r="E105" s="1458" t="str">
        <f>FHD_NUM_P_65</f>
        <v>10</v>
      </c>
      <c r="F105" s="2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793" t="s">
        <v>575</v>
      </c>
      <c r="H105" s="1489"/>
      <c r="I105" s="1489"/>
      <c r="J105" s="120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455"/>
      <c r="L105" s="2551"/>
      <c r="M105" s="2551"/>
      <c r="R105" s="2551"/>
      <c r="U105" s="1456"/>
      <c r="AA105" s="2547"/>
      <c r="AB105" s="2547"/>
      <c r="AC105" s="2547"/>
      <c r="AD105" s="2547"/>
      <c r="AE105" s="2547"/>
    </row>
    <row s="40129" customFormat="1" customHeight="1" ht="18.75">
      <c r="A106" s="3188"/>
      <c r="C106" s="2551"/>
      <c r="D106" s="2553"/>
      <c r="E106" s="1458" t="str">
        <f>FHD_NUM_P_66</f>
        <v>10.1</v>
      </c>
      <c r="F106" s="2439" t="str">
        <f>FHD_P_66</f>
        <v>По приборам учёта </v>
      </c>
      <c r="G106" s="2793" t="s">
        <v>575</v>
      </c>
      <c r="H106" s="1489"/>
      <c r="I106" s="1489"/>
      <c r="J106" s="1201" t="str">
        <f>FHD_NOTE_P_66</f>
        <v/>
      </c>
      <c r="K106" s="1455"/>
      <c r="L106" s="2551"/>
      <c r="M106" s="2551"/>
      <c r="R106" s="2551"/>
      <c r="U106" s="1456"/>
      <c r="AA106" s="2547"/>
      <c r="AB106" s="2547"/>
      <c r="AC106" s="2547"/>
      <c r="AD106" s="2547"/>
      <c r="AE106" s="2547"/>
    </row>
    <row s="40129" customFormat="1" customHeight="1" ht="18.75">
      <c r="A107" s="3188"/>
      <c r="C107" s="2551"/>
      <c r="D107" s="2553"/>
      <c r="E107" s="1458" t="str">
        <f>FHD_NUM_P_67</f>
        <v>10.1.1</v>
      </c>
      <c r="F107" s="2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793" t="s">
        <v>575</v>
      </c>
      <c r="H107" s="1489"/>
      <c r="I107" s="1489"/>
      <c r="J107" s="1201" t="str">
        <f>FHD_NOTE_P_67</f>
        <v/>
      </c>
      <c r="K107" s="1455"/>
      <c r="L107" s="2551"/>
      <c r="M107" s="2551"/>
      <c r="R107" s="2551"/>
      <c r="U107" s="1456"/>
      <c r="AA107" s="2547"/>
      <c r="AB107" s="2547"/>
      <c r="AC107" s="2547"/>
      <c r="AD107" s="2547"/>
      <c r="AE107" s="2547"/>
    </row>
    <row s="40129" customFormat="1" customHeight="1" ht="18.75">
      <c r="A108" s="3188"/>
      <c r="C108" s="2551"/>
      <c r="D108" s="2553"/>
      <c r="E108" s="1458" t="str">
        <f>FHD_NUM_P_68</f>
        <v>10.2</v>
      </c>
      <c r="F108" s="2439" t="str">
        <f>FHD_P_68</f>
        <v>Расчётным путём</v>
      </c>
      <c r="G108" s="2793" t="s">
        <v>575</v>
      </c>
      <c r="H108" s="1489"/>
      <c r="I108" s="1489"/>
      <c r="J108" s="1201" t="str">
        <f>FHD_NOTE_P_68</f>
        <v/>
      </c>
      <c r="K108" s="1455"/>
      <c r="L108" s="2551"/>
      <c r="M108" s="2551"/>
      <c r="R108" s="2551"/>
      <c r="U108" s="1456"/>
      <c r="AA108" s="2547"/>
      <c r="AB108" s="2547"/>
      <c r="AC108" s="2547"/>
      <c r="AD108" s="2547"/>
      <c r="AE108" s="2547"/>
    </row>
    <row s="40129" customFormat="1" customHeight="1" ht="18.75">
      <c r="A109" s="3188"/>
      <c r="C109" s="2551"/>
      <c r="D109" s="2553"/>
      <c r="E109" s="1458" t="str">
        <f>FHD_NUM_P_69</f>
        <v>10.3</v>
      </c>
      <c r="F109" s="2439" t="str">
        <f>FHD_P_69</f>
        <v>По нормативам потребления коммунальных услуг и нормативам потребления коммунальных ресурсов</v>
      </c>
      <c r="G109" s="2793" t="s">
        <v>575</v>
      </c>
      <c r="H109" s="1489"/>
      <c r="I109" s="1489"/>
      <c r="J109" s="1201" t="str">
        <f>FHD_NOTE_P_69</f>
        <v/>
      </c>
      <c r="K109" s="1455"/>
      <c r="L109" s="2551"/>
      <c r="M109" s="2551"/>
      <c r="R109" s="2551"/>
      <c r="U109" s="1456"/>
      <c r="AA109" s="2547"/>
      <c r="AB109" s="2547"/>
      <c r="AC109" s="2547"/>
      <c r="AD109" s="2547"/>
      <c r="AE109" s="2547"/>
    </row>
    <row s="40129" customFormat="1" customHeight="1" ht="22.5">
      <c r="A110" s="3188"/>
      <c r="C110" s="2551"/>
      <c r="D110" s="2553"/>
      <c r="E110" s="1458" t="str">
        <f>FHD_NUM_P_70</f>
        <v>11</v>
      </c>
      <c r="F110" s="2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2793" t="s">
        <v>581</v>
      </c>
      <c r="H110" s="1469"/>
      <c r="I110" s="1469"/>
      <c r="J110" s="1201" t="str">
        <f>FHD_NOTE_P_70</f>
        <v/>
      </c>
      <c r="K110" s="1455"/>
      <c r="L110" s="2551"/>
      <c r="M110" s="2551"/>
      <c r="R110" s="2551"/>
      <c r="U110" s="1456"/>
      <c r="AA110" s="2547"/>
      <c r="AB110" s="2547"/>
      <c r="AC110" s="2547"/>
      <c r="AD110" s="2547"/>
      <c r="AE110" s="2547"/>
    </row>
    <row s="40129" customFormat="1" customHeight="1" ht="22.5">
      <c r="A111" s="3188"/>
      <c r="C111" s="2551"/>
      <c r="D111" s="2553"/>
      <c r="E111" s="1458" t="str">
        <f>FHD_NUM_P_71</f>
        <v>12</v>
      </c>
      <c r="F111" s="2796" t="str">
        <f>FHD_P_71</f>
        <v>Фактический объем потерь при передаче тепловой энергии</v>
      </c>
      <c r="G111" s="2793" t="s">
        <v>581</v>
      </c>
      <c r="H111" s="1469"/>
      <c r="I111" s="1469"/>
      <c r="J111" s="1201" t="str">
        <f>FHD_NOTE_P_71</f>
        <v/>
      </c>
      <c r="K111" s="1455"/>
      <c r="L111" s="2551"/>
      <c r="M111" s="2551"/>
      <c r="R111" s="2551"/>
      <c r="U111" s="1456"/>
      <c r="AA111" s="2547"/>
      <c r="AB111" s="2547"/>
      <c r="AC111" s="2547"/>
      <c r="AD111" s="2547"/>
      <c r="AE111" s="2547"/>
    </row>
    <row customHeight="1" ht="18.75">
      <c r="D112" s="2553"/>
      <c r="E112" s="1458" t="str">
        <f>FHD_NUM_P_72</f>
        <v>13</v>
      </c>
      <c r="F112" s="2796" t="str">
        <f>FHD_P_72</f>
        <v>Среднесписочная численность основного производственного персонала</v>
      </c>
      <c r="G112" s="2792" t="s">
        <v>582</v>
      </c>
      <c r="H112" s="1489"/>
      <c r="I112" s="1489"/>
      <c r="J112" s="1201" t="str">
        <f>FHD_NOTE_P_72</f>
        <v/>
      </c>
      <c r="K112" s="1455"/>
    </row>
    <row customHeight="1" ht="18.75">
      <c r="A113" s="1902" t="s">
        <v>583</v>
      </c>
      <c r="D113" s="2553"/>
      <c r="E113" s="1458" t="str">
        <f>FHD_NUM_P_73</f>
        <v>14</v>
      </c>
      <c r="F113" s="2796" t="str">
        <f>FHD_P_73</f>
        <v>Среднесписочная численность административно-управленческого персонала</v>
      </c>
      <c r="G113" s="1883" t="s">
        <v>582</v>
      </c>
      <c r="H113" s="1881"/>
      <c r="I113" s="1881"/>
      <c r="J113" s="1201" t="str">
        <f>FHD_NOTE_P_73</f>
        <v/>
      </c>
      <c r="K113" s="1455"/>
    </row>
    <row customHeight="1" ht="33.75" hidden="1">
      <c r="A114" s="1902" t="s">
        <v>584</v>
      </c>
      <c r="D114" s="2553"/>
      <c r="E114" s="1458" t="str">
        <f>FHD_NUM_P_74</f>
        <v/>
      </c>
      <c r="F114" s="2796" t="str">
        <f>FHD_P_74</f>
        <v/>
      </c>
      <c r="G114" s="2792" t="s">
        <v>585</v>
      </c>
      <c r="H114" s="1489"/>
      <c r="I114" s="1489"/>
      <c r="J114" s="1201" t="str">
        <f>FHD_NOTE_P_74</f>
        <v/>
      </c>
      <c r="K114" s="1455"/>
    </row>
    <row s="40581" customFormat="1" customHeight="1" ht="18.75" hidden="1">
      <c r="A115" s="3190" t="s">
        <v>586</v>
      </c>
      <c r="B115" s="1822"/>
      <c r="C115" s="1647"/>
      <c r="D115" s="1645"/>
      <c r="E115" s="1458" t="str">
        <f>FHD_NUM_P_75</f>
        <v/>
      </c>
      <c r="F115" s="2796" t="str">
        <f>FHD_P_75</f>
        <v/>
      </c>
      <c r="G115" s="2792" t="s">
        <v>550</v>
      </c>
      <c r="H115" s="1469"/>
      <c r="I115" s="1469"/>
      <c r="J115" s="1201" t="str">
        <f>FHD_NOTE_P_75</f>
        <v/>
      </c>
      <c r="K115" s="1646"/>
      <c r="L115" s="1647"/>
      <c r="M115" s="1647"/>
      <c r="N115" s="1822"/>
      <c r="O115" s="1822"/>
      <c r="P115" s="1822"/>
      <c r="Q115" s="1822"/>
      <c r="R115" s="1647"/>
      <c r="S115" s="1822"/>
      <c r="T115" s="1822"/>
      <c r="U115" s="1648"/>
      <c r="V115" s="1822"/>
      <c r="W115" s="1822"/>
      <c r="X115" s="1822"/>
      <c r="Y115" s="1822"/>
      <c r="Z115" s="1822"/>
      <c r="AA115" s="1649"/>
      <c r="AB115" s="1649"/>
      <c r="AC115" s="1649"/>
      <c r="AD115" s="1649"/>
      <c r="AE115" s="1649"/>
    </row>
    <row s="40581" customFormat="1" customHeight="1" ht="18.75" hidden="1">
      <c r="A116" s="3190"/>
      <c r="B116" s="1822"/>
      <c r="C116" s="1647"/>
      <c r="D116" s="1645"/>
      <c r="E116" s="1458" t="str">
        <f>FHD_NUM_P_76</f>
        <v/>
      </c>
      <c r="F116" s="2796" t="str">
        <f>FHD_P_76</f>
        <v/>
      </c>
      <c r="G116" s="2792" t="s">
        <v>550</v>
      </c>
      <c r="H116" s="1469"/>
      <c r="I116" s="1469"/>
      <c r="J116" s="1201" t="str">
        <f>FHD_NOTE_P_76</f>
        <v/>
      </c>
      <c r="K116" s="1646"/>
      <c r="L116" s="1647"/>
      <c r="M116" s="1647"/>
      <c r="N116" s="1822"/>
      <c r="O116" s="1822"/>
      <c r="P116" s="1822"/>
      <c r="Q116" s="1822"/>
      <c r="R116" s="1647"/>
      <c r="S116" s="1822"/>
      <c r="T116" s="1822"/>
      <c r="U116" s="1648"/>
      <c r="V116" s="1822"/>
      <c r="W116" s="1822"/>
      <c r="X116" s="1822"/>
      <c r="Y116" s="1822"/>
      <c r="Z116" s="1822"/>
      <c r="AA116" s="1649"/>
      <c r="AB116" s="1649"/>
      <c r="AC116" s="1649"/>
      <c r="AD116" s="1649"/>
      <c r="AE116" s="1649"/>
    </row>
    <row s="40581" customFormat="1" customHeight="1" ht="18.75" hidden="1">
      <c r="A117" s="3190"/>
      <c r="B117" s="1822"/>
      <c r="C117" s="1647"/>
      <c r="D117" s="1645"/>
      <c r="E117" s="1458" t="str">
        <f>FHD_NUM_P_77</f>
        <v/>
      </c>
      <c r="F117" s="2796" t="str">
        <f>FHD_P_77</f>
        <v/>
      </c>
      <c r="G117" s="2792" t="s">
        <v>550</v>
      </c>
      <c r="H117" s="1469"/>
      <c r="I117" s="1469"/>
      <c r="J117" s="1201" t="str">
        <f>FHD_NOTE_P_77</f>
        <v/>
      </c>
      <c r="K117" s="1646"/>
      <c r="L117" s="1647"/>
      <c r="M117" s="1647"/>
      <c r="N117" s="1822"/>
      <c r="O117" s="1822"/>
      <c r="P117" s="1822"/>
      <c r="Q117" s="1822"/>
      <c r="R117" s="1647"/>
      <c r="S117" s="1822"/>
      <c r="T117" s="1822"/>
      <c r="U117" s="1648"/>
      <c r="V117" s="1822"/>
      <c r="W117" s="1822"/>
      <c r="X117" s="1822"/>
      <c r="Y117" s="1822"/>
      <c r="Z117" s="1822"/>
      <c r="AA117" s="1649"/>
      <c r="AB117" s="1649"/>
      <c r="AC117" s="1649"/>
      <c r="AD117" s="1649"/>
      <c r="AE117" s="1649"/>
    </row>
    <row s="40255" customFormat="1" customHeight="1" ht="0.75" hidden="1">
      <c r="A118" s="3190"/>
      <c r="D118" s="1460"/>
      <c r="E118" s="1926" t="str">
        <f>E117&amp;".0"</f>
        <v>.0</v>
      </c>
      <c r="F118" s="1910"/>
      <c r="G118" s="2566"/>
      <c r="H118" s="1905"/>
      <c r="I118" s="1905"/>
      <c r="J118" s="1909"/>
    </row>
    <row s="40581" customFormat="1" customHeight="1" ht="15" hidden="1">
      <c r="A119" s="3190"/>
      <c r="B119" s="1822"/>
      <c r="C119" s="1647"/>
      <c r="D119" s="1658"/>
      <c r="E119" s="1886"/>
      <c r="F119" s="1887" t="s">
        <v>587</v>
      </c>
      <c r="G119" s="1659"/>
      <c r="H119" s="1660"/>
      <c r="I119" s="1660"/>
      <c r="J119" s="1916" t="s">
        <v>588</v>
      </c>
      <c r="K119" s="1646"/>
      <c r="L119" s="1647"/>
      <c r="M119" s="1647"/>
      <c r="N119" s="1822"/>
      <c r="O119" s="1822"/>
      <c r="P119" s="1822"/>
      <c r="Q119" s="1822"/>
      <c r="R119" s="1647"/>
      <c r="S119" s="1822"/>
      <c r="T119" s="1822"/>
      <c r="U119" s="1648"/>
      <c r="V119" s="1822"/>
      <c r="W119" s="1822"/>
      <c r="X119" s="1822"/>
      <c r="Y119" s="1822"/>
      <c r="Z119" s="1822"/>
      <c r="AA119" s="1649"/>
      <c r="AB119" s="1649"/>
      <c r="AC119" s="1649"/>
      <c r="AD119" s="1649"/>
      <c r="AE119" s="1649"/>
    </row>
    <row customHeight="1" ht="22.5">
      <c r="A120" s="3188" t="s">
        <v>589</v>
      </c>
      <c r="D120" s="2553"/>
      <c r="E120" s="1458" t="str">
        <f>FHD_NUM_P_78</f>
        <v>15</v>
      </c>
      <c r="F120" s="2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793" t="s">
        <v>552</v>
      </c>
      <c r="H120" s="1489"/>
      <c r="I120" s="1489"/>
      <c r="J120" s="1201" t="str">
        <f>FHD_NOTE_P_78</f>
        <v/>
      </c>
      <c r="K120" s="1455"/>
    </row>
    <row s="40255" customFormat="1" customHeight="1" ht="0.75">
      <c r="A121" s="3188"/>
      <c r="D121" s="1460"/>
      <c r="E121" s="1926" t="str">
        <f>E120&amp;".0"</f>
        <v>15.0</v>
      </c>
      <c r="F121" s="1910"/>
      <c r="G121" s="2566"/>
      <c r="H121" s="1905"/>
      <c r="I121" s="1905"/>
      <c r="J121" s="1909"/>
    </row>
    <row customHeight="1" ht="15">
      <c r="A122" s="3188"/>
      <c r="D122" s="2548"/>
      <c r="E122" s="1482"/>
      <c r="F122" s="2082" t="s">
        <v>578</v>
      </c>
      <c r="G122" s="1484"/>
      <c r="H122" s="1485"/>
      <c r="I122" s="1485"/>
      <c r="J122" s="1917" t="s">
        <v>590</v>
      </c>
      <c r="K122" s="1455"/>
    </row>
    <row customHeight="1" ht="22.5">
      <c r="A123" s="3188"/>
      <c r="D123" s="2553"/>
      <c r="E123" s="1458" t="str">
        <f>FHD_NUM_P_79</f>
        <v>16</v>
      </c>
      <c r="F123" s="2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794" t="s">
        <v>554</v>
      </c>
      <c r="H123" s="1489"/>
      <c r="I123" s="1489"/>
      <c r="J123" s="12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455"/>
    </row>
    <row s="40255" customFormat="1" customHeight="1" ht="0.75">
      <c r="A124" s="3188"/>
      <c r="D124" s="1460"/>
      <c r="E124" s="1926" t="str">
        <f>E123&amp;".0"</f>
        <v>16.0</v>
      </c>
      <c r="F124" s="1911"/>
      <c r="G124" s="2566"/>
      <c r="H124" s="1905"/>
      <c r="I124" s="1905"/>
      <c r="J124" s="1909"/>
    </row>
    <row customHeight="1" ht="15">
      <c r="A125" s="3188"/>
      <c r="D125" s="2548"/>
      <c r="E125" s="1482"/>
      <c r="F125" s="2082" t="s">
        <v>578</v>
      </c>
      <c r="G125" s="1484"/>
      <c r="H125" s="1485"/>
      <c r="I125" s="1485"/>
      <c r="J125" s="1917" t="s">
        <v>591</v>
      </c>
      <c r="K125" s="1455"/>
    </row>
    <row customHeight="1" ht="22.5">
      <c r="A126" s="3188"/>
      <c r="D126" s="2553"/>
      <c r="E126" s="1458" t="str">
        <f>FHD_NUM_P_80</f>
        <v>17</v>
      </c>
      <c r="F126" s="2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794" t="s">
        <v>592</v>
      </c>
      <c r="H126" s="1469"/>
      <c r="I126" s="1469"/>
      <c r="J126" s="1201" t="str">
        <f>FHD_NOTE_P_80</f>
        <v>Регулируемыми организациями указывается информация с по договорам, заключенным в рамках осуществления регулируемой деятельности.</v>
      </c>
      <c r="K126" s="1455"/>
    </row>
    <row customHeight="1" ht="18.75">
      <c r="A127" s="3188"/>
      <c r="D127" s="2553"/>
      <c r="E127" s="1458" t="str">
        <f>FHD_NUM_P_81</f>
        <v>18</v>
      </c>
      <c r="F127" s="2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794" t="s">
        <v>593</v>
      </c>
      <c r="H127" s="1469"/>
      <c r="I127" s="1469"/>
      <c r="J127" s="1201" t="str">
        <f>FHD_NOTE_P_81</f>
        <v>Регулируемыми организациями указывается информация с по договорам, заключенным в рамках осуществления регулируемой деятельности.</v>
      </c>
      <c r="K127" s="1455"/>
    </row>
    <row customHeight="1" ht="18.75">
      <c r="A128" s="3188"/>
      <c r="C128" s="2551" t="s">
        <v>580</v>
      </c>
      <c r="D128" s="2553"/>
      <c r="E128" s="1458" t="str">
        <f>FHD_NUM_P_82</f>
        <v>19</v>
      </c>
      <c r="F128" s="2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794" t="s">
        <v>297</v>
      </c>
      <c r="H128" s="1313"/>
      <c r="I128" s="1313"/>
      <c r="J128" s="1201" t="str">
        <f>FHD_NOTE_P_82</f>
        <v>Указывается ссылка на документ, предварительно загруженный в хранилище файлов ФГИС ЕИАС.</v>
      </c>
      <c r="K128" s="1455"/>
    </row>
    <row customHeight="1" ht="18.75">
      <c r="A129" s="3188"/>
      <c r="C129" s="2551" t="s">
        <v>580</v>
      </c>
      <c r="D129" s="2553"/>
      <c r="E129" s="1458" t="str">
        <f>FHD_NUM_P_83</f>
        <v>19.1</v>
      </c>
      <c r="F129" s="2439" t="str">
        <f>FHD_P_83</f>
        <v>Информация о показателях физического износа объектов теплоснабжения</v>
      </c>
      <c r="G129" s="2794" t="s">
        <v>297</v>
      </c>
      <c r="H129" s="1313"/>
      <c r="I129" s="1313"/>
      <c r="J129" s="1201" t="str">
        <f>FHD_NOTE_P_83</f>
        <v>Указывается ссылка на документ, предварительно загруженный в хранилище файлов ФГИС ЕИАС.</v>
      </c>
      <c r="K129" s="1455"/>
    </row>
    <row customHeight="1" ht="18.75">
      <c r="A130" s="3188"/>
      <c r="C130" s="2551" t="s">
        <v>580</v>
      </c>
      <c r="D130" s="2553"/>
      <c r="E130" s="1458" t="str">
        <f>FHD_NUM_P_84</f>
        <v>19.2</v>
      </c>
      <c r="F130" s="2439" t="str">
        <f>FHD_P_84</f>
        <v>Информация о показателях энергетической эффективности объектов теплоснабжения</v>
      </c>
      <c r="G130" s="2794" t="s">
        <v>297</v>
      </c>
      <c r="H130" s="1313"/>
      <c r="I130" s="1313"/>
      <c r="J130" s="1201" t="str">
        <f>FHD_NOTE_P_84</f>
        <v>Указывается ссылка на документ, предварительно загруженный в хранилище файлов ФГИС ЕИАС.</v>
      </c>
      <c r="K130" s="1455"/>
    </row>
    <row customHeight="1" ht="11.25">
      <c r="D131" s="2553"/>
    </row>
    <row customHeight="1" ht="12.75">
      <c r="D132" s="2553"/>
      <c r="E132" s="1248"/>
      <c r="F132" s="1281"/>
      <c r="G132" s="1281"/>
      <c r="H132" s="1281"/>
      <c r="I132" s="2562"/>
      <c r="J132" s="1493"/>
    </row>
    <row s="40252" customFormat="1" customHeight="1" ht="11.25">
      <c r="A133" s="1900"/>
      <c r="B133" s="2551"/>
      <c r="C133" s="2551"/>
      <c r="D133" s="1263"/>
      <c r="F133" s="2555"/>
      <c r="G133" s="2546"/>
      <c r="H133" s="2546"/>
      <c r="I133" s="2546"/>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252"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252"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252" customFormat="1" customHeight="1" ht="11.25">
      <c r="A136" s="1900"/>
      <c r="B136" s="2551"/>
      <c r="C136" s="2551"/>
      <c r="D136" s="1263"/>
      <c r="H136" s="1478" t="str">
        <f>IF(H30-H31&lt;&gt;H72,"WARNING","")</f>
        <v/>
      </c>
      <c r="I136" s="1478" t="str">
        <f>IF(I30-I31&lt;&gt;I72,"WARNING","")</f>
        <v/>
      </c>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252"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252"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252"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252"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252"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252"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252"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252"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252"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252"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252"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252"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252"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252"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252"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252"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252"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252"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252"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252"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252"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252"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252"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252"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252"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252"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252"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252"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252"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252"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252"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252"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252"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252"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252"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252"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252"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252"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252"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252"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252"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252"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252"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252"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252"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252"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252"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252"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252"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252"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252"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252"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252"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252"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252"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252"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252"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252"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252"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s="40252" customFormat="1" customHeight="1" ht="11.25">
      <c r="A196" s="1900"/>
      <c r="B196" s="2551"/>
      <c r="C196" s="2551"/>
      <c r="D196" s="1263"/>
      <c r="K196" s="2074"/>
      <c r="L196" s="2551"/>
      <c r="M196" s="2551"/>
      <c r="N196" s="2074"/>
      <c r="O196" s="2074"/>
      <c r="P196" s="2074"/>
      <c r="Q196" s="2074"/>
      <c r="R196" s="2551"/>
      <c r="S196" s="2074"/>
      <c r="T196" s="2074"/>
      <c r="U196" s="1456"/>
      <c r="V196" s="2074"/>
      <c r="W196" s="2074"/>
      <c r="X196" s="2074"/>
      <c r="Y196" s="2074"/>
      <c r="Z196" s="2074"/>
      <c r="AA196" s="2547"/>
      <c r="AB196" s="1478"/>
      <c r="AC196" s="1478"/>
      <c r="AD196" s="1478"/>
      <c r="AE196" s="1478"/>
    </row>
    <row s="40252" customFormat="1" customHeight="1" ht="11.25">
      <c r="A197" s="1900"/>
      <c r="B197" s="2551"/>
      <c r="C197" s="2551"/>
      <c r="D197" s="1263"/>
      <c r="K197" s="2074"/>
      <c r="L197" s="2551"/>
      <c r="M197" s="2551"/>
      <c r="N197" s="2074"/>
      <c r="O197" s="2074"/>
      <c r="P197" s="2074"/>
      <c r="Q197" s="2074"/>
      <c r="R197" s="2551"/>
      <c r="S197" s="2074"/>
      <c r="T197" s="2074"/>
      <c r="U197" s="1456"/>
      <c r="V197" s="2074"/>
      <c r="W197" s="2074"/>
      <c r="X197" s="2074"/>
      <c r="Y197" s="2074"/>
      <c r="Z197" s="2074"/>
      <c r="AA197" s="2547"/>
      <c r="AB197" s="1478"/>
      <c r="AC197" s="1478"/>
      <c r="AD197" s="1478"/>
      <c r="AE197" s="1478"/>
    </row>
    <row s="40252" customFormat="1" customHeight="1" ht="11.25">
      <c r="A198" s="1900"/>
      <c r="B198" s="2551"/>
      <c r="C198" s="2551"/>
      <c r="D198" s="1263"/>
      <c r="K198" s="2074"/>
      <c r="L198" s="2551"/>
      <c r="M198" s="2551"/>
      <c r="N198" s="2074"/>
      <c r="O198" s="2074"/>
      <c r="P198" s="2074"/>
      <c r="Q198" s="2074"/>
      <c r="R198" s="2551"/>
      <c r="S198" s="2074"/>
      <c r="T198" s="2074"/>
      <c r="U198" s="1456"/>
      <c r="V198" s="2074"/>
      <c r="W198" s="2074"/>
      <c r="X198" s="2074"/>
      <c r="Y198" s="2074"/>
      <c r="Z198" s="2074"/>
      <c r="AA198" s="2547"/>
      <c r="AB198" s="1478"/>
      <c r="AC198" s="1478"/>
      <c r="AD198" s="1478"/>
      <c r="AE198" s="1478"/>
    </row>
    <row s="40252" customFormat="1" customHeight="1" ht="11.25">
      <c r="A199" s="1900"/>
      <c r="B199" s="2551"/>
      <c r="C199" s="2551"/>
      <c r="D199" s="1263"/>
      <c r="K199" s="2074"/>
      <c r="L199" s="2551"/>
      <c r="M199" s="2551"/>
      <c r="N199" s="2074"/>
      <c r="O199" s="2074"/>
      <c r="P199" s="2074"/>
      <c r="Q199" s="2074"/>
      <c r="R199" s="2551"/>
      <c r="S199" s="2074"/>
      <c r="T199" s="2074"/>
      <c r="U199" s="1456"/>
      <c r="V199" s="2074"/>
      <c r="W199" s="2074"/>
      <c r="X199" s="2074"/>
      <c r="Y199" s="2074"/>
      <c r="Z199" s="2074"/>
      <c r="AA199" s="2547"/>
      <c r="AB199" s="1478"/>
      <c r="AC199" s="1478"/>
      <c r="AD199" s="1478"/>
      <c r="AE199" s="1478"/>
    </row>
    <row s="40252" customFormat="1" customHeight="1" ht="11.25">
      <c r="A200" s="1900"/>
      <c r="B200" s="2551"/>
      <c r="C200" s="2551"/>
      <c r="D200" s="1263"/>
      <c r="K200" s="2074"/>
      <c r="L200" s="2551"/>
      <c r="M200" s="2551"/>
      <c r="N200" s="2074"/>
      <c r="O200" s="2074"/>
      <c r="P200" s="2074"/>
      <c r="Q200" s="2074"/>
      <c r="R200" s="2551"/>
      <c r="S200" s="2074"/>
      <c r="T200" s="2074"/>
      <c r="U200" s="1456"/>
      <c r="V200" s="2074"/>
      <c r="W200" s="2074"/>
      <c r="X200" s="2074"/>
      <c r="Y200" s="2074"/>
      <c r="Z200" s="2074"/>
      <c r="AA200" s="2547"/>
      <c r="AB200" s="1478"/>
      <c r="AC200" s="1478"/>
      <c r="AD200" s="1478"/>
      <c r="AE200" s="1478"/>
    </row>
    <row s="40252" customFormat="1" customHeight="1" ht="11.25">
      <c r="A201" s="1900"/>
      <c r="B201" s="2551"/>
      <c r="C201" s="2551"/>
      <c r="D201" s="1263"/>
      <c r="K201" s="2074"/>
      <c r="L201" s="2551"/>
      <c r="M201" s="2551"/>
      <c r="N201" s="2074"/>
      <c r="O201" s="2074"/>
      <c r="P201" s="2074"/>
      <c r="Q201" s="2074"/>
      <c r="R201" s="2551"/>
      <c r="S201" s="2074"/>
      <c r="T201" s="2074"/>
      <c r="U201" s="1456"/>
      <c r="V201" s="2074"/>
      <c r="W201" s="2074"/>
      <c r="X201" s="2074"/>
      <c r="Y201" s="2074"/>
      <c r="Z201" s="2074"/>
      <c r="AA201" s="2547"/>
      <c r="AB201" s="1478"/>
      <c r="AC201" s="1478"/>
      <c r="AD201" s="1478"/>
      <c r="AE201" s="1478"/>
    </row>
    <row s="40252" customFormat="1" customHeight="1" ht="11.25">
      <c r="A202" s="1900"/>
      <c r="B202" s="2551"/>
      <c r="C202" s="2551"/>
      <c r="D202" s="1263"/>
      <c r="K202" s="2074"/>
      <c r="L202" s="2551"/>
      <c r="M202" s="2551"/>
      <c r="N202" s="2074"/>
      <c r="O202" s="2074"/>
      <c r="P202" s="2074"/>
      <c r="Q202" s="2074"/>
      <c r="R202" s="2551"/>
      <c r="S202" s="2074"/>
      <c r="T202" s="2074"/>
      <c r="U202" s="1456"/>
      <c r="V202" s="2074"/>
      <c r="W202" s="2074"/>
      <c r="X202" s="2074"/>
      <c r="Y202" s="2074"/>
      <c r="Z202" s="2074"/>
      <c r="AA202" s="2547"/>
      <c r="AB202" s="1478"/>
      <c r="AC202" s="1478"/>
      <c r="AD202" s="1478"/>
      <c r="AE202" s="1478"/>
    </row>
    <row s="40252" customFormat="1" customHeight="1" ht="11.25">
      <c r="A203" s="1900"/>
      <c r="B203" s="2551"/>
      <c r="C203" s="2551"/>
      <c r="D203" s="1263"/>
      <c r="K203" s="2074"/>
      <c r="L203" s="2551"/>
      <c r="M203" s="2551"/>
      <c r="N203" s="2074"/>
      <c r="O203" s="2074"/>
      <c r="P203" s="2074"/>
      <c r="Q203" s="2074"/>
      <c r="R203" s="2551"/>
      <c r="S203" s="2074"/>
      <c r="T203" s="2074"/>
      <c r="U203" s="1456"/>
      <c r="V203" s="2074"/>
      <c r="W203" s="2074"/>
      <c r="X203" s="2074"/>
      <c r="Y203" s="2074"/>
      <c r="Z203" s="2074"/>
      <c r="AA203" s="2547"/>
      <c r="AB203" s="1478"/>
      <c r="AC203" s="1478"/>
      <c r="AD203" s="1478"/>
      <c r="AE203" s="1478"/>
    </row>
    <row s="40252" customFormat="1" customHeight="1" ht="11.25">
      <c r="A204" s="1900"/>
      <c r="B204" s="2551"/>
      <c r="C204" s="2551"/>
      <c r="D204" s="1263"/>
      <c r="K204" s="2074"/>
      <c r="L204" s="2551"/>
      <c r="M204" s="2551"/>
      <c r="N204" s="2074"/>
      <c r="O204" s="2074"/>
      <c r="P204" s="2074"/>
      <c r="Q204" s="2074"/>
      <c r="R204" s="2551"/>
      <c r="S204" s="2074"/>
      <c r="T204" s="2074"/>
      <c r="U204" s="1456"/>
      <c r="V204" s="2074"/>
      <c r="W204" s="2074"/>
      <c r="X204" s="2074"/>
      <c r="Y204" s="2074"/>
      <c r="Z204" s="2074"/>
      <c r="AA204" s="2547"/>
      <c r="AB204" s="1478"/>
      <c r="AC204" s="1478"/>
      <c r="AD204" s="1478"/>
      <c r="AE204" s="1478"/>
    </row>
    <row s="40252" customFormat="1" customHeight="1" ht="11.25">
      <c r="A205" s="1900"/>
      <c r="B205" s="2551"/>
      <c r="C205" s="2551"/>
      <c r="D205" s="1263"/>
      <c r="K205" s="2074"/>
      <c r="L205" s="2551"/>
      <c r="M205" s="2551"/>
      <c r="N205" s="2074"/>
      <c r="O205" s="2074"/>
      <c r="P205" s="2074"/>
      <c r="Q205" s="2074"/>
      <c r="R205" s="2551"/>
      <c r="S205" s="2074"/>
      <c r="T205" s="2074"/>
      <c r="U205" s="1456"/>
      <c r="V205" s="2074"/>
      <c r="W205" s="2074"/>
      <c r="X205" s="2074"/>
      <c r="Y205" s="2074"/>
      <c r="Z205" s="2074"/>
      <c r="AA205" s="2547"/>
      <c r="AB205" s="1478"/>
      <c r="AC205" s="1478"/>
      <c r="AD205" s="1478"/>
      <c r="AE205" s="1478"/>
    </row>
    <row s="40252" customFormat="1" customHeight="1" ht="11.25">
      <c r="A206" s="1900"/>
      <c r="B206" s="2551"/>
      <c r="C206" s="2551"/>
      <c r="D206" s="1263"/>
      <c r="K206" s="2074"/>
      <c r="L206" s="2551"/>
      <c r="M206" s="2551"/>
      <c r="N206" s="2074"/>
      <c r="O206" s="2074"/>
      <c r="P206" s="2074"/>
      <c r="Q206" s="2074"/>
      <c r="R206" s="2551"/>
      <c r="S206" s="2074"/>
      <c r="T206" s="2074"/>
      <c r="U206" s="1456"/>
      <c r="V206" s="2074"/>
      <c r="W206" s="2074"/>
      <c r="X206" s="2074"/>
      <c r="Y206" s="2074"/>
      <c r="Z206" s="2074"/>
      <c r="AA206" s="2547"/>
      <c r="AB206" s="1478"/>
      <c r="AC206" s="1478"/>
      <c r="AD206" s="1478"/>
      <c r="AE206" s="1478"/>
    </row>
    <row s="40252" customFormat="1" customHeight="1" ht="11.25">
      <c r="A207" s="1900"/>
      <c r="B207" s="2551"/>
      <c r="C207" s="2551"/>
      <c r="D207" s="1263"/>
      <c r="K207" s="2074"/>
      <c r="L207" s="2551"/>
      <c r="M207" s="2551"/>
      <c r="N207" s="2074"/>
      <c r="O207" s="2074"/>
      <c r="P207" s="2074"/>
      <c r="Q207" s="2074"/>
      <c r="R207" s="2551"/>
      <c r="S207" s="2074"/>
      <c r="T207" s="2074"/>
      <c r="U207" s="1456"/>
      <c r="V207" s="2074"/>
      <c r="W207" s="2074"/>
      <c r="X207" s="2074"/>
      <c r="Y207" s="2074"/>
      <c r="Z207" s="2074"/>
      <c r="AA207" s="2547"/>
      <c r="AB207" s="1478"/>
      <c r="AC207" s="1478"/>
      <c r="AD207" s="1478"/>
      <c r="AE207" s="1478"/>
    </row>
    <row s="40252" customFormat="1" customHeight="1" ht="11.25">
      <c r="A208" s="1900"/>
      <c r="B208" s="2551"/>
      <c r="C208" s="2551"/>
      <c r="D208" s="1263"/>
      <c r="K208" s="2074"/>
      <c r="L208" s="2551"/>
      <c r="M208" s="2551"/>
      <c r="N208" s="2074"/>
      <c r="O208" s="2074"/>
      <c r="P208" s="2074"/>
      <c r="Q208" s="2074"/>
      <c r="R208" s="2551"/>
      <c r="S208" s="2074"/>
      <c r="T208" s="2074"/>
      <c r="U208" s="1456"/>
      <c r="V208" s="2074"/>
      <c r="W208" s="2074"/>
      <c r="X208" s="2074"/>
      <c r="Y208" s="2074"/>
      <c r="Z208" s="2074"/>
      <c r="AA208" s="2547"/>
      <c r="AB208" s="1478"/>
      <c r="AC208" s="1478"/>
      <c r="AD208" s="1478"/>
      <c r="AE208" s="1478"/>
    </row>
    <row s="40252" customFormat="1" customHeight="1" ht="11.25">
      <c r="A209" s="1900"/>
      <c r="B209" s="2551"/>
      <c r="C209" s="2551"/>
      <c r="D209" s="1263"/>
      <c r="K209" s="2074"/>
      <c r="L209" s="2551"/>
      <c r="M209" s="2551"/>
      <c r="N209" s="2074"/>
      <c r="O209" s="2074"/>
      <c r="P209" s="2074"/>
      <c r="Q209" s="2074"/>
      <c r="R209" s="2551"/>
      <c r="S209" s="2074"/>
      <c r="T209" s="2074"/>
      <c r="U209" s="1456"/>
      <c r="V209" s="2074"/>
      <c r="W209" s="2074"/>
      <c r="X209" s="2074"/>
      <c r="Y209" s="2074"/>
      <c r="Z209" s="2074"/>
      <c r="AA209" s="2547"/>
      <c r="AB209" s="1478"/>
      <c r="AC209" s="1478"/>
      <c r="AD209" s="1478"/>
      <c r="AE209" s="1478"/>
    </row>
    <row s="40252" customFormat="1" customHeight="1" ht="11.25">
      <c r="A210" s="1900"/>
      <c r="B210" s="2551"/>
      <c r="C210" s="2551"/>
      <c r="D210" s="1263"/>
      <c r="K210" s="2074"/>
      <c r="L210" s="2551"/>
      <c r="M210" s="2551"/>
      <c r="N210" s="2074"/>
      <c r="O210" s="2074"/>
      <c r="P210" s="2074"/>
      <c r="Q210" s="2074"/>
      <c r="R210" s="2551"/>
      <c r="S210" s="2074"/>
      <c r="T210" s="2074"/>
      <c r="U210" s="1456"/>
      <c r="V210" s="2074"/>
      <c r="W210" s="2074"/>
      <c r="X210" s="2074"/>
      <c r="Y210" s="2074"/>
      <c r="Z210" s="2074"/>
      <c r="AA210" s="2547"/>
      <c r="AB210" s="1478"/>
      <c r="AC210" s="1478"/>
      <c r="AD210" s="1478"/>
      <c r="AE210" s="1478"/>
    </row>
    <row s="40252" customFormat="1" customHeight="1" ht="11.25">
      <c r="A211" s="1900"/>
      <c r="B211" s="2551"/>
      <c r="C211" s="2551"/>
      <c r="D211" s="1263"/>
      <c r="K211" s="2074"/>
      <c r="L211" s="2551"/>
      <c r="M211" s="2551"/>
      <c r="N211" s="2074"/>
      <c r="O211" s="2074"/>
      <c r="P211" s="2074"/>
      <c r="Q211" s="2074"/>
      <c r="R211" s="2551"/>
      <c r="S211" s="2074"/>
      <c r="T211" s="2074"/>
      <c r="U211" s="1456"/>
      <c r="V211" s="2074"/>
      <c r="W211" s="2074"/>
      <c r="X211" s="2074"/>
      <c r="Y211" s="2074"/>
      <c r="Z211" s="2074"/>
      <c r="AA211" s="2547"/>
      <c r="AB211" s="1478"/>
      <c r="AC211" s="1478"/>
      <c r="AD211" s="1478"/>
      <c r="AE211" s="1478"/>
    </row>
    <row s="40252" customFormat="1" customHeight="1" ht="11.25">
      <c r="A212" s="1900"/>
      <c r="B212" s="2551"/>
      <c r="C212" s="2551"/>
      <c r="D212" s="1263"/>
      <c r="K212" s="2074"/>
      <c r="L212" s="2551"/>
      <c r="M212" s="2551"/>
      <c r="N212" s="2074"/>
      <c r="O212" s="2074"/>
      <c r="P212" s="2074"/>
      <c r="Q212" s="2074"/>
      <c r="R212" s="2551"/>
      <c r="S212" s="2074"/>
      <c r="T212" s="2074"/>
      <c r="U212" s="1456"/>
      <c r="V212" s="2074"/>
      <c r="W212" s="2074"/>
      <c r="X212" s="2074"/>
      <c r="Y212" s="2074"/>
      <c r="Z212" s="2074"/>
      <c r="AA212" s="2547"/>
      <c r="AB212" s="1478"/>
      <c r="AC212" s="1478"/>
      <c r="AD212" s="1478"/>
      <c r="AE212" s="1478"/>
    </row>
    <row s="40252" customFormat="1" customHeight="1" ht="11.25">
      <c r="A213" s="1900"/>
      <c r="B213" s="2551"/>
      <c r="C213" s="2551"/>
      <c r="D213" s="1263"/>
      <c r="K213" s="2074"/>
      <c r="L213" s="2551"/>
      <c r="M213" s="2551"/>
      <c r="N213" s="2074"/>
      <c r="O213" s="2074"/>
      <c r="P213" s="2074"/>
      <c r="Q213" s="2074"/>
      <c r="R213" s="2551"/>
      <c r="S213" s="2074"/>
      <c r="T213" s="2074"/>
      <c r="U213" s="1456"/>
      <c r="V213" s="2074"/>
      <c r="W213" s="2074"/>
      <c r="X213" s="2074"/>
      <c r="Y213" s="2074"/>
      <c r="Z213" s="2074"/>
      <c r="AA213" s="2547"/>
      <c r="AB213" s="1478"/>
      <c r="AC213" s="1478"/>
      <c r="AD213" s="1478"/>
      <c r="AE213" s="1478"/>
    </row>
    <row s="40252" customFormat="1" customHeight="1" ht="11.25">
      <c r="A214" s="1900"/>
      <c r="B214" s="2551"/>
      <c r="C214" s="2551"/>
      <c r="D214" s="1263"/>
      <c r="K214" s="2074"/>
      <c r="L214" s="2551"/>
      <c r="M214" s="2551"/>
      <c r="N214" s="2074"/>
      <c r="O214" s="2074"/>
      <c r="P214" s="2074"/>
      <c r="Q214" s="2074"/>
      <c r="R214" s="2551"/>
      <c r="S214" s="2074"/>
      <c r="T214" s="2074"/>
      <c r="U214" s="1456"/>
      <c r="V214" s="2074"/>
      <c r="W214" s="2074"/>
      <c r="X214" s="2074"/>
      <c r="Y214" s="2074"/>
      <c r="Z214" s="2074"/>
      <c r="AA214" s="2547"/>
      <c r="AB214" s="1478"/>
      <c r="AC214" s="1478"/>
      <c r="AD214" s="1478"/>
      <c r="AE214" s="1478"/>
    </row>
    <row s="40252" customFormat="1" customHeight="1" ht="11.25">
      <c r="A215" s="1900"/>
      <c r="B215" s="2551"/>
      <c r="C215" s="2551"/>
      <c r="D215" s="1263"/>
      <c r="K215" s="2074"/>
      <c r="L215" s="2551"/>
      <c r="M215" s="2551"/>
      <c r="N215" s="2074"/>
      <c r="O215" s="2074"/>
      <c r="P215" s="2074"/>
      <c r="Q215" s="2074"/>
      <c r="R215" s="2551"/>
      <c r="S215" s="2074"/>
      <c r="T215" s="2074"/>
      <c r="U215" s="1456"/>
      <c r="V215" s="2074"/>
      <c r="W215" s="2074"/>
      <c r="X215" s="2074"/>
      <c r="Y215" s="2074"/>
      <c r="Z215" s="2074"/>
      <c r="AA215" s="2547"/>
      <c r="AB215" s="1478"/>
      <c r="AC215" s="1478"/>
      <c r="AD215" s="1478"/>
      <c r="AE215" s="1478"/>
    </row>
    <row s="40252" customFormat="1" customHeight="1" ht="11.25">
      <c r="A216" s="1900"/>
      <c r="B216" s="2551"/>
      <c r="C216" s="2551"/>
      <c r="D216" s="1263"/>
      <c r="K216" s="2074"/>
      <c r="L216" s="2551"/>
      <c r="M216" s="2551"/>
      <c r="N216" s="2074"/>
      <c r="O216" s="2074"/>
      <c r="P216" s="2074"/>
      <c r="Q216" s="2074"/>
      <c r="R216" s="2551"/>
      <c r="S216" s="2074"/>
      <c r="T216" s="2074"/>
      <c r="U216" s="1456"/>
      <c r="V216" s="2074"/>
      <c r="W216" s="2074"/>
      <c r="X216" s="2074"/>
      <c r="Y216" s="2074"/>
      <c r="Z216" s="2074"/>
      <c r="AA216" s="2547"/>
      <c r="AB216" s="1478"/>
      <c r="AC216" s="1478"/>
      <c r="AD216" s="1478"/>
      <c r="AE216" s="1478"/>
    </row>
    <row s="40252" customFormat="1" customHeight="1" ht="11.25">
      <c r="A217" s="1900"/>
      <c r="B217" s="2551"/>
      <c r="C217" s="2551"/>
      <c r="D217" s="1263"/>
      <c r="K217" s="2074"/>
      <c r="L217" s="2551"/>
      <c r="M217" s="2551"/>
      <c r="N217" s="2074"/>
      <c r="O217" s="2074"/>
      <c r="P217" s="2074"/>
      <c r="Q217" s="2074"/>
      <c r="R217" s="2551"/>
      <c r="S217" s="2074"/>
      <c r="T217" s="2074"/>
      <c r="U217" s="1456"/>
      <c r="V217" s="2074"/>
      <c r="W217" s="2074"/>
      <c r="X217" s="2074"/>
      <c r="Y217" s="2074"/>
      <c r="Z217" s="2074"/>
      <c r="AA217" s="2547"/>
      <c r="AB217" s="1478"/>
      <c r="AC217" s="1478"/>
      <c r="AD217" s="1478"/>
      <c r="AE217" s="1478"/>
    </row>
    <row s="40252" customFormat="1" customHeight="1" ht="11.25">
      <c r="A218" s="1900"/>
      <c r="B218" s="2551"/>
      <c r="C218" s="2551"/>
      <c r="D218" s="1263"/>
      <c r="K218" s="2074"/>
      <c r="L218" s="2551"/>
      <c r="M218" s="2551"/>
      <c r="N218" s="2074"/>
      <c r="O218" s="2074"/>
      <c r="P218" s="2074"/>
      <c r="Q218" s="2074"/>
      <c r="R218" s="2551"/>
      <c r="S218" s="2074"/>
      <c r="T218" s="2074"/>
      <c r="U218" s="1456"/>
      <c r="V218" s="2074"/>
      <c r="W218" s="2074"/>
      <c r="X218" s="2074"/>
      <c r="Y218" s="2074"/>
      <c r="Z218" s="2074"/>
      <c r="AA218" s="2547"/>
      <c r="AB218" s="1478"/>
      <c r="AC218" s="1478"/>
      <c r="AD218" s="1478"/>
      <c r="AE218" s="1478"/>
    </row>
    <row s="40252" customFormat="1" customHeight="1" ht="11.25">
      <c r="A219" s="1900"/>
      <c r="B219" s="2551"/>
      <c r="C219" s="2551"/>
      <c r="D219" s="1263"/>
      <c r="K219" s="2074"/>
      <c r="L219" s="2551"/>
      <c r="M219" s="2551"/>
      <c r="N219" s="2074"/>
      <c r="O219" s="2074"/>
      <c r="P219" s="2074"/>
      <c r="Q219" s="2074"/>
      <c r="R219" s="2551"/>
      <c r="S219" s="2074"/>
      <c r="T219" s="2074"/>
      <c r="U219" s="1456"/>
      <c r="V219" s="2074"/>
      <c r="W219" s="2074"/>
      <c r="X219" s="2074"/>
      <c r="Y219" s="2074"/>
      <c r="Z219" s="2074"/>
      <c r="AA219" s="2547"/>
      <c r="AB219" s="1478"/>
      <c r="AC219" s="1478"/>
      <c r="AD219" s="1478"/>
      <c r="AE219" s="1478"/>
    </row>
    <row s="40252" customFormat="1" customHeight="1" ht="11.25">
      <c r="A220" s="1900"/>
      <c r="B220" s="2551"/>
      <c r="C220" s="2551"/>
      <c r="D220" s="1263"/>
      <c r="K220" s="2074"/>
      <c r="L220" s="2551"/>
      <c r="M220" s="2551"/>
      <c r="N220" s="2074"/>
      <c r="O220" s="2074"/>
      <c r="P220" s="2074"/>
      <c r="Q220" s="2074"/>
      <c r="R220" s="2551"/>
      <c r="S220" s="2074"/>
      <c r="T220" s="2074"/>
      <c r="U220" s="1456"/>
      <c r="V220" s="2074"/>
      <c r="W220" s="2074"/>
      <c r="X220" s="2074"/>
      <c r="Y220" s="2074"/>
      <c r="Z220" s="2074"/>
      <c r="AA220" s="2547"/>
      <c r="AB220" s="1478"/>
      <c r="AC220" s="1478"/>
      <c r="AD220" s="1478"/>
      <c r="AE220" s="1478"/>
    </row>
    <row s="40252" customFormat="1" customHeight="1" ht="11.25">
      <c r="A221" s="1900"/>
      <c r="B221" s="2551"/>
      <c r="C221" s="2551"/>
      <c r="D221" s="1263"/>
      <c r="K221" s="2074"/>
      <c r="L221" s="2551"/>
      <c r="M221" s="2551"/>
      <c r="N221" s="2074"/>
      <c r="O221" s="2074"/>
      <c r="P221" s="2074"/>
      <c r="Q221" s="2074"/>
      <c r="R221" s="2551"/>
      <c r="S221" s="2074"/>
      <c r="T221" s="2074"/>
      <c r="U221" s="1456"/>
      <c r="V221" s="2074"/>
      <c r="W221" s="2074"/>
      <c r="X221" s="2074"/>
      <c r="Y221" s="2074"/>
      <c r="Z221" s="2074"/>
      <c r="AA221" s="2547"/>
      <c r="AB221" s="1478"/>
      <c r="AC221" s="1478"/>
      <c r="AD221" s="1478"/>
      <c r="AE221" s="1478"/>
    </row>
    <row s="40252" customFormat="1" customHeight="1" ht="11.25">
      <c r="A222" s="1900"/>
      <c r="B222" s="2551"/>
      <c r="C222" s="2551"/>
      <c r="D222" s="1263"/>
      <c r="K222" s="2074"/>
      <c r="L222" s="2551"/>
      <c r="M222" s="2551"/>
      <c r="N222" s="2074"/>
      <c r="O222" s="2074"/>
      <c r="P222" s="2074"/>
      <c r="Q222" s="2074"/>
      <c r="R222" s="2551"/>
      <c r="S222" s="2074"/>
      <c r="T222" s="2074"/>
      <c r="U222" s="1456"/>
      <c r="V222" s="2074"/>
      <c r="W222" s="2074"/>
      <c r="X222" s="2074"/>
      <c r="Y222" s="2074"/>
      <c r="Z222" s="2074"/>
      <c r="AA222" s="2547"/>
      <c r="AB222" s="1478"/>
      <c r="AC222" s="1478"/>
      <c r="AD222" s="1478"/>
      <c r="AE222" s="1478"/>
    </row>
    <row s="40252" customFormat="1" customHeight="1" ht="11.25">
      <c r="A223" s="1900"/>
      <c r="B223" s="2551"/>
      <c r="C223" s="2551"/>
      <c r="D223" s="1263"/>
      <c r="K223" s="2074"/>
      <c r="L223" s="2551"/>
      <c r="M223" s="2551"/>
      <c r="N223" s="2074"/>
      <c r="O223" s="2074"/>
      <c r="P223" s="2074"/>
      <c r="Q223" s="2074"/>
      <c r="R223" s="2551"/>
      <c r="S223" s="2074"/>
      <c r="T223" s="2074"/>
      <c r="U223" s="1456"/>
      <c r="V223" s="2074"/>
      <c r="W223" s="2074"/>
      <c r="X223" s="2074"/>
      <c r="Y223" s="2074"/>
      <c r="Z223" s="2074"/>
      <c r="AA223" s="2547"/>
      <c r="AB223" s="1478"/>
      <c r="AC223" s="1478"/>
      <c r="AD223" s="1478"/>
      <c r="AE223" s="1478"/>
    </row>
    <row s="40252" customFormat="1" customHeight="1" ht="11.25">
      <c r="A224" s="1900"/>
      <c r="B224" s="2551"/>
      <c r="C224" s="2551"/>
      <c r="D224" s="1263"/>
      <c r="K224" s="2074"/>
      <c r="L224" s="2551"/>
      <c r="M224" s="2551"/>
      <c r="N224" s="2074"/>
      <c r="O224" s="2074"/>
      <c r="P224" s="2074"/>
      <c r="Q224" s="2074"/>
      <c r="R224" s="2551"/>
      <c r="S224" s="2074"/>
      <c r="T224" s="2074"/>
      <c r="U224" s="1456"/>
      <c r="V224" s="2074"/>
      <c r="W224" s="2074"/>
      <c r="X224" s="2074"/>
      <c r="Y224" s="2074"/>
      <c r="Z224" s="2074"/>
      <c r="AA224" s="2547"/>
      <c r="AB224" s="1478"/>
      <c r="AC224" s="1478"/>
      <c r="AD224" s="1478"/>
      <c r="AE224" s="1478"/>
    </row>
    <row s="40252" customFormat="1" customHeight="1" ht="11.25">
      <c r="A225" s="1900"/>
      <c r="B225" s="2551"/>
      <c r="C225" s="2551"/>
      <c r="D225" s="1263"/>
      <c r="K225" s="2074"/>
      <c r="L225" s="2551"/>
      <c r="M225" s="2551"/>
      <c r="N225" s="2074"/>
      <c r="O225" s="2074"/>
      <c r="P225" s="2074"/>
      <c r="Q225" s="2074"/>
      <c r="R225" s="2551"/>
      <c r="S225" s="2074"/>
      <c r="T225" s="2074"/>
      <c r="U225" s="1456"/>
      <c r="V225" s="2074"/>
      <c r="W225" s="2074"/>
      <c r="X225" s="2074"/>
      <c r="Y225" s="2074"/>
      <c r="Z225" s="2074"/>
      <c r="AA225" s="2547"/>
      <c r="AB225" s="1478"/>
      <c r="AC225" s="1478"/>
      <c r="AD225" s="1478"/>
      <c r="AE225" s="1478"/>
    </row>
    <row s="40252" customFormat="1" customHeight="1" ht="11.25">
      <c r="A226" s="1900"/>
      <c r="B226" s="2551"/>
      <c r="C226" s="2551"/>
      <c r="D226" s="1263"/>
      <c r="K226" s="2074"/>
      <c r="L226" s="2551"/>
      <c r="M226" s="2551"/>
      <c r="N226" s="2074"/>
      <c r="O226" s="2074"/>
      <c r="P226" s="2074"/>
      <c r="Q226" s="2074"/>
      <c r="R226" s="2551"/>
      <c r="S226" s="2074"/>
      <c r="T226" s="2074"/>
      <c r="U226" s="1456"/>
      <c r="V226" s="2074"/>
      <c r="W226" s="2074"/>
      <c r="X226" s="2074"/>
      <c r="Y226" s="2074"/>
      <c r="Z226" s="2074"/>
      <c r="AA226" s="2547"/>
      <c r="AB226" s="1478"/>
      <c r="AC226" s="1478"/>
      <c r="AD226" s="1478"/>
      <c r="AE226" s="1478"/>
    </row>
    <row s="40252" customFormat="1" customHeight="1" ht="11.25">
      <c r="A227" s="1900"/>
      <c r="B227" s="2551"/>
      <c r="C227" s="2551"/>
      <c r="D227" s="1263"/>
      <c r="K227" s="2074"/>
      <c r="L227" s="2551"/>
      <c r="M227" s="2551"/>
      <c r="N227" s="2074"/>
      <c r="O227" s="2074"/>
      <c r="P227" s="2074"/>
      <c r="Q227" s="2074"/>
      <c r="R227" s="2551"/>
      <c r="S227" s="2074"/>
      <c r="T227" s="2074"/>
      <c r="U227" s="1456"/>
      <c r="V227" s="2074"/>
      <c r="W227" s="2074"/>
      <c r="X227" s="2074"/>
      <c r="Y227" s="2074"/>
      <c r="Z227" s="2074"/>
      <c r="AA227" s="2547"/>
      <c r="AB227" s="1478"/>
      <c r="AC227" s="1478"/>
      <c r="AD227" s="1478"/>
      <c r="AE227" s="1478"/>
    </row>
    <row s="40252" customFormat="1" customHeight="1" ht="11.25">
      <c r="A228" s="1900"/>
      <c r="B228" s="2551"/>
      <c r="C228" s="2551"/>
      <c r="D228" s="1263"/>
      <c r="K228" s="2074"/>
      <c r="L228" s="2551"/>
      <c r="M228" s="2551"/>
      <c r="N228" s="2074"/>
      <c r="O228" s="2074"/>
      <c r="P228" s="2074"/>
      <c r="Q228" s="2074"/>
      <c r="R228" s="2551"/>
      <c r="S228" s="2074"/>
      <c r="T228" s="2074"/>
      <c r="U228" s="1456"/>
      <c r="V228" s="2074"/>
      <c r="W228" s="2074"/>
      <c r="X228" s="2074"/>
      <c r="Y228" s="2074"/>
      <c r="Z228" s="2074"/>
      <c r="AA228" s="2547"/>
      <c r="AB228" s="1478"/>
      <c r="AC228" s="1478"/>
      <c r="AD228" s="1478"/>
      <c r="AE228" s="1478"/>
    </row>
    <row s="40252" customFormat="1" customHeight="1" ht="11.25">
      <c r="A229" s="1900"/>
      <c r="B229" s="2551"/>
      <c r="C229" s="2551"/>
      <c r="D229" s="1263"/>
      <c r="K229" s="2074"/>
      <c r="L229" s="2551"/>
      <c r="M229" s="2551"/>
      <c r="N229" s="2074"/>
      <c r="O229" s="2074"/>
      <c r="P229" s="2074"/>
      <c r="Q229" s="2074"/>
      <c r="R229" s="2551"/>
      <c r="S229" s="2074"/>
      <c r="T229" s="2074"/>
      <c r="U229" s="1456"/>
      <c r="V229" s="2074"/>
      <c r="W229" s="2074"/>
      <c r="X229" s="2074"/>
      <c r="Y229" s="2074"/>
      <c r="Z229" s="2074"/>
      <c r="AA229" s="2547"/>
      <c r="AB229" s="1478"/>
      <c r="AC229" s="1478"/>
      <c r="AD229" s="1478"/>
      <c r="AE229" s="1478"/>
    </row>
    <row s="40252" customFormat="1" customHeight="1" ht="11.25">
      <c r="A230" s="1900"/>
      <c r="B230" s="2551"/>
      <c r="C230" s="2551"/>
      <c r="D230" s="1263"/>
      <c r="K230" s="2074"/>
      <c r="L230" s="2551"/>
      <c r="M230" s="2551"/>
      <c r="N230" s="2074"/>
      <c r="O230" s="2074"/>
      <c r="P230" s="2074"/>
      <c r="Q230" s="2074"/>
      <c r="R230" s="2551"/>
      <c r="S230" s="2074"/>
      <c r="T230" s="2074"/>
      <c r="U230" s="1456"/>
      <c r="V230" s="2074"/>
      <c r="W230" s="2074"/>
      <c r="X230" s="2074"/>
      <c r="Y230" s="2074"/>
      <c r="Z230" s="2074"/>
      <c r="AA230" s="2547"/>
      <c r="AB230" s="1478"/>
      <c r="AC230" s="1478"/>
      <c r="AD230" s="1478"/>
      <c r="AE230" s="1478"/>
    </row>
    <row s="40252" customFormat="1" customHeight="1" ht="11.25">
      <c r="A231" s="1900"/>
      <c r="B231" s="2551"/>
      <c r="C231" s="2551"/>
      <c r="D231" s="1263"/>
      <c r="K231" s="2074"/>
      <c r="L231" s="2551"/>
      <c r="M231" s="2551"/>
      <c r="N231" s="2074"/>
      <c r="O231" s="2074"/>
      <c r="P231" s="2074"/>
      <c r="Q231" s="2074"/>
      <c r="R231" s="2551"/>
      <c r="S231" s="2074"/>
      <c r="T231" s="2074"/>
      <c r="U231" s="1456"/>
      <c r="V231" s="2074"/>
      <c r="W231" s="2074"/>
      <c r="X231" s="2074"/>
      <c r="Y231" s="2074"/>
      <c r="Z231" s="2074"/>
      <c r="AA231" s="2547"/>
      <c r="AB231" s="1478"/>
      <c r="AC231" s="1478"/>
      <c r="AD231" s="1478"/>
      <c r="AE231" s="1478"/>
    </row>
    <row s="40252" customFormat="1" customHeight="1" ht="11.25">
      <c r="A232" s="1900"/>
      <c r="B232" s="2551"/>
      <c r="C232" s="2551"/>
      <c r="D232" s="1263"/>
      <c r="K232" s="2074"/>
      <c r="L232" s="2551"/>
      <c r="M232" s="2551"/>
      <c r="N232" s="2074"/>
      <c r="O232" s="2074"/>
      <c r="P232" s="2074"/>
      <c r="Q232" s="2074"/>
      <c r="R232" s="2551"/>
      <c r="S232" s="2074"/>
      <c r="T232" s="2074"/>
      <c r="U232" s="1456"/>
      <c r="V232" s="2074"/>
      <c r="W232" s="2074"/>
      <c r="X232" s="2074"/>
      <c r="Y232" s="2074"/>
      <c r="Z232" s="2074"/>
      <c r="AA232" s="2547"/>
      <c r="AB232" s="1478"/>
      <c r="AC232" s="1478"/>
      <c r="AD232" s="1478"/>
      <c r="AE232" s="1478"/>
    </row>
    <row s="40252" customFormat="1" customHeight="1" ht="11.25">
      <c r="A233" s="1900"/>
      <c r="B233" s="2551"/>
      <c r="C233" s="2551"/>
      <c r="D233" s="1263"/>
      <c r="K233" s="2074"/>
      <c r="L233" s="2551"/>
      <c r="M233" s="2551"/>
      <c r="N233" s="2074"/>
      <c r="O233" s="2074"/>
      <c r="P233" s="2074"/>
      <c r="Q233" s="2074"/>
      <c r="R233" s="2551"/>
      <c r="S233" s="2074"/>
      <c r="T233" s="2074"/>
      <c r="U233" s="1456"/>
      <c r="V233" s="2074"/>
      <c r="W233" s="2074"/>
      <c r="X233" s="2074"/>
      <c r="Y233" s="2074"/>
      <c r="Z233" s="2074"/>
      <c r="AA233" s="2547"/>
      <c r="AB233" s="1478"/>
      <c r="AC233" s="1478"/>
      <c r="AD233" s="1478"/>
      <c r="AE233" s="1478"/>
    </row>
    <row s="40252" customFormat="1" customHeight="1" ht="11.25">
      <c r="A234" s="1900"/>
      <c r="B234" s="2551"/>
      <c r="C234" s="2551"/>
      <c r="D234" s="1263"/>
      <c r="K234" s="2074"/>
      <c r="L234" s="2551"/>
      <c r="M234" s="2551"/>
      <c r="N234" s="2074"/>
      <c r="O234" s="2074"/>
      <c r="P234" s="2074"/>
      <c r="Q234" s="2074"/>
      <c r="R234" s="2551"/>
      <c r="S234" s="2074"/>
      <c r="T234" s="2074"/>
      <c r="U234" s="1456"/>
      <c r="V234" s="2074"/>
      <c r="W234" s="2074"/>
      <c r="X234" s="2074"/>
      <c r="Y234" s="2074"/>
      <c r="Z234" s="2074"/>
      <c r="AA234" s="2547"/>
      <c r="AB234" s="1478"/>
      <c r="AC234" s="1478"/>
      <c r="AD234" s="1478"/>
      <c r="AE234" s="1478"/>
    </row>
    <row s="40252" customFormat="1" customHeight="1" ht="11.25">
      <c r="A235" s="1900"/>
      <c r="B235" s="2551"/>
      <c r="C235" s="2551"/>
      <c r="D235" s="1263"/>
      <c r="K235" s="2074"/>
      <c r="L235" s="2551"/>
      <c r="M235" s="2551"/>
      <c r="N235" s="2074"/>
      <c r="O235" s="2074"/>
      <c r="P235" s="2074"/>
      <c r="Q235" s="2074"/>
      <c r="R235" s="2551"/>
      <c r="S235" s="2074"/>
      <c r="T235" s="2074"/>
      <c r="U235" s="1456"/>
      <c r="V235" s="2074"/>
      <c r="W235" s="2074"/>
      <c r="X235" s="2074"/>
      <c r="Y235" s="2074"/>
      <c r="Z235" s="2074"/>
      <c r="AA235" s="2547"/>
      <c r="AB235" s="1478"/>
      <c r="AC235" s="1478"/>
      <c r="AD235" s="1478"/>
      <c r="AE235" s="1478"/>
    </row>
    <row s="40252" customFormat="1" customHeight="1" ht="11.25">
      <c r="A236" s="1900"/>
      <c r="B236" s="2551"/>
      <c r="C236" s="2551"/>
      <c r="D236" s="1263"/>
      <c r="K236" s="2074"/>
      <c r="L236" s="2551"/>
      <c r="M236" s="2551"/>
      <c r="N236" s="2074"/>
      <c r="O236" s="2074"/>
      <c r="P236" s="2074"/>
      <c r="Q236" s="2074"/>
      <c r="R236" s="2551"/>
      <c r="S236" s="2074"/>
      <c r="T236" s="2074"/>
      <c r="U236" s="1456"/>
      <c r="V236" s="2074"/>
      <c r="W236" s="2074"/>
      <c r="X236" s="2074"/>
      <c r="Y236" s="2074"/>
      <c r="Z236" s="2074"/>
      <c r="AA236" s="2547"/>
      <c r="AB236" s="1478"/>
      <c r="AC236" s="1478"/>
      <c r="AD236" s="1478"/>
      <c r="AE236" s="1478"/>
    </row>
    <row s="40252" customFormat="1" customHeight="1" ht="11.25">
      <c r="A237" s="1900"/>
      <c r="B237" s="2551"/>
      <c r="C237" s="2551"/>
      <c r="D237" s="1263"/>
      <c r="K237" s="2074"/>
      <c r="L237" s="2551"/>
      <c r="M237" s="2551"/>
      <c r="N237" s="2074"/>
      <c r="O237" s="2074"/>
      <c r="P237" s="2074"/>
      <c r="Q237" s="2074"/>
      <c r="R237" s="2551"/>
      <c r="S237" s="2074"/>
      <c r="T237" s="2074"/>
      <c r="U237" s="1456"/>
      <c r="V237" s="2074"/>
      <c r="W237" s="2074"/>
      <c r="X237" s="2074"/>
      <c r="Y237" s="2074"/>
      <c r="Z237" s="2074"/>
      <c r="AA237" s="2547"/>
      <c r="AB237" s="1478"/>
      <c r="AC237" s="1478"/>
      <c r="AD237" s="1478"/>
      <c r="AE237" s="1478"/>
    </row>
    <row s="40252" customFormat="1" customHeight="1" ht="11.25">
      <c r="A238" s="1900"/>
      <c r="B238" s="2551"/>
      <c r="C238" s="2551"/>
      <c r="D238" s="1263"/>
      <c r="K238" s="2074"/>
      <c r="L238" s="2551"/>
      <c r="M238" s="2551"/>
      <c r="N238" s="2074"/>
      <c r="O238" s="2074"/>
      <c r="P238" s="2074"/>
      <c r="Q238" s="2074"/>
      <c r="R238" s="2551"/>
      <c r="S238" s="2074"/>
      <c r="T238" s="2074"/>
      <c r="U238" s="1456"/>
      <c r="V238" s="2074"/>
      <c r="W238" s="2074"/>
      <c r="X238" s="2074"/>
      <c r="Y238" s="2074"/>
      <c r="Z238" s="2074"/>
      <c r="AA238" s="2547"/>
      <c r="AB238" s="1478"/>
      <c r="AC238" s="1478"/>
      <c r="AD238" s="1478"/>
      <c r="AE238" s="1478"/>
    </row>
    <row s="40252" customFormat="1" customHeight="1" ht="11.25">
      <c r="A239" s="1900"/>
      <c r="B239" s="2551"/>
      <c r="C239" s="2551"/>
      <c r="D239" s="1263"/>
      <c r="K239" s="2074"/>
      <c r="L239" s="2551"/>
      <c r="M239" s="2551"/>
      <c r="N239" s="2074"/>
      <c r="O239" s="2074"/>
      <c r="P239" s="2074"/>
      <c r="Q239" s="2074"/>
      <c r="R239" s="2551"/>
      <c r="S239" s="2074"/>
      <c r="T239" s="2074"/>
      <c r="U239" s="1456"/>
      <c r="V239" s="2074"/>
      <c r="W239" s="2074"/>
      <c r="X239" s="2074"/>
      <c r="Y239" s="2074"/>
      <c r="Z239" s="2074"/>
      <c r="AA239" s="2547"/>
      <c r="AB239" s="1478"/>
      <c r="AC239" s="1478"/>
      <c r="AD239" s="1478"/>
      <c r="AE239" s="1478"/>
    </row>
    <row s="40252" customFormat="1" customHeight="1" ht="11.25">
      <c r="A240" s="1900"/>
      <c r="B240" s="2551"/>
      <c r="C240" s="2551"/>
      <c r="D240" s="1263"/>
      <c r="K240" s="2074"/>
      <c r="L240" s="2551"/>
      <c r="M240" s="2551"/>
      <c r="N240" s="2074"/>
      <c r="O240" s="2074"/>
      <c r="P240" s="2074"/>
      <c r="Q240" s="2074"/>
      <c r="R240" s="2551"/>
      <c r="S240" s="2074"/>
      <c r="T240" s="2074"/>
      <c r="U240" s="1456"/>
      <c r="V240" s="2074"/>
      <c r="W240" s="2074"/>
      <c r="X240" s="2074"/>
      <c r="Y240" s="2074"/>
      <c r="Z240" s="2074"/>
      <c r="AA240" s="2547"/>
      <c r="AB240" s="1478"/>
      <c r="AC240" s="1478"/>
      <c r="AD240" s="1478"/>
      <c r="AE240" s="1478"/>
    </row>
    <row s="40252" customFormat="1" customHeight="1" ht="11.25">
      <c r="A241" s="1900"/>
      <c r="B241" s="2551"/>
      <c r="C241" s="2551"/>
      <c r="D241" s="1263"/>
      <c r="K241" s="2074"/>
      <c r="L241" s="2551"/>
      <c r="M241" s="2551"/>
      <c r="N241" s="2074"/>
      <c r="O241" s="2074"/>
      <c r="P241" s="2074"/>
      <c r="Q241" s="2074"/>
      <c r="R241" s="2551"/>
      <c r="S241" s="2074"/>
      <c r="T241" s="2074"/>
      <c r="U241" s="1456"/>
      <c r="V241" s="2074"/>
      <c r="W241" s="2074"/>
      <c r="X241" s="2074"/>
      <c r="Y241" s="2074"/>
      <c r="Z241" s="2074"/>
      <c r="AA241" s="2547"/>
      <c r="AB241" s="1478"/>
      <c r="AC241" s="1478"/>
      <c r="AD241" s="1478"/>
      <c r="AE241" s="1478"/>
    </row>
    <row s="40252" customFormat="1" customHeight="1" ht="11.25">
      <c r="A242" s="1900"/>
      <c r="B242" s="2551"/>
      <c r="C242" s="2551"/>
      <c r="D242" s="1263"/>
      <c r="K242" s="2074"/>
      <c r="L242" s="2551"/>
      <c r="M242" s="2551"/>
      <c r="N242" s="2074"/>
      <c r="O242" s="2074"/>
      <c r="P242" s="2074"/>
      <c r="Q242" s="2074"/>
      <c r="R242" s="2551"/>
      <c r="S242" s="2074"/>
      <c r="T242" s="2074"/>
      <c r="U242" s="1456"/>
      <c r="V242" s="2074"/>
      <c r="W242" s="2074"/>
      <c r="X242" s="2074"/>
      <c r="Y242" s="2074"/>
      <c r="Z242" s="2074"/>
      <c r="AA242" s="2547"/>
      <c r="AB242" s="1478"/>
      <c r="AC242" s="1478"/>
      <c r="AD242" s="1478"/>
      <c r="AE242" s="1478"/>
    </row>
    <row s="40252" customFormat="1" customHeight="1" ht="11.25">
      <c r="A243" s="1900"/>
      <c r="B243" s="2551"/>
      <c r="C243" s="2551"/>
      <c r="D243" s="1263"/>
      <c r="K243" s="2074"/>
      <c r="L243" s="2551"/>
      <c r="M243" s="2551"/>
      <c r="N243" s="2074"/>
      <c r="O243" s="2074"/>
      <c r="P243" s="2074"/>
      <c r="Q243" s="2074"/>
      <c r="R243" s="2551"/>
      <c r="S243" s="2074"/>
      <c r="T243" s="2074"/>
      <c r="U243" s="1456"/>
      <c r="V243" s="2074"/>
      <c r="W243" s="2074"/>
      <c r="X243" s="2074"/>
      <c r="Y243" s="2074"/>
      <c r="Z243" s="2074"/>
      <c r="AA243" s="2547"/>
      <c r="AB243" s="1478"/>
      <c r="AC243" s="1478"/>
      <c r="AD243" s="1478"/>
      <c r="AE243" s="1478"/>
    </row>
    <row s="40252" customFormat="1" customHeight="1" ht="11.25">
      <c r="A244" s="1900"/>
      <c r="B244" s="2551"/>
      <c r="C244" s="2551"/>
      <c r="D244" s="1263"/>
      <c r="K244" s="2074"/>
      <c r="L244" s="2551"/>
      <c r="M244" s="2551"/>
      <c r="N244" s="2074"/>
      <c r="O244" s="2074"/>
      <c r="P244" s="2074"/>
      <c r="Q244" s="2074"/>
      <c r="R244" s="2551"/>
      <c r="S244" s="2074"/>
      <c r="T244" s="2074"/>
      <c r="U244" s="1456"/>
      <c r="V244" s="2074"/>
      <c r="W244" s="2074"/>
      <c r="X244" s="2074"/>
      <c r="Y244" s="2074"/>
      <c r="Z244" s="2074"/>
      <c r="AA244" s="2547"/>
      <c r="AB244" s="1478"/>
      <c r="AC244" s="1478"/>
      <c r="AD244" s="1478"/>
      <c r="AE244" s="1478"/>
    </row>
    <row s="40252" customFormat="1" customHeight="1" ht="11.25">
      <c r="A245" s="1900"/>
      <c r="B245" s="2551"/>
      <c r="C245" s="2551"/>
      <c r="D245" s="1263"/>
      <c r="K245" s="2074"/>
      <c r="L245" s="2551"/>
      <c r="M245" s="2551"/>
      <c r="N245" s="2074"/>
      <c r="O245" s="2074"/>
      <c r="P245" s="2074"/>
      <c r="Q245" s="2074"/>
      <c r="R245" s="2551"/>
      <c r="S245" s="2074"/>
      <c r="T245" s="2074"/>
      <c r="U245" s="1456"/>
      <c r="V245" s="2074"/>
      <c r="W245" s="2074"/>
      <c r="X245" s="2074"/>
      <c r="Y245" s="2074"/>
      <c r="Z245" s="2074"/>
      <c r="AA245" s="2547"/>
      <c r="AB245" s="1478"/>
      <c r="AC245" s="1478"/>
      <c r="AD245" s="1478"/>
      <c r="AE245" s="1478"/>
    </row>
    <row s="40252" customFormat="1" customHeight="1" ht="11.25">
      <c r="A246" s="1900"/>
      <c r="B246" s="2551"/>
      <c r="C246" s="2551"/>
      <c r="D246" s="1263"/>
      <c r="K246" s="2074"/>
      <c r="L246" s="2551"/>
      <c r="M246" s="2551"/>
      <c r="N246" s="2074"/>
      <c r="O246" s="2074"/>
      <c r="P246" s="2074"/>
      <c r="Q246" s="2074"/>
      <c r="R246" s="2551"/>
      <c r="S246" s="2074"/>
      <c r="T246" s="2074"/>
      <c r="U246" s="1456"/>
      <c r="V246" s="2074"/>
      <c r="W246" s="2074"/>
      <c r="X246" s="2074"/>
      <c r="Y246" s="2074"/>
      <c r="Z246" s="2074"/>
      <c r="AA246" s="2547"/>
      <c r="AB246" s="1478"/>
      <c r="AC246" s="1478"/>
      <c r="AD246" s="1478"/>
      <c r="AE246" s="1478"/>
    </row>
    <row s="40252" customFormat="1" customHeight="1" ht="11.25">
      <c r="A247" s="1900"/>
      <c r="B247" s="2551"/>
      <c r="C247" s="2551"/>
      <c r="D247" s="1263"/>
      <c r="K247" s="2074"/>
      <c r="L247" s="2551"/>
      <c r="M247" s="2551"/>
      <c r="N247" s="2074"/>
      <c r="O247" s="2074"/>
      <c r="P247" s="2074"/>
      <c r="Q247" s="2074"/>
      <c r="R247" s="2551"/>
      <c r="S247" s="2074"/>
      <c r="T247" s="2074"/>
      <c r="U247" s="1456"/>
      <c r="V247" s="2074"/>
      <c r="W247" s="2074"/>
      <c r="X247" s="2074"/>
      <c r="Y247" s="2074"/>
      <c r="Z247" s="2074"/>
      <c r="AA247" s="2547"/>
      <c r="AB247" s="1478"/>
      <c r="AC247" s="1478"/>
      <c r="AD247" s="1478"/>
      <c r="AE247" s="1478"/>
    </row>
    <row s="40252" customFormat="1" customHeight="1" ht="11.25">
      <c r="A248" s="1900"/>
      <c r="B248" s="2551"/>
      <c r="C248" s="2551"/>
      <c r="D248" s="1263"/>
      <c r="K248" s="2074"/>
      <c r="L248" s="2551"/>
      <c r="M248" s="2551"/>
      <c r="N248" s="2074"/>
      <c r="O248" s="2074"/>
      <c r="P248" s="2074"/>
      <c r="Q248" s="2074"/>
      <c r="R248" s="2551"/>
      <c r="S248" s="2074"/>
      <c r="T248" s="2074"/>
      <c r="U248" s="1456"/>
      <c r="V248" s="2074"/>
      <c r="W248" s="2074"/>
      <c r="X248" s="2074"/>
      <c r="Y248" s="2074"/>
      <c r="Z248" s="2074"/>
      <c r="AA248" s="2547"/>
      <c r="AB248" s="1478"/>
      <c r="AC248" s="1478"/>
      <c r="AD248" s="1478"/>
      <c r="AE248" s="1478"/>
    </row>
    <row s="40252" customFormat="1" customHeight="1" ht="11.25">
      <c r="A249" s="1900"/>
      <c r="B249" s="2551"/>
      <c r="C249" s="2551"/>
      <c r="D249" s="1263"/>
      <c r="K249" s="2074"/>
      <c r="L249" s="2551"/>
      <c r="M249" s="2551"/>
      <c r="N249" s="2074"/>
      <c r="O249" s="2074"/>
      <c r="P249" s="2074"/>
      <c r="Q249" s="2074"/>
      <c r="R249" s="2551"/>
      <c r="S249" s="2074"/>
      <c r="T249" s="2074"/>
      <c r="U249" s="1456"/>
      <c r="V249" s="2074"/>
      <c r="W249" s="2074"/>
      <c r="X249" s="2074"/>
      <c r="Y249" s="2074"/>
      <c r="Z249" s="2074"/>
      <c r="AA249" s="2547"/>
      <c r="AB249" s="1478"/>
      <c r="AC249" s="1478"/>
      <c r="AD249" s="1478"/>
      <c r="AE249" s="1478"/>
    </row>
    <row s="40252" customFormat="1" customHeight="1" ht="11.25">
      <c r="A250" s="1900"/>
      <c r="B250" s="2551"/>
      <c r="C250" s="2551"/>
      <c r="D250" s="1263"/>
      <c r="K250" s="2074"/>
      <c r="L250" s="2551"/>
      <c r="M250" s="2551"/>
      <c r="N250" s="2074"/>
      <c r="O250" s="2074"/>
      <c r="P250" s="2074"/>
      <c r="Q250" s="2074"/>
      <c r="R250" s="2551"/>
      <c r="S250" s="2074"/>
      <c r="T250" s="2074"/>
      <c r="U250" s="1456"/>
      <c r="V250" s="2074"/>
      <c r="W250" s="2074"/>
      <c r="X250" s="2074"/>
      <c r="Y250" s="2074"/>
      <c r="Z250" s="2074"/>
      <c r="AA250" s="2547"/>
      <c r="AB250" s="1478"/>
      <c r="AC250" s="1478"/>
      <c r="AD250" s="1478"/>
      <c r="AE250" s="1478"/>
    </row>
    <row s="40252" customFormat="1" customHeight="1" ht="11.25">
      <c r="A251" s="1900"/>
      <c r="B251" s="2551"/>
      <c r="C251" s="2551"/>
      <c r="D251" s="1263"/>
      <c r="K251" s="2074"/>
      <c r="L251" s="2551"/>
      <c r="M251" s="2551"/>
      <c r="N251" s="2074"/>
      <c r="O251" s="2074"/>
      <c r="P251" s="2074"/>
      <c r="Q251" s="2074"/>
      <c r="R251" s="2551"/>
      <c r="S251" s="2074"/>
      <c r="T251" s="2074"/>
      <c r="U251" s="1456"/>
      <c r="V251" s="2074"/>
      <c r="W251" s="2074"/>
      <c r="X251" s="2074"/>
      <c r="Y251" s="2074"/>
      <c r="Z251" s="2074"/>
      <c r="AA251" s="2547"/>
      <c r="AB251" s="1478"/>
      <c r="AC251" s="1478"/>
      <c r="AD251" s="1478"/>
      <c r="AE251" s="1478"/>
    </row>
    <row s="40252" customFormat="1" customHeight="1" ht="11.25">
      <c r="A252" s="1900"/>
      <c r="B252" s="2551"/>
      <c r="C252" s="2551"/>
      <c r="D252" s="1263"/>
      <c r="K252" s="2074"/>
      <c r="L252" s="2551"/>
      <c r="M252" s="2551"/>
      <c r="N252" s="2074"/>
      <c r="O252" s="2074"/>
      <c r="P252" s="2074"/>
      <c r="Q252" s="2074"/>
      <c r="R252" s="2551"/>
      <c r="S252" s="2074"/>
      <c r="T252" s="2074"/>
      <c r="U252" s="1456"/>
      <c r="V252" s="2074"/>
      <c r="W252" s="2074"/>
      <c r="X252" s="2074"/>
      <c r="Y252" s="2074"/>
      <c r="Z252" s="2074"/>
      <c r="AA252" s="2547"/>
      <c r="AB252" s="1478"/>
      <c r="AC252" s="1478"/>
      <c r="AD252" s="1478"/>
      <c r="AE252" s="1478"/>
    </row>
    <row s="40252" customFormat="1" customHeight="1" ht="11.25">
      <c r="A253" s="1900"/>
      <c r="B253" s="2551"/>
      <c r="C253" s="2551"/>
      <c r="D253" s="1263"/>
      <c r="K253" s="2074"/>
      <c r="L253" s="2551"/>
      <c r="M253" s="2551"/>
      <c r="N253" s="2074"/>
      <c r="O253" s="2074"/>
      <c r="P253" s="2074"/>
      <c r="Q253" s="2074"/>
      <c r="R253" s="2551"/>
      <c r="S253" s="2074"/>
      <c r="T253" s="2074"/>
      <c r="U253" s="1456"/>
      <c r="V253" s="2074"/>
      <c r="W253" s="2074"/>
      <c r="X253" s="2074"/>
      <c r="Y253" s="2074"/>
      <c r="Z253" s="2074"/>
      <c r="AA253" s="2547"/>
      <c r="AB253" s="1478"/>
      <c r="AC253" s="1478"/>
      <c r="AD253" s="1478"/>
      <c r="AE253" s="1478"/>
    </row>
    <row s="40252" customFormat="1" customHeight="1" ht="11.25">
      <c r="A254" s="1900"/>
      <c r="B254" s="2551"/>
      <c r="C254" s="2551"/>
      <c r="D254" s="1263"/>
      <c r="K254" s="2074"/>
      <c r="L254" s="2551"/>
      <c r="M254" s="2551"/>
      <c r="N254" s="2074"/>
      <c r="O254" s="2074"/>
      <c r="P254" s="2074"/>
      <c r="Q254" s="2074"/>
      <c r="R254" s="2551"/>
      <c r="S254" s="2074"/>
      <c r="T254" s="2074"/>
      <c r="U254" s="1456"/>
      <c r="V254" s="2074"/>
      <c r="W254" s="2074"/>
      <c r="X254" s="2074"/>
      <c r="Y254" s="2074"/>
      <c r="Z254" s="2074"/>
      <c r="AA254" s="2547"/>
      <c r="AB254" s="1478"/>
      <c r="AC254" s="1478"/>
      <c r="AD254" s="1478"/>
      <c r="AE254" s="1478"/>
    </row>
    <row s="40252" customFormat="1" customHeight="1" ht="11.25">
      <c r="A255" s="1900"/>
      <c r="B255" s="2551"/>
      <c r="C255" s="2551"/>
      <c r="D255" s="1263"/>
      <c r="K255" s="2074"/>
      <c r="L255" s="2551"/>
      <c r="M255" s="2551"/>
      <c r="N255" s="2074"/>
      <c r="O255" s="2074"/>
      <c r="P255" s="2074"/>
      <c r="Q255" s="2074"/>
      <c r="R255" s="2551"/>
      <c r="S255" s="2074"/>
      <c r="T255" s="2074"/>
      <c r="U255" s="1456"/>
      <c r="V255" s="2074"/>
      <c r="W255" s="2074"/>
      <c r="X255" s="2074"/>
      <c r="Y255" s="2074"/>
      <c r="Z255" s="2074"/>
      <c r="AA255" s="2547"/>
      <c r="AB255" s="1478"/>
      <c r="AC255" s="1478"/>
      <c r="AD255" s="1478"/>
      <c r="AE255" s="1478"/>
    </row>
    <row s="40252" customFormat="1" customHeight="1" ht="11.25">
      <c r="A256" s="1900"/>
      <c r="B256" s="2551"/>
      <c r="C256" s="2551"/>
      <c r="D256" s="1263"/>
      <c r="K256" s="2074"/>
      <c r="L256" s="2551"/>
      <c r="M256" s="2551"/>
      <c r="N256" s="2074"/>
      <c r="O256" s="2074"/>
      <c r="P256" s="2074"/>
      <c r="Q256" s="2074"/>
      <c r="R256" s="2551"/>
      <c r="S256" s="2074"/>
      <c r="T256" s="2074"/>
      <c r="U256" s="1456"/>
      <c r="V256" s="2074"/>
      <c r="W256" s="2074"/>
      <c r="X256" s="2074"/>
      <c r="Y256" s="2074"/>
      <c r="Z256" s="2074"/>
      <c r="AA256" s="2547"/>
      <c r="AB256" s="1478"/>
      <c r="AC256" s="1478"/>
      <c r="AD256" s="1478"/>
      <c r="AE256" s="1478"/>
    </row>
    <row s="40252" customFormat="1" customHeight="1" ht="11.25">
      <c r="A257" s="1900"/>
      <c r="B257" s="2551"/>
      <c r="C257" s="2551"/>
      <c r="D257" s="1263"/>
      <c r="K257" s="2074"/>
      <c r="L257" s="2551"/>
      <c r="M257" s="2551"/>
      <c r="N257" s="2074"/>
      <c r="O257" s="2074"/>
      <c r="P257" s="2074"/>
      <c r="Q257" s="2074"/>
      <c r="R257" s="2551"/>
      <c r="S257" s="2074"/>
      <c r="T257" s="2074"/>
      <c r="U257" s="1456"/>
      <c r="V257" s="2074"/>
      <c r="W257" s="2074"/>
      <c r="X257" s="2074"/>
      <c r="Y257" s="2074"/>
      <c r="Z257" s="2074"/>
      <c r="AA257" s="2547"/>
      <c r="AB257" s="1478"/>
      <c r="AC257" s="1478"/>
      <c r="AD257" s="1478"/>
      <c r="AE257" s="1478"/>
    </row>
    <row s="40252" customFormat="1" customHeight="1" ht="11.25">
      <c r="A258" s="1900"/>
      <c r="B258" s="2551"/>
      <c r="C258" s="2551"/>
      <c r="D258" s="1263"/>
      <c r="K258" s="2074"/>
      <c r="L258" s="2551"/>
      <c r="M258" s="2551"/>
      <c r="N258" s="2074"/>
      <c r="O258" s="2074"/>
      <c r="P258" s="2074"/>
      <c r="Q258" s="2074"/>
      <c r="R258" s="2551"/>
      <c r="S258" s="2074"/>
      <c r="T258" s="2074"/>
      <c r="U258" s="1456"/>
      <c r="V258" s="2074"/>
      <c r="W258" s="2074"/>
      <c r="X258" s="2074"/>
      <c r="Y258" s="2074"/>
      <c r="Z258" s="2074"/>
      <c r="AA258" s="2547"/>
      <c r="AB258" s="1478"/>
      <c r="AC258" s="1478"/>
      <c r="AD258" s="1478"/>
      <c r="AE258" s="1478"/>
    </row>
    <row s="40252" customFormat="1" customHeight="1" ht="11.25">
      <c r="A259" s="1900"/>
      <c r="B259" s="2551"/>
      <c r="C259" s="2551"/>
      <c r="D259" s="1263"/>
      <c r="K259" s="2074"/>
      <c r="L259" s="2551"/>
      <c r="M259" s="2551"/>
      <c r="N259" s="2074"/>
      <c r="O259" s="2074"/>
      <c r="P259" s="2074"/>
      <c r="Q259" s="2074"/>
      <c r="R259" s="2551"/>
      <c r="S259" s="2074"/>
      <c r="T259" s="2074"/>
      <c r="U259" s="1456"/>
      <c r="V259" s="2074"/>
      <c r="W259" s="2074"/>
      <c r="X259" s="2074"/>
      <c r="Y259" s="2074"/>
      <c r="Z259" s="2074"/>
      <c r="AA259" s="2547"/>
      <c r="AB259" s="1478"/>
      <c r="AC259" s="1478"/>
      <c r="AD259" s="1478"/>
      <c r="AE259" s="1478"/>
    </row>
    <row s="40252" customFormat="1" customHeight="1" ht="11.25">
      <c r="A260" s="1900"/>
      <c r="B260" s="2551"/>
      <c r="C260" s="2551"/>
      <c r="D260" s="1263"/>
      <c r="K260" s="2074"/>
      <c r="L260" s="2551"/>
      <c r="M260" s="2551"/>
      <c r="N260" s="2074"/>
      <c r="O260" s="2074"/>
      <c r="P260" s="2074"/>
      <c r="Q260" s="2074"/>
      <c r="R260" s="2551"/>
      <c r="S260" s="2074"/>
      <c r="T260" s="2074"/>
      <c r="U260" s="1456"/>
      <c r="V260" s="2074"/>
      <c r="W260" s="2074"/>
      <c r="X260" s="2074"/>
      <c r="Y260" s="2074"/>
      <c r="Z260" s="2074"/>
      <c r="AA260" s="2547"/>
      <c r="AB260" s="1478"/>
      <c r="AC260" s="1478"/>
      <c r="AD260" s="1478"/>
      <c r="AE260" s="1478"/>
    </row>
    <row s="40252" customFormat="1" customHeight="1" ht="11.25">
      <c r="A261" s="1900"/>
      <c r="B261" s="2551"/>
      <c r="C261" s="2551"/>
      <c r="D261" s="1263"/>
      <c r="K261" s="2074"/>
      <c r="L261" s="2551"/>
      <c r="M261" s="2551"/>
      <c r="N261" s="2074"/>
      <c r="O261" s="2074"/>
      <c r="P261" s="2074"/>
      <c r="Q261" s="2074"/>
      <c r="R261" s="2551"/>
      <c r="S261" s="2074"/>
      <c r="T261" s="2074"/>
      <c r="U261" s="1456"/>
      <c r="V261" s="2074"/>
      <c r="W261" s="2074"/>
      <c r="X261" s="2074"/>
      <c r="Y261" s="2074"/>
      <c r="Z261" s="2074"/>
      <c r="AA261" s="2547"/>
      <c r="AB261" s="1478"/>
      <c r="AC261" s="1478"/>
      <c r="AD261" s="1478"/>
      <c r="AE261" s="1478"/>
    </row>
    <row s="40252" customFormat="1" customHeight="1" ht="11.25">
      <c r="A262" s="1900"/>
      <c r="B262" s="2551"/>
      <c r="C262" s="2551"/>
      <c r="D262" s="1263"/>
      <c r="K262" s="2074"/>
      <c r="L262" s="2551"/>
      <c r="M262" s="2551"/>
      <c r="N262" s="2074"/>
      <c r="O262" s="2074"/>
      <c r="P262" s="2074"/>
      <c r="Q262" s="2074"/>
      <c r="R262" s="2551"/>
      <c r="S262" s="2074"/>
      <c r="T262" s="2074"/>
      <c r="U262" s="1456"/>
      <c r="V262" s="2074"/>
      <c r="W262" s="2074"/>
      <c r="X262" s="2074"/>
      <c r="Y262" s="2074"/>
      <c r="Z262" s="2074"/>
      <c r="AA262" s="2547"/>
      <c r="AB262" s="1478"/>
      <c r="AC262" s="1478"/>
      <c r="AD262" s="1478"/>
      <c r="AE262" s="1478"/>
    </row>
    <row s="40252" customFormat="1" customHeight="1" ht="11.25">
      <c r="A263" s="1900"/>
      <c r="B263" s="2551"/>
      <c r="C263" s="2551"/>
      <c r="D263" s="1263"/>
      <c r="K263" s="2074"/>
      <c r="L263" s="2551"/>
      <c r="M263" s="2551"/>
      <c r="N263" s="2074"/>
      <c r="O263" s="2074"/>
      <c r="P263" s="2074"/>
      <c r="Q263" s="2074"/>
      <c r="R263" s="2551"/>
      <c r="S263" s="2074"/>
      <c r="T263" s="2074"/>
      <c r="U263" s="1456"/>
      <c r="V263" s="2074"/>
      <c r="W263" s="2074"/>
      <c r="X263" s="2074"/>
      <c r="Y263" s="2074"/>
      <c r="Z263" s="2074"/>
      <c r="AA263" s="2547"/>
      <c r="AB263" s="1478"/>
      <c r="AC263" s="1478"/>
      <c r="AD263" s="1478"/>
      <c r="AE263" s="1478"/>
    </row>
    <row s="40252" customFormat="1" customHeight="1" ht="11.25">
      <c r="A264" s="1900"/>
      <c r="B264" s="2551"/>
      <c r="C264" s="2551"/>
      <c r="D264" s="1263"/>
      <c r="K264" s="2074"/>
      <c r="L264" s="2551"/>
      <c r="M264" s="2551"/>
      <c r="N264" s="2074"/>
      <c r="O264" s="2074"/>
      <c r="P264" s="2074"/>
      <c r="Q264" s="2074"/>
      <c r="R264" s="2551"/>
      <c r="S264" s="2074"/>
      <c r="T264" s="2074"/>
      <c r="U264" s="1456"/>
      <c r="V264" s="2074"/>
      <c r="W264" s="2074"/>
      <c r="X264" s="2074"/>
      <c r="Y264" s="2074"/>
      <c r="Z264" s="2074"/>
      <c r="AA264" s="2547"/>
      <c r="AB264" s="1478"/>
      <c r="AC264" s="1478"/>
      <c r="AD264" s="1478"/>
      <c r="AE264" s="1478"/>
    </row>
    <row s="40252" customFormat="1" customHeight="1" ht="11.25">
      <c r="A265" s="1900"/>
      <c r="B265" s="2551"/>
      <c r="C265" s="2551"/>
      <c r="D265" s="1263"/>
      <c r="K265" s="2074"/>
      <c r="L265" s="2551"/>
      <c r="M265" s="2551"/>
      <c r="N265" s="2074"/>
      <c r="O265" s="2074"/>
      <c r="P265" s="2074"/>
      <c r="Q265" s="2074"/>
      <c r="R265" s="2551"/>
      <c r="S265" s="2074"/>
      <c r="T265" s="2074"/>
      <c r="U265" s="1456"/>
      <c r="V265" s="2074"/>
      <c r="W265" s="2074"/>
      <c r="X265" s="2074"/>
      <c r="Y265" s="2074"/>
      <c r="Z265" s="2074"/>
      <c r="AA265" s="2547"/>
      <c r="AB265" s="1478"/>
      <c r="AC265" s="1478"/>
      <c r="AD265" s="1478"/>
      <c r="AE265" s="1478"/>
    </row>
    <row s="40252" customFormat="1" customHeight="1" ht="11.25">
      <c r="A266" s="1900"/>
      <c r="B266" s="2551"/>
      <c r="C266" s="2551"/>
      <c r="D266" s="1263"/>
      <c r="K266" s="2074"/>
      <c r="L266" s="2551"/>
      <c r="M266" s="2551"/>
      <c r="N266" s="2074"/>
      <c r="O266" s="2074"/>
      <c r="P266" s="2074"/>
      <c r="Q266" s="2074"/>
      <c r="R266" s="2551"/>
      <c r="S266" s="2074"/>
      <c r="T266" s="2074"/>
      <c r="U266" s="1456"/>
      <c r="V266" s="2074"/>
      <c r="W266" s="2074"/>
      <c r="X266" s="2074"/>
      <c r="Y266" s="2074"/>
      <c r="Z266" s="2074"/>
      <c r="AA266" s="2547"/>
      <c r="AB266" s="1478"/>
      <c r="AC266" s="1478"/>
      <c r="AD266" s="1478"/>
      <c r="AE266" s="1478"/>
    </row>
    <row s="40252" customFormat="1" customHeight="1" ht="11.25">
      <c r="A267" s="1900"/>
      <c r="B267" s="2551"/>
      <c r="C267" s="2551"/>
      <c r="D267" s="1263"/>
      <c r="K267" s="2074"/>
      <c r="L267" s="2551"/>
      <c r="M267" s="2551"/>
      <c r="N267" s="2074"/>
      <c r="O267" s="2074"/>
      <c r="P267" s="2074"/>
      <c r="Q267" s="2074"/>
      <c r="R267" s="2551"/>
      <c r="S267" s="2074"/>
      <c r="T267" s="2074"/>
      <c r="U267" s="1456"/>
      <c r="V267" s="2074"/>
      <c r="W267" s="2074"/>
      <c r="X267" s="2074"/>
      <c r="Y267" s="2074"/>
      <c r="Z267" s="2074"/>
      <c r="AA267" s="2547"/>
      <c r="AB267" s="1478"/>
      <c r="AC267" s="1478"/>
      <c r="AD267" s="1478"/>
      <c r="AE267" s="1478"/>
    </row>
    <row s="40252" customFormat="1" customHeight="1" ht="11.25">
      <c r="A268" s="1900"/>
      <c r="B268" s="2551"/>
      <c r="C268" s="2551"/>
      <c r="D268" s="1263"/>
      <c r="K268" s="2074"/>
      <c r="L268" s="2551"/>
      <c r="M268" s="2551"/>
      <c r="N268" s="2074"/>
      <c r="O268" s="2074"/>
      <c r="P268" s="2074"/>
      <c r="Q268" s="2074"/>
      <c r="R268" s="2551"/>
      <c r="S268" s="2074"/>
      <c r="T268" s="2074"/>
      <c r="U268" s="1456"/>
      <c r="V268" s="2074"/>
      <c r="W268" s="2074"/>
      <c r="X268" s="2074"/>
      <c r="Y268" s="2074"/>
      <c r="Z268" s="2074"/>
      <c r="AA268" s="2547"/>
      <c r="AB268" s="1478"/>
      <c r="AC268" s="1478"/>
      <c r="AD268" s="1478"/>
      <c r="AE268" s="1478"/>
    </row>
    <row s="40252" customFormat="1" customHeight="1" ht="11.25">
      <c r="A269" s="1900"/>
      <c r="B269" s="2551"/>
      <c r="C269" s="2551"/>
      <c r="D269" s="1263"/>
      <c r="K269" s="2074"/>
      <c r="L269" s="2551"/>
      <c r="M269" s="2551"/>
      <c r="N269" s="2074"/>
      <c r="O269" s="2074"/>
      <c r="P269" s="2074"/>
      <c r="Q269" s="2074"/>
      <c r="R269" s="2551"/>
      <c r="S269" s="2074"/>
      <c r="T269" s="2074"/>
      <c r="U269" s="1456"/>
      <c r="V269" s="2074"/>
      <c r="W269" s="2074"/>
      <c r="X269" s="2074"/>
      <c r="Y269" s="2074"/>
      <c r="Z269" s="2074"/>
      <c r="AA269" s="2547"/>
      <c r="AB269" s="1478"/>
      <c r="AC269" s="1478"/>
      <c r="AD269" s="1478"/>
      <c r="AE269" s="1478"/>
    </row>
    <row s="40252" customFormat="1" customHeight="1" ht="11.25">
      <c r="A270" s="1900"/>
      <c r="B270" s="2551"/>
      <c r="C270" s="2551"/>
      <c r="D270" s="1263"/>
      <c r="K270" s="2074"/>
      <c r="L270" s="2551"/>
      <c r="M270" s="2551"/>
      <c r="N270" s="2074"/>
      <c r="O270" s="2074"/>
      <c r="P270" s="2074"/>
      <c r="Q270" s="2074"/>
      <c r="R270" s="2551"/>
      <c r="S270" s="2074"/>
      <c r="T270" s="2074"/>
      <c r="U270" s="1456"/>
      <c r="V270" s="2074"/>
      <c r="W270" s="2074"/>
      <c r="X270" s="2074"/>
      <c r="Y270" s="2074"/>
      <c r="Z270" s="2074"/>
      <c r="AA270" s="2547"/>
      <c r="AB270" s="1478"/>
      <c r="AC270" s="1478"/>
      <c r="AD270" s="1478"/>
      <c r="AE270" s="1478"/>
    </row>
    <row s="40252" customFormat="1" customHeight="1" ht="11.25">
      <c r="A271" s="1900"/>
      <c r="B271" s="2551"/>
      <c r="C271" s="2551"/>
      <c r="D271" s="1263"/>
      <c r="K271" s="2074"/>
      <c r="L271" s="2551"/>
      <c r="M271" s="2551"/>
      <c r="N271" s="2074"/>
      <c r="O271" s="2074"/>
      <c r="P271" s="2074"/>
      <c r="Q271" s="2074"/>
      <c r="R271" s="2551"/>
      <c r="S271" s="2074"/>
      <c r="T271" s="2074"/>
      <c r="U271" s="1456"/>
      <c r="V271" s="2074"/>
      <c r="W271" s="2074"/>
      <c r="X271" s="2074"/>
      <c r="Y271" s="2074"/>
      <c r="Z271" s="2074"/>
      <c r="AA271" s="2547"/>
      <c r="AB271" s="1478"/>
      <c r="AC271" s="1478"/>
      <c r="AD271" s="1478"/>
      <c r="AE271" s="1478"/>
    </row>
    <row s="40252" customFormat="1" customHeight="1" ht="11.25">
      <c r="A272" s="1900"/>
      <c r="B272" s="2551"/>
      <c r="C272" s="2551"/>
      <c r="D272" s="1263"/>
      <c r="K272" s="2074"/>
      <c r="L272" s="2551"/>
      <c r="M272" s="2551"/>
      <c r="N272" s="2074"/>
      <c r="O272" s="2074"/>
      <c r="P272" s="2074"/>
      <c r="Q272" s="2074"/>
      <c r="R272" s="2551"/>
      <c r="S272" s="2074"/>
      <c r="T272" s="2074"/>
      <c r="U272" s="1456"/>
      <c r="V272" s="2074"/>
      <c r="W272" s="2074"/>
      <c r="X272" s="2074"/>
      <c r="Y272" s="2074"/>
      <c r="Z272" s="2074"/>
      <c r="AA272" s="2547"/>
      <c r="AB272" s="1478"/>
      <c r="AC272" s="1478"/>
      <c r="AD272" s="1478"/>
      <c r="AE272" s="1478"/>
    </row>
    <row s="40252" customFormat="1" customHeight="1" ht="11.25">
      <c r="A273" s="1900"/>
      <c r="B273" s="2551"/>
      <c r="C273" s="2551"/>
      <c r="D273" s="1263"/>
      <c r="K273" s="2074"/>
      <c r="L273" s="2551"/>
      <c r="M273" s="2551"/>
      <c r="N273" s="2074"/>
      <c r="O273" s="2074"/>
      <c r="P273" s="2074"/>
      <c r="Q273" s="2074"/>
      <c r="R273" s="2551"/>
      <c r="S273" s="2074"/>
      <c r="T273" s="2074"/>
      <c r="U273" s="1456"/>
      <c r="V273" s="2074"/>
      <c r="W273" s="2074"/>
      <c r="X273" s="2074"/>
      <c r="Y273" s="2074"/>
      <c r="Z273" s="2074"/>
      <c r="AA273" s="2547"/>
      <c r="AB273" s="1478"/>
      <c r="AC273" s="1478"/>
      <c r="AD273" s="1478"/>
      <c r="AE273" s="1478"/>
    </row>
    <row s="40252" customFormat="1" customHeight="1" ht="11.25">
      <c r="A274" s="1900"/>
      <c r="B274" s="2551"/>
      <c r="C274" s="2551"/>
      <c r="D274" s="1263"/>
      <c r="K274" s="2074"/>
      <c r="L274" s="2551"/>
      <c r="M274" s="2551"/>
      <c r="N274" s="2074"/>
      <c r="O274" s="2074"/>
      <c r="P274" s="2074"/>
      <c r="Q274" s="2074"/>
      <c r="R274" s="2551"/>
      <c r="S274" s="2074"/>
      <c r="T274" s="2074"/>
      <c r="U274" s="1456"/>
      <c r="V274" s="2074"/>
      <c r="W274" s="2074"/>
      <c r="X274" s="2074"/>
      <c r="Y274" s="2074"/>
      <c r="Z274" s="2074"/>
      <c r="AA274" s="2547"/>
      <c r="AB274" s="1478"/>
      <c r="AC274" s="1478"/>
      <c r="AD274" s="1478"/>
      <c r="AE274" s="1478"/>
    </row>
    <row s="40252" customFormat="1" customHeight="1" ht="11.25">
      <c r="A275" s="1900"/>
      <c r="B275" s="2551"/>
      <c r="C275" s="2551"/>
      <c r="D275" s="1263"/>
      <c r="K275" s="2074"/>
      <c r="L275" s="2551"/>
      <c r="M275" s="2551"/>
      <c r="N275" s="2074"/>
      <c r="O275" s="2074"/>
      <c r="P275" s="2074"/>
      <c r="Q275" s="2074"/>
      <c r="R275" s="2551"/>
      <c r="S275" s="2074"/>
      <c r="T275" s="2074"/>
      <c r="U275" s="1456"/>
      <c r="V275" s="2074"/>
      <c r="W275" s="2074"/>
      <c r="X275" s="2074"/>
      <c r="Y275" s="2074"/>
      <c r="Z275" s="2074"/>
      <c r="AA275" s="2547"/>
      <c r="AB275" s="1478"/>
      <c r="AC275" s="1478"/>
      <c r="AD275" s="1478"/>
      <c r="AE275" s="1478"/>
    </row>
    <row s="40252" customFormat="1" customHeight="1" ht="11.25">
      <c r="A276" s="1900"/>
      <c r="B276" s="2551"/>
      <c r="C276" s="2551"/>
      <c r="D276" s="1263"/>
      <c r="K276" s="2074"/>
      <c r="L276" s="2551"/>
      <c r="M276" s="2551"/>
      <c r="N276" s="2074"/>
      <c r="O276" s="2074"/>
      <c r="P276" s="2074"/>
      <c r="Q276" s="2074"/>
      <c r="R276" s="2551"/>
      <c r="S276" s="2074"/>
      <c r="T276" s="2074"/>
      <c r="U276" s="1456"/>
      <c r="V276" s="2074"/>
      <c r="W276" s="2074"/>
      <c r="X276" s="2074"/>
      <c r="Y276" s="2074"/>
      <c r="Z276" s="2074"/>
      <c r="AA276" s="2547"/>
      <c r="AB276" s="1478"/>
      <c r="AC276" s="1478"/>
      <c r="AD276" s="1478"/>
      <c r="AE276" s="1478"/>
    </row>
    <row s="40252" customFormat="1" customHeight="1" ht="11.25">
      <c r="A277" s="1900"/>
      <c r="B277" s="2551"/>
      <c r="C277" s="2551"/>
      <c r="D277" s="1263"/>
      <c r="K277" s="2074"/>
      <c r="L277" s="2551"/>
      <c r="M277" s="2551"/>
      <c r="N277" s="2074"/>
      <c r="O277" s="2074"/>
      <c r="P277" s="2074"/>
      <c r="Q277" s="2074"/>
      <c r="R277" s="2551"/>
      <c r="S277" s="2074"/>
      <c r="T277" s="2074"/>
      <c r="U277" s="1456"/>
      <c r="V277" s="2074"/>
      <c r="W277" s="2074"/>
      <c r="X277" s="2074"/>
      <c r="Y277" s="2074"/>
      <c r="Z277" s="2074"/>
      <c r="AA277" s="2547"/>
      <c r="AB277" s="1478"/>
      <c r="AC277" s="1478"/>
      <c r="AD277" s="1478"/>
      <c r="AE277" s="1478"/>
    </row>
    <row s="40252" customFormat="1" customHeight="1" ht="11.25">
      <c r="A278" s="1900"/>
      <c r="B278" s="2551"/>
      <c r="C278" s="2551"/>
      <c r="D278" s="1263"/>
      <c r="K278" s="2074"/>
      <c r="L278" s="2551"/>
      <c r="M278" s="2551"/>
      <c r="N278" s="2074"/>
      <c r="O278" s="2074"/>
      <c r="P278" s="2074"/>
      <c r="Q278" s="2074"/>
      <c r="R278" s="2551"/>
      <c r="S278" s="2074"/>
      <c r="T278" s="2074"/>
      <c r="U278" s="1456"/>
      <c r="V278" s="2074"/>
      <c r="W278" s="2074"/>
      <c r="X278" s="2074"/>
      <c r="Y278" s="2074"/>
      <c r="Z278" s="2074"/>
      <c r="AA278" s="2547"/>
      <c r="AB278" s="1478"/>
      <c r="AC278" s="1478"/>
      <c r="AD278" s="1478"/>
      <c r="AE278" s="1478"/>
    </row>
    <row s="40252" customFormat="1" customHeight="1" ht="11.25">
      <c r="A279" s="1900"/>
      <c r="B279" s="2551"/>
      <c r="C279" s="2551"/>
      <c r="D279" s="1263"/>
      <c r="K279" s="2074"/>
      <c r="L279" s="2551"/>
      <c r="M279" s="2551"/>
      <c r="N279" s="2074"/>
      <c r="O279" s="2074"/>
      <c r="P279" s="2074"/>
      <c r="Q279" s="2074"/>
      <c r="R279" s="2551"/>
      <c r="S279" s="2074"/>
      <c r="T279" s="2074"/>
      <c r="U279" s="1456"/>
      <c r="V279" s="2074"/>
      <c r="W279" s="2074"/>
      <c r="X279" s="2074"/>
      <c r="Y279" s="2074"/>
      <c r="Z279" s="2074"/>
      <c r="AA279" s="2547"/>
      <c r="AB279" s="1478"/>
      <c r="AC279" s="1478"/>
      <c r="AD279" s="1478"/>
      <c r="AE279" s="1478"/>
    </row>
    <row s="40252" customFormat="1" customHeight="1" ht="11.25">
      <c r="A280" s="1900"/>
      <c r="B280" s="2551"/>
      <c r="C280" s="2551"/>
      <c r="D280" s="1263"/>
      <c r="K280" s="2074"/>
      <c r="L280" s="2551"/>
      <c r="M280" s="2551"/>
      <c r="N280" s="2074"/>
      <c r="O280" s="2074"/>
      <c r="P280" s="2074"/>
      <c r="Q280" s="2074"/>
      <c r="R280" s="2551"/>
      <c r="S280" s="2074"/>
      <c r="T280" s="2074"/>
      <c r="U280" s="1456"/>
      <c r="V280" s="2074"/>
      <c r="W280" s="2074"/>
      <c r="X280" s="2074"/>
      <c r="Y280" s="2074"/>
      <c r="Z280" s="2074"/>
      <c r="AA280" s="2547"/>
      <c r="AB280" s="1478"/>
      <c r="AC280" s="1478"/>
      <c r="AD280" s="1478"/>
      <c r="AE280" s="1478"/>
    </row>
    <row s="40252" customFormat="1" customHeight="1" ht="11.25">
      <c r="A281" s="1900"/>
      <c r="B281" s="2551"/>
      <c r="C281" s="2551"/>
      <c r="D281" s="1263"/>
      <c r="K281" s="2074"/>
      <c r="L281" s="2551"/>
      <c r="M281" s="2551"/>
      <c r="N281" s="2074"/>
      <c r="O281" s="2074"/>
      <c r="P281" s="2074"/>
      <c r="Q281" s="2074"/>
      <c r="R281" s="2551"/>
      <c r="S281" s="2074"/>
      <c r="T281" s="2074"/>
      <c r="U281" s="1456"/>
      <c r="V281" s="2074"/>
      <c r="W281" s="2074"/>
      <c r="X281" s="2074"/>
      <c r="Y281" s="2074"/>
      <c r="Z281" s="2074"/>
      <c r="AA281" s="2547"/>
      <c r="AB281" s="1478"/>
      <c r="AC281" s="1478"/>
      <c r="AD281" s="1478"/>
      <c r="AE281" s="1478"/>
    </row>
    <row s="40252" customFormat="1" customHeight="1" ht="11.25">
      <c r="A282" s="1900"/>
      <c r="B282" s="2551"/>
      <c r="C282" s="2551"/>
      <c r="D282" s="1263"/>
      <c r="K282" s="2074"/>
      <c r="L282" s="2551"/>
      <c r="M282" s="2551"/>
      <c r="N282" s="2074"/>
      <c r="O282" s="2074"/>
      <c r="P282" s="2074"/>
      <c r="Q282" s="2074"/>
      <c r="R282" s="2551"/>
      <c r="S282" s="2074"/>
      <c r="T282" s="2074"/>
      <c r="U282" s="1456"/>
      <c r="V282" s="2074"/>
      <c r="W282" s="2074"/>
      <c r="X282" s="2074"/>
      <c r="Y282" s="2074"/>
      <c r="Z282" s="2074"/>
      <c r="AA282" s="2547"/>
      <c r="AB282" s="1478"/>
      <c r="AC282" s="1478"/>
      <c r="AD282" s="1478"/>
      <c r="AE282" s="1478"/>
    </row>
    <row s="40252" customFormat="1" customHeight="1" ht="11.25">
      <c r="A283" s="1900"/>
      <c r="B283" s="2551"/>
      <c r="C283" s="2551"/>
      <c r="D283" s="1263"/>
      <c r="K283" s="2074"/>
      <c r="L283" s="2551"/>
      <c r="M283" s="2551"/>
      <c r="N283" s="2074"/>
      <c r="O283" s="2074"/>
      <c r="P283" s="2074"/>
      <c r="Q283" s="2074"/>
      <c r="R283" s="2551"/>
      <c r="S283" s="2074"/>
      <c r="T283" s="2074"/>
      <c r="U283" s="1456"/>
      <c r="V283" s="2074"/>
      <c r="W283" s="2074"/>
      <c r="X283" s="2074"/>
      <c r="Y283" s="2074"/>
      <c r="Z283" s="2074"/>
      <c r="AA283" s="2547"/>
      <c r="AB283" s="1478"/>
      <c r="AC283" s="1478"/>
      <c r="AD283" s="1478"/>
      <c r="AE283" s="1478"/>
    </row>
    <row s="40252" customFormat="1" customHeight="1" ht="11.25">
      <c r="A284" s="1900"/>
      <c r="B284" s="2551"/>
      <c r="C284" s="2551"/>
      <c r="D284" s="1263"/>
      <c r="K284" s="2074"/>
      <c r="L284" s="2551"/>
      <c r="M284" s="2551"/>
      <c r="N284" s="2074"/>
      <c r="O284" s="2074"/>
      <c r="P284" s="2074"/>
      <c r="Q284" s="2074"/>
      <c r="R284" s="2551"/>
      <c r="S284" s="2074"/>
      <c r="T284" s="2074"/>
      <c r="U284" s="1456"/>
      <c r="V284" s="2074"/>
      <c r="W284" s="2074"/>
      <c r="X284" s="2074"/>
      <c r="Y284" s="2074"/>
      <c r="Z284" s="2074"/>
      <c r="AA284" s="2547"/>
      <c r="AB284" s="1478"/>
      <c r="AC284" s="1478"/>
      <c r="AD284" s="1478"/>
      <c r="AE284" s="1478"/>
    </row>
    <row s="40252" customFormat="1" customHeight="1" ht="11.25">
      <c r="A285" s="1900"/>
      <c r="B285" s="2551"/>
      <c r="C285" s="2551"/>
      <c r="D285" s="1263"/>
      <c r="K285" s="2074"/>
      <c r="L285" s="2551"/>
      <c r="M285" s="2551"/>
      <c r="N285" s="2074"/>
      <c r="O285" s="2074"/>
      <c r="P285" s="2074"/>
      <c r="Q285" s="2074"/>
      <c r="R285" s="2551"/>
      <c r="S285" s="2074"/>
      <c r="T285" s="2074"/>
      <c r="U285" s="1456"/>
      <c r="V285" s="2074"/>
      <c r="W285" s="2074"/>
      <c r="X285" s="2074"/>
      <c r="Y285" s="2074"/>
      <c r="Z285" s="2074"/>
      <c r="AA285" s="2547"/>
      <c r="AB285" s="1478"/>
      <c r="AC285" s="1478"/>
      <c r="AD285" s="1478"/>
      <c r="AE285" s="1478"/>
    </row>
    <row s="40252" customFormat="1" customHeight="1" ht="11.25">
      <c r="A286" s="1900"/>
      <c r="B286" s="2551"/>
      <c r="C286" s="2551"/>
      <c r="D286" s="1263"/>
      <c r="K286" s="2074"/>
      <c r="L286" s="2551"/>
      <c r="M286" s="2551"/>
      <c r="N286" s="2074"/>
      <c r="O286" s="2074"/>
      <c r="P286" s="2074"/>
      <c r="Q286" s="2074"/>
      <c r="R286" s="2551"/>
      <c r="S286" s="2074"/>
      <c r="T286" s="2074"/>
      <c r="U286" s="1456"/>
      <c r="V286" s="2074"/>
      <c r="W286" s="2074"/>
      <c r="X286" s="2074"/>
      <c r="Y286" s="2074"/>
      <c r="Z286" s="2074"/>
      <c r="AA286" s="2547"/>
      <c r="AB286" s="1478"/>
      <c r="AC286" s="1478"/>
      <c r="AD286" s="1478"/>
      <c r="AE286" s="1478"/>
    </row>
    <row s="40252" customFormat="1" customHeight="1" ht="11.25">
      <c r="A287" s="1900"/>
      <c r="B287" s="2551"/>
      <c r="C287" s="2551"/>
      <c r="D287" s="1263"/>
      <c r="K287" s="2074"/>
      <c r="L287" s="2551"/>
      <c r="M287" s="2551"/>
      <c r="N287" s="2074"/>
      <c r="O287" s="2074"/>
      <c r="P287" s="2074"/>
      <c r="Q287" s="2074"/>
      <c r="R287" s="2551"/>
      <c r="S287" s="2074"/>
      <c r="T287" s="2074"/>
      <c r="U287" s="1456"/>
      <c r="V287" s="2074"/>
      <c r="W287" s="2074"/>
      <c r="X287" s="2074"/>
      <c r="Y287" s="2074"/>
      <c r="Z287" s="2074"/>
      <c r="AA287" s="2547"/>
      <c r="AB287" s="1478"/>
      <c r="AC287" s="1478"/>
      <c r="AD287" s="1478"/>
      <c r="AE287" s="1478"/>
    </row>
    <row s="40252" customFormat="1" customHeight="1" ht="11.25">
      <c r="A288" s="1900"/>
      <c r="B288" s="2551"/>
      <c r="C288" s="2551"/>
      <c r="D288" s="1263"/>
      <c r="K288" s="2074"/>
      <c r="L288" s="2551"/>
      <c r="M288" s="2551"/>
      <c r="N288" s="2074"/>
      <c r="O288" s="2074"/>
      <c r="P288" s="2074"/>
      <c r="Q288" s="2074"/>
      <c r="R288" s="2551"/>
      <c r="S288" s="2074"/>
      <c r="T288" s="2074"/>
      <c r="U288" s="1456"/>
      <c r="V288" s="2074"/>
      <c r="W288" s="2074"/>
      <c r="X288" s="2074"/>
      <c r="Y288" s="2074"/>
      <c r="Z288" s="2074"/>
      <c r="AA288" s="2547"/>
      <c r="AB288" s="1478"/>
      <c r="AC288" s="1478"/>
      <c r="AD288" s="1478"/>
      <c r="AE288" s="1478"/>
    </row>
    <row r="292" customHeight="1" ht="11.25">
      <c r="A292" s="1903"/>
      <c r="B292" s="2546"/>
      <c r="D292" s="2546"/>
      <c r="K292" s="2546"/>
      <c r="N292" s="2546"/>
      <c r="O292" s="2546"/>
      <c r="P292" s="2546"/>
      <c r="Q292" s="2546"/>
      <c r="S292" s="2546"/>
      <c r="T292" s="2546"/>
      <c r="U292" s="2546"/>
      <c r="V292" s="2546"/>
      <c r="W292" s="2546"/>
      <c r="X292" s="2546"/>
      <c r="Y292" s="2546"/>
      <c r="Z292" s="2546"/>
      <c r="AA292" s="2546"/>
      <c r="AB292" s="2546"/>
      <c r="AC292" s="2546"/>
      <c r="AD292" s="2546"/>
      <c r="AE292" s="2546"/>
    </row>
    <row customHeight="1" ht="11.25">
      <c r="A293" s="1903"/>
      <c r="B293" s="2546"/>
      <c r="D293" s="2546"/>
      <c r="K293" s="2546"/>
      <c r="N293" s="2546"/>
      <c r="O293" s="2546"/>
      <c r="P293" s="2546"/>
      <c r="Q293" s="2546"/>
      <c r="S293" s="2546"/>
      <c r="T293" s="2546"/>
      <c r="U293" s="2546"/>
      <c r="V293" s="2546"/>
      <c r="W293" s="2546"/>
      <c r="X293" s="2546"/>
      <c r="Y293" s="2546"/>
      <c r="Z293" s="2546"/>
      <c r="AA293" s="2546"/>
      <c r="AB293" s="2546"/>
      <c r="AC293" s="2546"/>
      <c r="AD293" s="2546"/>
      <c r="AE293" s="2546"/>
    </row>
    <row customHeight="1" ht="11.25">
      <c r="A294" s="1903"/>
      <c r="B294" s="2546"/>
      <c r="D294" s="2546"/>
      <c r="K294" s="2546"/>
      <c r="N294" s="2546"/>
      <c r="O294" s="2546"/>
      <c r="P294" s="2546"/>
      <c r="Q294" s="2546"/>
      <c r="S294" s="2546"/>
      <c r="T294" s="2546"/>
      <c r="U294" s="2546"/>
      <c r="V294" s="2546"/>
      <c r="W294" s="2546"/>
      <c r="X294" s="2546"/>
      <c r="Y294" s="2546"/>
      <c r="Z294" s="2546"/>
      <c r="AA294" s="2546"/>
      <c r="AB294" s="2546"/>
      <c r="AC294" s="2546"/>
      <c r="AD294" s="2546"/>
      <c r="AE294" s="2546"/>
    </row>
    <row customHeight="1" ht="11.25">
      <c r="A295" s="1903"/>
      <c r="B295" s="2546"/>
      <c r="D295" s="2546"/>
      <c r="K295" s="2546"/>
      <c r="N295" s="2546"/>
      <c r="O295" s="2546"/>
      <c r="P295" s="2546"/>
      <c r="Q295" s="2546"/>
      <c r="S295" s="2546"/>
      <c r="T295" s="2546"/>
      <c r="U295" s="2546"/>
      <c r="V295" s="2546"/>
      <c r="W295" s="2546"/>
      <c r="X295" s="2546"/>
      <c r="Y295" s="2546"/>
      <c r="Z295" s="2546"/>
      <c r="AA295" s="2546"/>
      <c r="AB295" s="2546"/>
      <c r="AC295" s="2546"/>
      <c r="AD295" s="2546"/>
      <c r="AE295" s="2546"/>
    </row>
    <row customHeight="1" ht="11.25">
      <c r="A296" s="1903"/>
      <c r="B296" s="2546"/>
      <c r="D296" s="2546"/>
      <c r="K296" s="2546"/>
      <c r="N296" s="2546"/>
      <c r="O296" s="2546"/>
      <c r="P296" s="2546"/>
      <c r="Q296" s="2546"/>
      <c r="S296" s="2546"/>
      <c r="T296" s="2546"/>
      <c r="U296" s="2546"/>
      <c r="V296" s="2546"/>
      <c r="W296" s="2546"/>
      <c r="X296" s="2546"/>
      <c r="Y296" s="2546"/>
      <c r="Z296" s="2546"/>
      <c r="AA296" s="2546"/>
      <c r="AB296" s="2546"/>
      <c r="AC296" s="2546"/>
      <c r="AD296" s="2546"/>
      <c r="AE296" s="2546"/>
    </row>
    <row customHeight="1" ht="11.25">
      <c r="A297" s="1903"/>
      <c r="B297" s="2546"/>
      <c r="D297" s="2546"/>
      <c r="K297" s="2546"/>
      <c r="N297" s="2546"/>
      <c r="O297" s="2546"/>
      <c r="P297" s="2546"/>
      <c r="Q297" s="2546"/>
      <c r="S297" s="2546"/>
      <c r="T297" s="2546"/>
      <c r="U297" s="2546"/>
      <c r="V297" s="2546"/>
      <c r="W297" s="2546"/>
      <c r="X297" s="2546"/>
      <c r="Y297" s="2546"/>
      <c r="Z297" s="2546"/>
      <c r="AA297" s="2546"/>
      <c r="AB297" s="2546"/>
      <c r="AC297" s="2546"/>
      <c r="AD297" s="2546"/>
      <c r="AE297" s="2546"/>
    </row>
    <row customHeight="1" ht="11.25">
      <c r="A298" s="1903"/>
      <c r="B298" s="2546"/>
      <c r="D298" s="2546"/>
      <c r="K298" s="2546"/>
      <c r="N298" s="2546"/>
      <c r="O298" s="2546"/>
      <c r="P298" s="2546"/>
      <c r="Q298" s="2546"/>
      <c r="S298" s="2546"/>
      <c r="T298" s="2546"/>
      <c r="U298" s="2546"/>
      <c r="V298" s="2546"/>
      <c r="W298" s="2546"/>
      <c r="X298" s="2546"/>
      <c r="Y298" s="2546"/>
      <c r="Z298" s="2546"/>
      <c r="AA298" s="2546"/>
      <c r="AB298" s="2546"/>
      <c r="AC298" s="2546"/>
      <c r="AD298" s="2546"/>
      <c r="AE298" s="2546"/>
    </row>
    <row customHeight="1" ht="11.25">
      <c r="A299" s="1903"/>
      <c r="B299" s="2546"/>
      <c r="D299" s="2546"/>
      <c r="K299" s="2546"/>
      <c r="N299" s="2546"/>
      <c r="O299" s="2546"/>
      <c r="P299" s="2546"/>
      <c r="Q299" s="2546"/>
      <c r="S299" s="2546"/>
      <c r="T299" s="2546"/>
      <c r="U299" s="2546"/>
      <c r="V299" s="2546"/>
      <c r="W299" s="2546"/>
      <c r="X299" s="2546"/>
      <c r="Y299" s="2546"/>
      <c r="Z299" s="2546"/>
      <c r="AA299" s="2546"/>
      <c r="AB299" s="2546"/>
      <c r="AC299" s="2546"/>
      <c r="AD299" s="2546"/>
      <c r="AE299" s="2546"/>
    </row>
    <row customHeight="1" ht="11.25">
      <c r="A300" s="1903"/>
      <c r="B300" s="2546"/>
      <c r="D300" s="2546"/>
      <c r="K300" s="2546"/>
      <c r="N300" s="2546"/>
      <c r="O300" s="2546"/>
      <c r="P300" s="2546"/>
      <c r="Q300" s="2546"/>
      <c r="S300" s="2546"/>
      <c r="T300" s="2546"/>
      <c r="U300" s="2546"/>
      <c r="V300" s="2546"/>
      <c r="W300" s="2546"/>
      <c r="X300" s="2546"/>
      <c r="Y300" s="2546"/>
      <c r="Z300" s="2546"/>
      <c r="AA300" s="2546"/>
      <c r="AB300" s="2546"/>
      <c r="AC300" s="2546"/>
      <c r="AD300" s="2546"/>
      <c r="AE300" s="2546"/>
    </row>
    <row customHeight="1" ht="11.25">
      <c r="A301" s="1903"/>
      <c r="B301" s="2546"/>
      <c r="D301" s="2546"/>
      <c r="K301" s="2546"/>
      <c r="N301" s="2546"/>
      <c r="O301" s="2546"/>
      <c r="P301" s="2546"/>
      <c r="Q301" s="2546"/>
      <c r="S301" s="2546"/>
      <c r="T301" s="2546"/>
      <c r="U301" s="2546"/>
      <c r="V301" s="2546"/>
      <c r="W301" s="2546"/>
      <c r="X301" s="2546"/>
      <c r="Y301" s="2546"/>
      <c r="Z301" s="2546"/>
      <c r="AA301" s="2546"/>
      <c r="AB301" s="2546"/>
      <c r="AC301" s="2546"/>
      <c r="AD301" s="2546"/>
      <c r="AE301" s="2546"/>
    </row>
    <row customHeight="1" ht="11.25">
      <c r="A302" s="1903"/>
      <c r="B302" s="2546"/>
      <c r="D302" s="2546"/>
      <c r="K302" s="2546"/>
      <c r="N302" s="2546"/>
      <c r="O302" s="2546"/>
      <c r="P302" s="2546"/>
      <c r="Q302" s="2546"/>
      <c r="S302" s="2546"/>
      <c r="T302" s="2546"/>
      <c r="U302" s="2546"/>
      <c r="V302" s="2546"/>
      <c r="W302" s="2546"/>
      <c r="X302" s="2546"/>
      <c r="Y302" s="2546"/>
      <c r="Z302" s="2546"/>
      <c r="AA302" s="2546"/>
      <c r="AB302" s="2546"/>
      <c r="AC302" s="2546"/>
      <c r="AD302" s="2546"/>
      <c r="AE302" s="2546"/>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83A239-6196-33A1-8E55-791944DA90FA}" mc:Ignorable="x14ac xr xr2 xr3">
  <sheetPr>
    <tabColor theme="9" tint="-0.25"/>
  </sheetPr>
  <dimension ref="A1:CE28"/>
  <sheetViews>
    <sheetView topLeftCell="C4" showGridLines="0" zoomScale="90" workbookViewId="0">
      <selection activeCell="A1" sqref="A1"/>
    </sheetView>
  </sheetViews>
  <sheetFormatPr defaultColWidth="9.140625" customHeight="1" defaultRowHeight="11.25"/>
  <cols>
    <col min="1" max="1" style="40684" width="14.7109375" hidden="1" customWidth="1"/>
    <col min="2" max="2" style="39981" width="17.00390625" hidden="1" customWidth="1"/>
    <col min="3" max="3" style="39984" width="3.7109375" customWidth="1"/>
    <col min="4" max="4" style="39984" width="1.8515625" hidden="1" customWidth="1"/>
    <col min="5" max="6" style="39984" width="7.7109375" customWidth="1"/>
    <col min="7" max="7" style="39984" width="29.7109375" customWidth="1"/>
    <col min="8" max="8" style="39984" width="3.7109375" customWidth="1"/>
    <col min="9" max="9" style="39984" width="5.421875" customWidth="1"/>
    <col min="10" max="10" style="39984" width="24.57421875" customWidth="1"/>
    <col min="11" max="11" style="39984" width="24.421875" customWidth="1"/>
    <col min="12" max="12" style="39984" width="3.7109375" customWidth="1"/>
    <col min="13" max="13" style="39984" width="6.28125" customWidth="1"/>
    <col min="14" max="14" style="39984" width="25.8515625" customWidth="1"/>
    <col min="15" max="18" style="39984" width="18.7109375" customWidth="1"/>
    <col min="19" max="19" style="39984" width="93.421875" customWidth="1"/>
    <col min="20" max="20" style="39984" width="10.57421875" customWidth="1"/>
    <col min="21" max="21" style="40685" width="10.57421875" customWidth="1"/>
    <col min="22" max="22" style="40685" width="11.7109375" customWidth="1"/>
    <col min="23" max="23" style="40686" width="10.57421875" customWidth="1"/>
    <col min="24" max="27" style="39981" width="10.57421875" customWidth="1"/>
    <col min="28" max="83" style="39984" width="9.140625"/>
  </cols>
  <sheetData>
    <row customHeight="1" ht="11.25" hidden="1"/>
    <row customHeight="1" ht="11.25" hidden="1"/>
    <row customHeight="1" ht="11.25" hidden="1"/>
    <row customHeight="1" ht="3">
      <c r="C4" s="1421"/>
      <c r="D4" s="1421"/>
      <c r="E4" s="1421"/>
      <c r="F4" s="1421"/>
      <c r="G4" s="1421"/>
      <c r="H4" s="1421"/>
      <c r="I4" s="1421"/>
      <c r="J4" s="1421"/>
      <c r="K4" s="1079"/>
      <c r="L4" s="1079"/>
      <c r="M4" s="1079"/>
    </row>
    <row customHeight="1" ht="28.5">
      <c r="C5" s="1421"/>
      <c r="D5" s="1970"/>
      <c r="E5" s="3061" t="str">
        <f>FHD20_NAME_FORM</f>
        <v>Форма 11. Информация о расходах на капитальный и текущий ремонт основных средств</v>
      </c>
      <c r="F5" s="3061"/>
      <c r="G5" s="3061"/>
      <c r="H5" s="3061"/>
      <c r="I5" s="3061"/>
      <c r="J5" s="3061"/>
      <c r="K5" s="3061"/>
      <c r="L5" s="1525"/>
      <c r="M5" s="1525"/>
    </row>
    <row s="39538" customFormat="1" customHeight="1" ht="16.5">
      <c r="A6" s="1522"/>
      <c r="B6" s="1671"/>
      <c r="C6" s="1421"/>
      <c r="D6" s="1971"/>
      <c r="E6" s="3000" t="str">
        <f>IF(org=0,"Не определено",org)</f>
        <v>ПАО "ТГК-1" филиал "Невский"</v>
      </c>
      <c r="F6" s="3000"/>
      <c r="G6" s="3000"/>
      <c r="H6" s="3000"/>
      <c r="I6" s="3000"/>
      <c r="J6" s="3000"/>
      <c r="K6" s="3000"/>
      <c r="L6" s="1525"/>
      <c r="M6" s="1525"/>
      <c r="U6" s="1523"/>
      <c r="V6" s="1523"/>
      <c r="W6" s="1524"/>
      <c r="X6" s="1671"/>
      <c r="Y6" s="1671"/>
      <c r="Z6" s="1671"/>
      <c r="AA6" s="1671"/>
    </row>
    <row customHeight="1" ht="11.25">
      <c r="C7" s="1421"/>
      <c r="D7" s="1421"/>
      <c r="E7" s="1421"/>
      <c r="F7" s="1421"/>
      <c r="G7" s="1434"/>
      <c r="H7" s="1434"/>
      <c r="I7" s="1434"/>
      <c r="J7" s="1434"/>
      <c r="K7" s="1526"/>
      <c r="L7" s="1526"/>
      <c r="M7" s="1526"/>
      <c r="R7" s="1664"/>
    </row>
    <row s="39960" customFormat="1" customHeight="1" ht="5.25">
      <c r="A8" s="1533"/>
      <c r="B8" s="1478"/>
      <c r="C8" s="1263"/>
      <c r="D8" s="1263"/>
      <c r="E8" s="1263"/>
      <c r="F8" s="1263"/>
      <c r="G8" s="1888"/>
      <c r="H8" s="1888"/>
      <c r="I8" s="1888"/>
      <c r="J8" s="1888"/>
      <c r="K8" s="1931"/>
      <c r="L8" s="1931"/>
      <c r="M8" s="1931"/>
      <c r="R8" s="1932"/>
      <c r="U8" s="1523"/>
      <c r="V8" s="1523"/>
      <c r="W8" s="1534"/>
      <c r="X8" s="1478"/>
      <c r="Y8" s="1478"/>
      <c r="Z8" s="1478"/>
      <c r="AA8" s="1478"/>
    </row>
    <row customHeight="1" ht="18.75">
      <c r="D9" s="1201"/>
      <c r="E9" s="2927" t="s">
        <v>291</v>
      </c>
      <c r="F9" s="2928"/>
      <c r="G9" s="2928"/>
      <c r="H9" s="2928"/>
      <c r="I9" s="2928"/>
      <c r="J9" s="2928"/>
      <c r="K9" s="2928"/>
      <c r="L9" s="2928"/>
      <c r="M9" s="2928"/>
      <c r="N9" s="2928"/>
      <c r="O9" s="2928"/>
      <c r="P9" s="2928"/>
      <c r="Q9" s="2928"/>
      <c r="R9" s="2929"/>
      <c r="S9" s="2953" t="s">
        <v>292</v>
      </c>
      <c r="T9" s="1246"/>
    </row>
    <row customHeight="1" ht="33.75">
      <c r="D10" s="1463" t="s">
        <v>84</v>
      </c>
      <c r="E10" s="2953" t="s">
        <v>84</v>
      </c>
      <c r="F10" s="2953"/>
      <c r="G10" s="1433" t="s">
        <v>293</v>
      </c>
      <c r="H10" s="2953" t="s">
        <v>84</v>
      </c>
      <c r="I10" s="2953"/>
      <c r="J10" s="1433" t="s">
        <v>594</v>
      </c>
      <c r="K10" s="1433" t="s">
        <v>595</v>
      </c>
      <c r="L10" s="2953" t="s">
        <v>84</v>
      </c>
      <c r="M10" s="2953"/>
      <c r="N10" s="1433" t="s">
        <v>596</v>
      </c>
      <c r="O10" s="1433" t="s">
        <v>597</v>
      </c>
      <c r="P10" s="1433" t="s">
        <v>598</v>
      </c>
      <c r="Q10" s="1433" t="s">
        <v>599</v>
      </c>
      <c r="R10" s="1433" t="s">
        <v>600</v>
      </c>
      <c r="S10" s="2953"/>
      <c r="T10" s="1246"/>
    </row>
    <row s="40202" customFormat="1" customHeight="1" ht="15" hidden="1">
      <c r="A11" s="1965"/>
      <c r="D11" s="1938" t="s">
        <v>102</v>
      </c>
      <c r="E11" s="1938"/>
      <c r="F11" s="1938" t="s">
        <v>103</v>
      </c>
      <c r="G11" s="1938" t="s">
        <v>86</v>
      </c>
      <c r="H11" s="1938"/>
      <c r="I11" s="1938" t="s">
        <v>87</v>
      </c>
      <c r="J11" s="1938" t="s">
        <v>104</v>
      </c>
      <c r="K11" s="1938" t="s">
        <v>88</v>
      </c>
      <c r="L11" s="1938"/>
      <c r="M11" s="1938" t="s">
        <v>89</v>
      </c>
      <c r="N11" s="1938" t="s">
        <v>105</v>
      </c>
      <c r="O11" s="1938" t="s">
        <v>141</v>
      </c>
      <c r="P11" s="1938" t="s">
        <v>142</v>
      </c>
      <c r="Q11" s="1938" t="s">
        <v>143</v>
      </c>
      <c r="R11" s="1938" t="s">
        <v>144</v>
      </c>
      <c r="S11" s="1938" t="s">
        <v>145</v>
      </c>
      <c r="U11" s="1523"/>
      <c r="V11" s="1523"/>
      <c r="W11" s="1523"/>
    </row>
    <row s="40633" customFormat="1" customHeight="1" ht="0.75">
      <c r="A12" s="1527"/>
      <c r="B12" s="1274"/>
      <c r="D12" s="1460"/>
      <c r="E12" s="1258"/>
      <c r="F12" s="1258"/>
      <c r="Q12" s="1528"/>
      <c r="R12" s="1529"/>
      <c r="T12" s="1530"/>
      <c r="U12" s="1531"/>
      <c r="V12" s="1531"/>
      <c r="W12" s="1532"/>
      <c r="X12" s="1274"/>
      <c r="Y12" s="1274"/>
      <c r="Z12" s="1274"/>
      <c r="AA12" s="1274"/>
    </row>
    <row s="39960" customFormat="1" customHeight="1" ht="0.75">
      <c r="A13" s="1533"/>
      <c r="B13" s="1478"/>
      <c r="D13" s="1460" t="s">
        <v>367</v>
      </c>
      <c r="E13" s="1472"/>
      <c r="F13" s="1472"/>
      <c r="G13" s="1472"/>
      <c r="H13" s="1472"/>
      <c r="I13" s="1472"/>
      <c r="J13" s="1472"/>
      <c r="K13" s="1472"/>
      <c r="L13" s="1472"/>
      <c r="M13" s="1472"/>
      <c r="N13" s="1472"/>
      <c r="O13" s="1472"/>
      <c r="P13" s="1472"/>
      <c r="Q13" s="1472"/>
      <c r="R13" s="1472"/>
      <c r="T13" s="1246"/>
      <c r="U13" s="1523"/>
      <c r="V13" s="1523"/>
      <c r="W13" s="1534"/>
      <c r="X13" s="1478"/>
      <c r="Y13" s="1478"/>
      <c r="Z13" s="1478"/>
      <c r="AA13" s="1478"/>
    </row>
    <row s="39829" customFormat="1" customHeight="1" ht="15" hidden="1">
      <c r="A14" s="1535" t="s">
        <v>110</v>
      </c>
      <c r="B14" s="1536"/>
      <c r="C14" s="1536"/>
      <c r="D14" s="3197" t="s">
        <v>102</v>
      </c>
      <c r="E14" s="3194" t="s">
        <v>98</v>
      </c>
      <c r="F14" s="3195"/>
      <c r="G14" s="3196"/>
      <c r="H14" s="3200">
        <f>IF(A14="","",INDEX(DIFFERENTIATION_UNMERGE_VD,MATCH(A14,DIFFERENTIATION_ID_DIFF,0)))</f>
        <v>0</v>
      </c>
      <c r="I14" s="3200"/>
      <c r="J14" s="3200"/>
      <c r="K14" s="3200"/>
      <c r="L14" s="3200"/>
      <c r="M14" s="3200"/>
      <c r="N14" s="3200"/>
      <c r="O14" s="3200"/>
      <c r="P14" s="3200"/>
      <c r="Q14" s="3200"/>
      <c r="R14" s="3200"/>
      <c r="S14" s="1631"/>
      <c r="T14" s="1628"/>
      <c r="U14" s="1537"/>
      <c r="V14" s="1537"/>
      <c r="W14" s="1538"/>
      <c r="X14" s="1538"/>
      <c r="Y14" s="1538"/>
      <c r="Z14" s="1538"/>
      <c r="AA14" s="1539"/>
      <c r="AB14" s="1540"/>
      <c r="AC14" s="3192"/>
      <c r="AD14" s="1541"/>
      <c r="AE14" s="1542" t="s">
        <v>18</v>
      </c>
      <c r="AF14" s="1542"/>
      <c r="AG14" s="1543" t="s">
        <v>601</v>
      </c>
      <c r="AH14" s="1544">
        <v>3</v>
      </c>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537"/>
      <c r="BP14" s="1537"/>
      <c r="BQ14" s="1537"/>
      <c r="BR14" s="1537"/>
      <c r="BS14" s="1537"/>
      <c r="BT14" s="1537"/>
      <c r="BU14" s="1537"/>
      <c r="BV14" s="1538"/>
      <c r="BW14" s="1538"/>
      <c r="BX14" s="1538"/>
      <c r="BY14" s="1538"/>
      <c r="BZ14" s="1538"/>
      <c r="CA14" s="1538"/>
      <c r="CB14" s="1538"/>
      <c r="CC14" s="1538"/>
      <c r="CD14" s="1538"/>
      <c r="CE14" s="1538"/>
    </row>
    <row s="39829" customFormat="1" customHeight="1" ht="15" hidden="1">
      <c r="A15" s="1535"/>
      <c r="B15" s="1536"/>
      <c r="C15" s="1536"/>
      <c r="D15" s="3198"/>
      <c r="E15" s="3194" t="s">
        <v>556</v>
      </c>
      <c r="F15" s="3195"/>
      <c r="G15" s="3196"/>
      <c r="H15" s="3200" t="str">
        <f>IF(A14="","",INDEX(DIFFERENTIATION_UNMERGE_AREA,MATCH(A14,DIFFERENTIATION_ID_DIFF,0)))</f>
        <v/>
      </c>
      <c r="I15" s="3200"/>
      <c r="J15" s="3200"/>
      <c r="K15" s="3200"/>
      <c r="L15" s="3200"/>
      <c r="M15" s="3200"/>
      <c r="N15" s="3200"/>
      <c r="O15" s="3200"/>
      <c r="P15" s="3200"/>
      <c r="Q15" s="3200"/>
      <c r="R15" s="3200"/>
      <c r="S15" s="1631"/>
      <c r="T15" s="1628"/>
      <c r="U15" s="1537"/>
      <c r="V15" s="1537"/>
      <c r="W15" s="1538"/>
      <c r="X15" s="1538"/>
      <c r="Y15" s="1538"/>
      <c r="Z15" s="1538"/>
      <c r="AA15" s="1539"/>
      <c r="AB15" s="1540"/>
      <c r="AC15" s="3192"/>
      <c r="AD15" s="1541"/>
      <c r="AE15" s="1542"/>
      <c r="AF15" s="1542"/>
      <c r="AG15" s="1543"/>
      <c r="AH15" s="1544"/>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37"/>
      <c r="BF15" s="1537"/>
      <c r="BG15" s="1537"/>
      <c r="BH15" s="1537"/>
      <c r="BI15" s="1537"/>
      <c r="BJ15" s="1537"/>
      <c r="BK15" s="1537"/>
      <c r="BL15" s="1537"/>
      <c r="BM15" s="1537"/>
      <c r="BN15" s="1537"/>
      <c r="BO15" s="1537"/>
      <c r="BP15" s="1537"/>
      <c r="BQ15" s="1537"/>
      <c r="BR15" s="1537"/>
      <c r="BS15" s="1537"/>
      <c r="BT15" s="1537"/>
      <c r="BU15" s="1537"/>
      <c r="BV15" s="1538"/>
      <c r="BW15" s="1538"/>
      <c r="BX15" s="1538"/>
      <c r="BY15" s="1538"/>
      <c r="BZ15" s="1538"/>
      <c r="CA15" s="1538"/>
      <c r="CB15" s="1538"/>
      <c r="CC15" s="1538"/>
      <c r="CD15" s="1538"/>
      <c r="CE15" s="1538"/>
    </row>
    <row s="39829" customFormat="1" customHeight="1" ht="15" hidden="1">
      <c r="A16" s="1535"/>
      <c r="B16" s="1536"/>
      <c r="C16" s="1536"/>
      <c r="D16" s="3198"/>
      <c r="E16" s="3194" t="s">
        <v>557</v>
      </c>
      <c r="F16" s="3195"/>
      <c r="G16" s="3196"/>
      <c r="H16" s="3200" t="str">
        <f>IF(A14="","",INDEX(DIFFERENTIATION_UNMERGE_SYSTEM,MATCH(A14,DIFFERENTIATION_ID_DIFF,0)))</f>
        <v>без дифференциации</v>
      </c>
      <c r="I16" s="3200"/>
      <c r="J16" s="3200"/>
      <c r="K16" s="3200"/>
      <c r="L16" s="3200"/>
      <c r="M16" s="3200"/>
      <c r="N16" s="3200"/>
      <c r="O16" s="3200"/>
      <c r="P16" s="3200"/>
      <c r="Q16" s="3200"/>
      <c r="R16" s="3200"/>
      <c r="S16" s="1631"/>
      <c r="T16" s="1628"/>
      <c r="U16" s="1537"/>
      <c r="V16" s="1537"/>
      <c r="W16" s="1538"/>
      <c r="X16" s="1538"/>
      <c r="Y16" s="1538"/>
      <c r="Z16" s="1538"/>
      <c r="AA16" s="1539"/>
      <c r="AB16" s="1540"/>
      <c r="AC16" s="3192"/>
      <c r="AD16" s="1541"/>
      <c r="AE16" s="1542"/>
      <c r="AF16" s="1542"/>
      <c r="AG16" s="1543"/>
      <c r="AH16" s="1544"/>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8"/>
      <c r="BW16" s="1538"/>
      <c r="BX16" s="1538"/>
      <c r="BY16" s="1538"/>
      <c r="BZ16" s="1538"/>
      <c r="CA16" s="1538"/>
      <c r="CB16" s="1538"/>
      <c r="CC16" s="1538"/>
      <c r="CD16" s="1538"/>
      <c r="CE16" s="1538"/>
    </row>
    <row s="39829" customFormat="1" customHeight="1" ht="22.5" hidden="1">
      <c r="A17" s="1545"/>
      <c r="B17" s="1329"/>
      <c r="C17" s="1324"/>
      <c r="D17" s="3198"/>
      <c r="E17" s="3193" t="s">
        <v>602</v>
      </c>
      <c r="F17" s="3193"/>
      <c r="G17" s="3193"/>
      <c r="H17" s="3193"/>
      <c r="I17" s="3193"/>
      <c r="J17" s="3193"/>
      <c r="K17" s="3193"/>
      <c r="L17" s="3193"/>
      <c r="M17" s="3193"/>
      <c r="N17" s="3193"/>
      <c r="O17" s="3193"/>
      <c r="P17" s="3193"/>
      <c r="Q17" s="1470">
        <f>SUMIF(T18:T19,"i",Q18:Q19)</f>
        <v>0</v>
      </c>
      <c r="R17" s="1930"/>
      <c r="S17" s="1809" t="s">
        <v>603</v>
      </c>
      <c r="T17" s="1629" t="s">
        <v>604</v>
      </c>
      <c r="U17" s="3191">
        <v>1</v>
      </c>
      <c r="V17" s="3191" t="str">
        <f>INDEX(B_FHD_FLAG_INDEX_1,1,MATCH(A14,B_FHD_FLAG_DIFFERENTIATION,0))</f>
        <v>отсутствует</v>
      </c>
      <c r="W17" s="1329"/>
      <c r="X17" s="1329"/>
      <c r="Y17" s="1329"/>
      <c r="Z17" s="1329"/>
      <c r="AA17" s="1423"/>
      <c r="AB17" s="1329"/>
      <c r="AC17" s="3192"/>
      <c r="AD17" s="1541"/>
      <c r="AE17" s="1329"/>
      <c r="AF17" s="1329"/>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329"/>
      <c r="BW17" s="1329"/>
      <c r="BX17" s="1329"/>
      <c r="BY17" s="1329"/>
      <c r="BZ17" s="1329"/>
      <c r="CA17" s="1329"/>
      <c r="CB17" s="1329"/>
      <c r="CC17" s="1329"/>
      <c r="CD17" s="1329"/>
      <c r="CE17" s="1329"/>
    </row>
    <row s="39829" customFormat="1" customHeight="1" ht="11.25" hidden="1">
      <c r="A18" s="1546"/>
      <c r="B18" s="1423"/>
      <c r="C18" s="1423"/>
      <c r="D18" s="3198"/>
      <c r="E18" s="1547"/>
      <c r="F18" s="1547">
        <v>0</v>
      </c>
      <c r="G18" s="1547"/>
      <c r="H18" s="1547"/>
      <c r="I18" s="1547"/>
      <c r="J18" s="1547"/>
      <c r="K18" s="1547"/>
      <c r="L18" s="1547"/>
      <c r="M18" s="1547"/>
      <c r="N18" s="1547"/>
      <c r="O18" s="1547"/>
      <c r="P18" s="1547"/>
      <c r="Q18" s="1547"/>
      <c r="R18" s="1547"/>
      <c r="S18" s="1548"/>
      <c r="T18" s="1630"/>
      <c r="U18" s="3191"/>
      <c r="V18" s="3191"/>
      <c r="W18" s="1423"/>
      <c r="X18" s="1423"/>
      <c r="Y18" s="1423"/>
      <c r="Z18" s="1423"/>
      <c r="AA18" s="1423"/>
      <c r="AB18" s="1329"/>
      <c r="AC18" s="3192"/>
      <c r="AD18" s="1541"/>
      <c r="AE18" s="1329"/>
      <c r="AF18" s="1329"/>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row>
    <row s="39829" customFormat="1" customHeight="1" ht="11.25" hidden="1">
      <c r="A19" s="1545"/>
      <c r="B19" s="1329"/>
      <c r="C19" s="1324"/>
      <c r="D19" s="3198"/>
      <c r="E19" s="1561" t="s">
        <v>18</v>
      </c>
      <c r="F19" s="1562" t="s">
        <v>18</v>
      </c>
      <c r="G19" s="1562" t="s">
        <v>18</v>
      </c>
      <c r="H19" s="1563" t="s">
        <v>18</v>
      </c>
      <c r="I19" s="1563"/>
      <c r="J19" s="1563"/>
      <c r="K19" s="1563"/>
      <c r="L19" s="1563"/>
      <c r="M19" s="1563"/>
      <c r="N19" s="1563"/>
      <c r="O19" s="1563"/>
      <c r="P19" s="1563"/>
      <c r="Q19" s="1563"/>
      <c r="R19" s="1564"/>
      <c r="S19" s="1933"/>
      <c r="T19" s="1630"/>
      <c r="U19" s="3191"/>
      <c r="V19" s="3191"/>
      <c r="W19" s="1329"/>
      <c r="X19" s="1329"/>
      <c r="Y19" s="1329"/>
      <c r="Z19" s="1329"/>
      <c r="AA19" s="1423"/>
      <c r="AB19" s="1329"/>
      <c r="AC19" s="3192"/>
      <c r="AD19" s="1541"/>
      <c r="AE19" s="1329"/>
      <c r="AF19" s="1329"/>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329"/>
      <c r="BW19" s="1329"/>
      <c r="BX19" s="1329"/>
      <c r="BY19" s="1329"/>
      <c r="BZ19" s="1329"/>
      <c r="CA19" s="1329"/>
      <c r="CB19" s="1329"/>
      <c r="CC19" s="1329"/>
      <c r="CD19" s="1329"/>
      <c r="CE19" s="1329"/>
    </row>
    <row s="39829" customFormat="1" customHeight="1" ht="22.5" hidden="1">
      <c r="A20" s="1545"/>
      <c r="B20" s="1329"/>
      <c r="C20" s="1324"/>
      <c r="D20" s="3198"/>
      <c r="E20" s="3193" t="s">
        <v>605</v>
      </c>
      <c r="F20" s="3193"/>
      <c r="G20" s="3193"/>
      <c r="H20" s="3193"/>
      <c r="I20" s="3193"/>
      <c r="J20" s="3193"/>
      <c r="K20" s="3193"/>
      <c r="L20" s="3193"/>
      <c r="M20" s="3193"/>
      <c r="N20" s="3193"/>
      <c r="O20" s="3193"/>
      <c r="P20" s="3193"/>
      <c r="Q20" s="1470">
        <f>SUMIF(T21:T22,"i",Q21:Q22)</f>
        <v>0</v>
      </c>
      <c r="R20" s="1930"/>
      <c r="S20" s="1621" t="s">
        <v>606</v>
      </c>
      <c r="T20" s="1629" t="s">
        <v>604</v>
      </c>
      <c r="U20" s="3191">
        <v>2</v>
      </c>
      <c r="V20" s="3191" t="str">
        <f>INDEX(B_FHD_FLAG_INDEX_2,1,MATCH(A14,B_FHD_FLAG_DIFFERENTIATION,0))</f>
        <v>отсутствует</v>
      </c>
      <c r="W20" s="1329"/>
      <c r="X20" s="1329"/>
      <c r="Y20" s="1329"/>
      <c r="Z20" s="1329"/>
      <c r="AA20" s="1423"/>
      <c r="AB20" s="1329"/>
      <c r="AC20" s="1618"/>
      <c r="AD20" s="1541"/>
      <c r="AE20" s="1329"/>
      <c r="AF20" s="1329"/>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329"/>
      <c r="BW20" s="1329"/>
      <c r="BX20" s="1329"/>
      <c r="BY20" s="1329"/>
      <c r="BZ20" s="1329"/>
      <c r="CA20" s="1329"/>
      <c r="CB20" s="1329"/>
      <c r="CC20" s="1329"/>
      <c r="CD20" s="1329"/>
      <c r="CE20" s="1329"/>
    </row>
    <row s="39829" customFormat="1" customHeight="1" ht="11.25" hidden="1">
      <c r="A21" s="1620"/>
      <c r="B21" s="1423"/>
      <c r="C21" s="1423"/>
      <c r="D21" s="3198"/>
      <c r="E21" s="1547"/>
      <c r="F21" s="1547">
        <v>0</v>
      </c>
      <c r="G21" s="1547"/>
      <c r="H21" s="1547"/>
      <c r="I21" s="1547"/>
      <c r="J21" s="1547"/>
      <c r="K21" s="1547"/>
      <c r="L21" s="1547"/>
      <c r="M21" s="1547"/>
      <c r="N21" s="1547"/>
      <c r="O21" s="1547"/>
      <c r="P21" s="1547"/>
      <c r="Q21" s="1547"/>
      <c r="R21" s="1547"/>
      <c r="S21" s="1548"/>
      <c r="T21" s="1630"/>
      <c r="U21" s="3191"/>
      <c r="V21" s="3191"/>
      <c r="W21" s="1423"/>
      <c r="X21" s="1423"/>
      <c r="Y21" s="1423"/>
      <c r="Z21" s="1423"/>
      <c r="AA21" s="1423"/>
      <c r="AB21" s="1329"/>
      <c r="AC21" s="1618"/>
      <c r="AD21" s="1541"/>
      <c r="AE21" s="1329"/>
      <c r="AF21" s="1329"/>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c r="CE21" s="1423"/>
    </row>
    <row s="39829" customFormat="1" customHeight="1" ht="11.25" hidden="1">
      <c r="A22" s="1545"/>
      <c r="B22" s="1329"/>
      <c r="C22" s="1324"/>
      <c r="D22" s="3199"/>
      <c r="E22" s="1561" t="s">
        <v>18</v>
      </c>
      <c r="F22" s="1562" t="s">
        <v>18</v>
      </c>
      <c r="G22" s="1562" t="s">
        <v>18</v>
      </c>
      <c r="H22" s="1563" t="s">
        <v>18</v>
      </c>
      <c r="I22" s="1563"/>
      <c r="J22" s="1563"/>
      <c r="K22" s="1563"/>
      <c r="L22" s="1563"/>
      <c r="M22" s="1563"/>
      <c r="N22" s="1563"/>
      <c r="O22" s="1563"/>
      <c r="P22" s="1563"/>
      <c r="Q22" s="1563"/>
      <c r="R22" s="1564"/>
      <c r="S22" s="1933"/>
      <c r="T22" s="1630"/>
      <c r="U22" s="3191"/>
      <c r="V22" s="3191"/>
      <c r="W22" s="1329"/>
      <c r="X22" s="1329"/>
      <c r="Y22" s="1329"/>
      <c r="Z22" s="1329"/>
      <c r="AA22" s="1423"/>
      <c r="AB22" s="1329"/>
      <c r="AC22" s="1618"/>
      <c r="AD22" s="1541"/>
      <c r="AE22" s="1329"/>
      <c r="AF22" s="1329"/>
      <c r="AG22" s="1423"/>
      <c r="AH22" s="1423"/>
      <c r="AI22" s="1423"/>
      <c r="AJ22" s="1423"/>
      <c r="AK22" s="1423"/>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23"/>
      <c r="BM22" s="1423"/>
      <c r="BN22" s="1423"/>
      <c r="BO22" s="1423"/>
      <c r="BP22" s="1423"/>
      <c r="BQ22" s="1423"/>
      <c r="BR22" s="1423"/>
      <c r="BS22" s="1423"/>
      <c r="BT22" s="1423"/>
      <c r="BU22" s="1423"/>
      <c r="BV22" s="1329"/>
      <c r="BW22" s="1329"/>
      <c r="BX22" s="1329"/>
      <c r="BY22" s="1329"/>
      <c r="BZ22" s="1329"/>
      <c r="CA22" s="1329"/>
      <c r="CB22" s="1329"/>
      <c r="CC22" s="1329"/>
      <c r="CD22" s="1329"/>
      <c r="CE22" s="1329"/>
    </row>
    <row customHeight="1" ht="18.75">
      <c r="D23" s="1960"/>
      <c r="E23" s="1960"/>
      <c r="F23" s="1960"/>
      <c r="G23" s="1960"/>
      <c r="H23" s="1960"/>
      <c r="I23" s="1960"/>
      <c r="J23" s="1960"/>
      <c r="K23" s="1960"/>
      <c r="L23" s="1960"/>
      <c r="M23" s="1960"/>
      <c r="N23" s="1960"/>
      <c r="O23" s="1960"/>
      <c r="P23" s="1960"/>
      <c r="Q23" s="1960"/>
      <c r="R23" s="1960"/>
      <c r="S23" s="1960"/>
      <c r="T23" s="1246"/>
    </row>
    <row customHeight="1" ht="11.25">
      <c r="D24" s="1421"/>
    </row>
    <row customHeight="1" ht="11.25">
      <c r="D25" s="1566"/>
      <c r="E25" s="1566"/>
      <c r="F25" s="1566"/>
      <c r="G25" s="1567"/>
    </row>
    <row r="27" customHeight="1" ht="11.25">
      <c r="D27" s="1568"/>
      <c r="E27" s="3201"/>
      <c r="F27" s="3201"/>
      <c r="G27" s="3201"/>
      <c r="H27" s="3201"/>
      <c r="I27" s="3201"/>
      <c r="J27" s="3201"/>
      <c r="K27" s="3201"/>
      <c r="L27" s="3201"/>
      <c r="M27" s="3201"/>
      <c r="N27" s="3201"/>
      <c r="O27" s="3201"/>
      <c r="P27" s="3201"/>
      <c r="Q27" s="3201"/>
      <c r="R27" s="3201"/>
    </row>
    <row customHeight="1" ht="11.25">
      <c r="F28" s="1670"/>
      <c r="G28" s="1670"/>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5C15F6-1C9C-FD09-93FC-F5299AFD8DFF}"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40614" width="10.7109375" hidden="1" customWidth="1"/>
    <col min="2" max="2" style="40129" width="16.8515625" hidden="1" customWidth="1"/>
    <col min="3" max="3" style="40255" width="5.57421875" hidden="1" customWidth="1"/>
    <col min="4" max="4" style="40615" width="3.7109375" customWidth="1"/>
    <col min="5" max="5" style="40257" width="7.7109375" customWidth="1"/>
    <col min="6" max="6" style="40257" width="56.140625" customWidth="1"/>
    <col min="7" max="7" style="40257" width="10.421875" customWidth="1"/>
    <col min="8" max="8" style="40257" width="40.7109375" hidden="1" customWidth="1"/>
    <col min="9" max="9" style="40257" width="40.7109375" customWidth="1"/>
    <col min="10" max="10" style="40257" width="102.8515625" customWidth="1"/>
    <col min="11" max="11" style="40129" width="9.7109375" customWidth="1"/>
    <col min="12" max="12" style="40255" width="5.28125" customWidth="1"/>
    <col min="13" max="13" style="40255" width="3.7109375" customWidth="1"/>
    <col min="14" max="17" style="40129" width="3.7109375" customWidth="1"/>
    <col min="18" max="18" style="40255" width="10.57421875" customWidth="1"/>
    <col min="19" max="19" style="40129" width="34.7109375" customWidth="1"/>
    <col min="20" max="20" style="40129" width="9.421875" customWidth="1"/>
    <col min="21" max="21" style="40616" width="9.140625"/>
    <col min="22" max="26" style="40129" width="9.140625"/>
    <col min="27" max="31" style="40518" width="9.140625"/>
  </cols>
  <sheetData>
    <row s="40129" customFormat="1" customHeight="1" ht="11.25" hidden="1">
      <c r="A1" s="1900"/>
      <c r="C1" s="2551"/>
      <c r="D1" s="1449"/>
      <c r="H1" s="2074">
        <v>4</v>
      </c>
      <c r="I1" s="2074">
        <v>4</v>
      </c>
      <c r="L1" s="2551"/>
      <c r="M1" s="2551"/>
      <c r="R1" s="2551"/>
    </row>
    <row s="40129" customFormat="1" customHeight="1" ht="22.5" hidden="1">
      <c r="A2" s="1900"/>
      <c r="C2" s="2551"/>
      <c r="D2" s="1450"/>
      <c r="E2" s="2552"/>
      <c r="F2" s="1452"/>
      <c r="G2" s="2554" t="s">
        <v>544</v>
      </c>
      <c r="H2" s="1453"/>
      <c r="I2" s="1453"/>
      <c r="J2" s="1454" t="s">
        <v>607</v>
      </c>
      <c r="K2" s="1455"/>
      <c r="L2" s="2551"/>
      <c r="M2" s="2551"/>
      <c r="R2" s="2551"/>
      <c r="U2" s="1456"/>
      <c r="AA2" s="2547"/>
      <c r="AB2" s="2547"/>
      <c r="AC2" s="2547"/>
      <c r="AD2" s="2547"/>
      <c r="AE2" s="2547"/>
    </row>
    <row customHeight="1" ht="11.25" hidden="1"/>
    <row s="40518" customFormat="1" customHeight="1" ht="11.25" hidden="1">
      <c r="A4" s="1900"/>
      <c r="B4" s="2074"/>
      <c r="C4" s="2551"/>
      <c r="D4" s="1274"/>
      <c r="J4" s="2547">
        <v>4</v>
      </c>
      <c r="K4" s="2074"/>
      <c r="L4" s="2551"/>
      <c r="M4" s="2551"/>
      <c r="N4" s="2074"/>
      <c r="O4" s="2074"/>
      <c r="P4" s="2074"/>
      <c r="Q4" s="2074"/>
      <c r="R4" s="2551"/>
      <c r="S4" s="2074"/>
      <c r="T4" s="2074"/>
      <c r="U4" s="1456"/>
      <c r="V4" s="2074"/>
      <c r="W4" s="2074"/>
      <c r="X4" s="2074"/>
      <c r="Y4" s="2074"/>
      <c r="Z4" s="2074"/>
    </row>
    <row r="6" customHeight="1" ht="22.5">
      <c r="E6" s="3124" t="s">
        <v>608</v>
      </c>
      <c r="F6" s="3124"/>
      <c r="G6" s="3124"/>
      <c r="H6" s="3124"/>
      <c r="I6" s="3124"/>
      <c r="J6" s="1468"/>
    </row>
    <row customHeight="1" ht="24">
      <c r="E7" s="3073" t="str">
        <f>IF(org=0,"Не определено",org)</f>
        <v>ПАО "ТГК-1" филиал "Невский"</v>
      </c>
      <c r="F7" s="3073"/>
      <c r="G7" s="3073"/>
      <c r="H7" s="3073"/>
      <c r="I7" s="3073"/>
    </row>
    <row customHeight="1" ht="11.25">
      <c r="E8" s="2049"/>
      <c r="F8" s="2049"/>
      <c r="G8" s="2049"/>
      <c r="H8" s="2049"/>
      <c r="I8" s="2049"/>
    </row>
    <row s="40255" customFormat="1" customHeight="1" ht="0.75">
      <c r="A9" s="2081"/>
      <c r="D9" s="2557"/>
      <c r="H9" s="1801"/>
      <c r="I9" s="1801" t="s">
        <v>110</v>
      </c>
    </row>
    <row customHeight="1" ht="11.25">
      <c r="E10" s="1623"/>
      <c r="F10" s="3184" t="s">
        <v>98</v>
      </c>
      <c r="G10" s="3185"/>
      <c r="H10" s="2467" t="str">
        <f>IF(H9="","",INDEX(DIFFERENTIATION_UNMERGE_VD,MATCH(H9,DIFFERENTIATION_ID_DIFF,0)))</f>
        <v/>
      </c>
      <c r="I10" s="2467">
        <f>IF(I9="","",INDEX(DIFFERENTIATION_UNMERGE_VD,MATCH(I9,DIFFERENTIATION_ID_DIFF,0)))</f>
        <v>0</v>
      </c>
      <c r="J10" s="2953"/>
    </row>
    <row customHeight="1" ht="11.25">
      <c r="E11" s="1623"/>
      <c r="F11" s="3184" t="s">
        <v>556</v>
      </c>
      <c r="G11" s="3185"/>
      <c r="H11" s="2467" t="str">
        <f>IF(H9="","",INDEX(DIFFERENTIATION_UNMERGE_AREA,MATCH(H9,DIFFERENTIATION_ID_DIFF,0)))</f>
        <v/>
      </c>
      <c r="I11" s="2467" t="str">
        <f>IF(I9="","",INDEX(DIFFERENTIATION_UNMERGE_AREA,MATCH(I9,DIFFERENTIATION_ID_DIFF,0)))</f>
        <v/>
      </c>
      <c r="J11" s="2953"/>
    </row>
    <row customHeight="1" ht="11.25" hidden="1">
      <c r="E12" s="2577"/>
      <c r="F12" s="3202" t="s">
        <v>557</v>
      </c>
      <c r="G12" s="3203"/>
      <c r="H12" s="2578" t="str">
        <f>IF(H9="","",INDEX(DIFFERENTIATION_UNMERGE_SYSTEM,MATCH(H9,DIFFERENTIATION_ID_DIFF,0)))</f>
        <v/>
      </c>
      <c r="I12" s="2578" t="str">
        <f>IF(I9="","",INDEX(DIFFERENTIATION_UNMERGE_SYSTEM,MATCH(I9,DIFFERENTIATION_ID_DIFF,0)))</f>
        <v>без дифференциации</v>
      </c>
      <c r="J12" s="2953"/>
    </row>
    <row customHeight="1" ht="11.25">
      <c r="E13" s="3186" t="s">
        <v>291</v>
      </c>
      <c r="F13" s="3187"/>
      <c r="G13" s="3187"/>
      <c r="H13" s="2466"/>
      <c r="I13" s="2466"/>
      <c r="J13" s="2953"/>
    </row>
    <row customHeight="1" ht="22.5">
      <c r="E14" s="2554" t="s">
        <v>84</v>
      </c>
      <c r="F14" s="2549" t="s">
        <v>293</v>
      </c>
      <c r="G14" s="2549" t="s">
        <v>558</v>
      </c>
      <c r="H14" s="2549" t="s">
        <v>294</v>
      </c>
      <c r="I14" s="2549" t="s">
        <v>294</v>
      </c>
      <c r="J14" s="2953"/>
    </row>
    <row customHeight="1" ht="18.75">
      <c r="D15" s="2553"/>
      <c r="E15" s="2545" t="s">
        <v>102</v>
      </c>
      <c r="F15" s="1619" t="s">
        <v>609</v>
      </c>
      <c r="G15" s="2561" t="s">
        <v>544</v>
      </c>
      <c r="H15" s="1469"/>
      <c r="I15" s="1469"/>
      <c r="J15" s="1201" t="s">
        <v>610</v>
      </c>
      <c r="K15" s="1455" t="s">
        <v>611</v>
      </c>
    </row>
    <row customHeight="1" ht="33.75">
      <c r="D16" s="2553"/>
      <c r="E16" s="2545" t="s">
        <v>103</v>
      </c>
      <c r="F16" s="1619" t="s">
        <v>612</v>
      </c>
      <c r="G16" s="2561" t="s">
        <v>544</v>
      </c>
      <c r="H16" s="1470">
        <f>SUM(H17,H20:H32)</f>
        <v>0</v>
      </c>
      <c r="I16" s="1470">
        <f>SUM(I17,I20:I32)</f>
        <v>0</v>
      </c>
      <c r="J16" s="1201" t="s">
        <v>613</v>
      </c>
      <c r="K16" s="1455" t="s">
        <v>611</v>
      </c>
    </row>
    <row customHeight="1" ht="18.75">
      <c r="D17" s="2553"/>
      <c r="E17" s="2579" t="s">
        <v>614</v>
      </c>
      <c r="F17" s="1867" t="s">
        <v>615</v>
      </c>
      <c r="G17" s="2558" t="s">
        <v>544</v>
      </c>
      <c r="H17" s="1469"/>
      <c r="I17" s="1469"/>
      <c r="J17" s="1201" t="s">
        <v>616</v>
      </c>
      <c r="K17" s="1455"/>
    </row>
    <row customHeight="1" ht="22.5">
      <c r="D18" s="2553"/>
      <c r="E18" s="2579" t="s">
        <v>617</v>
      </c>
      <c r="F18" s="2565" t="s">
        <v>618</v>
      </c>
      <c r="G18" s="2558" t="s">
        <v>544</v>
      </c>
      <c r="H18" s="1469"/>
      <c r="I18" s="1469"/>
      <c r="J18" s="1201" t="s">
        <v>619</v>
      </c>
      <c r="K18" s="1455"/>
    </row>
    <row customHeight="1" ht="33.75">
      <c r="D19" s="2553"/>
      <c r="E19" s="2579" t="s">
        <v>620</v>
      </c>
      <c r="F19" s="2565" t="s">
        <v>621</v>
      </c>
      <c r="G19" s="2558" t="s">
        <v>544</v>
      </c>
      <c r="H19" s="1469"/>
      <c r="I19" s="1469"/>
      <c r="J19" s="1201"/>
      <c r="K19" s="1455"/>
    </row>
    <row customHeight="1" ht="18.75">
      <c r="D20" s="2553"/>
      <c r="E20" s="2579" t="s">
        <v>298</v>
      </c>
      <c r="F20" s="1867" t="s">
        <v>622</v>
      </c>
      <c r="G20" s="2558" t="s">
        <v>544</v>
      </c>
      <c r="H20" s="1469"/>
      <c r="I20" s="1469"/>
      <c r="J20" s="1201" t="s">
        <v>623</v>
      </c>
      <c r="K20" s="1455"/>
    </row>
    <row customHeight="1" ht="18.75">
      <c r="D21" s="2553"/>
      <c r="E21" s="2579" t="s">
        <v>624</v>
      </c>
      <c r="F21" s="2565" t="s">
        <v>625</v>
      </c>
      <c r="G21" s="2558" t="s">
        <v>544</v>
      </c>
      <c r="H21" s="1469"/>
      <c r="I21" s="1469"/>
      <c r="J21" s="1201"/>
      <c r="K21" s="1455"/>
    </row>
    <row customHeight="1" ht="18.75">
      <c r="D22" s="2553"/>
      <c r="E22" s="2579" t="s">
        <v>626</v>
      </c>
      <c r="F22" s="2565" t="s">
        <v>627</v>
      </c>
      <c r="G22" s="2558" t="s">
        <v>544</v>
      </c>
      <c r="H22" s="1469"/>
      <c r="I22" s="1469"/>
      <c r="J22" s="1201"/>
      <c r="K22" s="1455"/>
    </row>
    <row customHeight="1" ht="22.5">
      <c r="D23" s="2553"/>
      <c r="E23" s="2579" t="s">
        <v>301</v>
      </c>
      <c r="F23" s="1867" t="s">
        <v>628</v>
      </c>
      <c r="G23" s="2558" t="s">
        <v>544</v>
      </c>
      <c r="H23" s="1469"/>
      <c r="I23" s="1469"/>
      <c r="J23" s="1201" t="s">
        <v>629</v>
      </c>
      <c r="K23" s="1455"/>
    </row>
    <row customHeight="1" ht="18.75">
      <c r="D24" s="2553"/>
      <c r="E24" s="2579" t="s">
        <v>630</v>
      </c>
      <c r="F24" s="2565" t="s">
        <v>631</v>
      </c>
      <c r="G24" s="2558" t="s">
        <v>544</v>
      </c>
      <c r="H24" s="1469"/>
      <c r="I24" s="1469"/>
      <c r="J24" s="1201"/>
      <c r="K24" s="1455"/>
    </row>
    <row customHeight="1" ht="33.75">
      <c r="D25" s="2553"/>
      <c r="E25" s="2579" t="s">
        <v>632</v>
      </c>
      <c r="F25" s="2565" t="s">
        <v>633</v>
      </c>
      <c r="G25" s="2558" t="s">
        <v>544</v>
      </c>
      <c r="H25" s="1469"/>
      <c r="I25" s="1469"/>
      <c r="J25" s="1201"/>
      <c r="K25" s="1455"/>
    </row>
    <row customHeight="1" ht="22.5">
      <c r="D26" s="2553"/>
      <c r="E26" s="2579" t="s">
        <v>634</v>
      </c>
      <c r="F26" s="1867" t="s">
        <v>635</v>
      </c>
      <c r="G26" s="2558" t="s">
        <v>544</v>
      </c>
      <c r="H26" s="1469"/>
      <c r="I26" s="1469"/>
      <c r="J26" s="1201" t="s">
        <v>636</v>
      </c>
      <c r="K26" s="1455"/>
    </row>
    <row customHeight="1" ht="18.75">
      <c r="D27" s="2553"/>
      <c r="E27" s="2590" t="s">
        <v>637</v>
      </c>
      <c r="F27" s="2565" t="s">
        <v>638</v>
      </c>
      <c r="G27" s="2569" t="s">
        <v>544</v>
      </c>
      <c r="H27" s="2591"/>
      <c r="I27" s="2591"/>
      <c r="J27" s="1201"/>
      <c r="K27" s="1455"/>
    </row>
    <row customHeight="1" ht="18.75">
      <c r="D28" s="2553"/>
      <c r="E28" s="2590" t="s">
        <v>639</v>
      </c>
      <c r="F28" s="2565" t="s">
        <v>640</v>
      </c>
      <c r="G28" s="2569" t="s">
        <v>544</v>
      </c>
      <c r="H28" s="2591"/>
      <c r="I28" s="2591"/>
      <c r="J28" s="1201"/>
      <c r="K28" s="1455"/>
    </row>
    <row customHeight="1" ht="18.75">
      <c r="D29" s="2553"/>
      <c r="E29" s="2590" t="s">
        <v>641</v>
      </c>
      <c r="F29" s="1867" t="s">
        <v>642</v>
      </c>
      <c r="G29" s="2569" t="s">
        <v>544</v>
      </c>
      <c r="H29" s="2591"/>
      <c r="I29" s="2591"/>
      <c r="J29" s="1201"/>
      <c r="K29" s="1455"/>
    </row>
    <row customHeight="1" ht="18.75">
      <c r="D30" s="2553"/>
      <c r="E30" s="2590" t="s">
        <v>643</v>
      </c>
      <c r="F30" s="1867" t="s">
        <v>644</v>
      </c>
      <c r="G30" s="2569" t="s">
        <v>544</v>
      </c>
      <c r="H30" s="2591"/>
      <c r="I30" s="2591"/>
      <c r="J30" s="1201"/>
      <c r="K30" s="1455"/>
    </row>
    <row customHeight="1" ht="18.75">
      <c r="D31" s="2553"/>
      <c r="E31" s="2590" t="s">
        <v>645</v>
      </c>
      <c r="F31" s="1867" t="s">
        <v>646</v>
      </c>
      <c r="G31" s="2569" t="s">
        <v>544</v>
      </c>
      <c r="H31" s="2591"/>
      <c r="I31" s="2591"/>
      <c r="J31" s="1201"/>
      <c r="K31" s="1455"/>
    </row>
    <row s="40129" customFormat="1" customHeight="1" ht="22.5">
      <c r="A32" s="1900"/>
      <c r="C32" s="2551"/>
      <c r="D32" s="2553"/>
      <c r="E32" s="2590" t="s">
        <v>647</v>
      </c>
      <c r="F32" s="1867" t="s">
        <v>648</v>
      </c>
      <c r="G32" s="2559" t="s">
        <v>544</v>
      </c>
      <c r="H32" s="1491">
        <f>SUM(H33:H34)</f>
        <v>0</v>
      </c>
      <c r="I32" s="1491">
        <f>SUM(I33:I34)</f>
        <v>0</v>
      </c>
      <c r="J32" s="1201" t="s">
        <v>649</v>
      </c>
      <c r="K32" s="1455"/>
      <c r="L32" s="2551"/>
      <c r="M32" s="2551"/>
      <c r="R32" s="2551"/>
      <c r="U32" s="1456"/>
      <c r="AA32" s="2547"/>
      <c r="AB32" s="2547"/>
      <c r="AC32" s="2547"/>
      <c r="AD32" s="2547"/>
      <c r="AE32" s="2547"/>
    </row>
    <row s="40255" customFormat="1" customHeight="1" ht="0.75">
      <c r="A33" s="2081"/>
      <c r="D33" s="1460"/>
      <c r="E33" s="1714" t="str">
        <f>E32&amp;".0"</f>
        <v>2.8.0</v>
      </c>
      <c r="F33" s="1904"/>
      <c r="G33" s="1463"/>
      <c r="H33" s="1905"/>
      <c r="I33" s="1905"/>
      <c r="J33" s="1906"/>
    </row>
    <row s="40129" customFormat="1" customHeight="1" ht="18.75">
      <c r="A34" s="1900"/>
      <c r="C34" s="2551"/>
      <c r="D34" s="2548"/>
      <c r="E34" s="1482"/>
      <c r="F34" s="2581" t="s">
        <v>569</v>
      </c>
      <c r="G34" s="1484"/>
      <c r="H34" s="1485"/>
      <c r="I34" s="1485"/>
      <c r="J34" s="1213" t="s">
        <v>650</v>
      </c>
      <c r="K34" s="1455"/>
      <c r="L34" s="2551"/>
      <c r="M34" s="2551"/>
      <c r="R34" s="2551"/>
      <c r="U34" s="1456"/>
      <c r="AA34" s="2547"/>
      <c r="AB34" s="2547"/>
      <c r="AC34" s="2547"/>
      <c r="AD34" s="2547"/>
      <c r="AE34" s="2547"/>
    </row>
    <row customHeight="1" ht="56.25">
      <c r="D35" s="2553"/>
      <c r="E35" s="2590" t="s">
        <v>651</v>
      </c>
      <c r="F35" s="1867" t="s">
        <v>652</v>
      </c>
      <c r="G35" s="2569" t="s">
        <v>544</v>
      </c>
      <c r="H35" s="2591"/>
      <c r="I35" s="2591"/>
      <c r="J35" s="1201" t="s">
        <v>653</v>
      </c>
      <c r="K35" s="1455"/>
    </row>
    <row s="40129" customFormat="1" customHeight="1" ht="22.5">
      <c r="A36" s="1902" t="s">
        <v>570</v>
      </c>
      <c r="C36" s="2551"/>
      <c r="D36" s="2553"/>
      <c r="E36" s="2579" t="s">
        <v>86</v>
      </c>
      <c r="F36" s="1619" t="s">
        <v>654</v>
      </c>
      <c r="G36" s="2558" t="s">
        <v>544</v>
      </c>
      <c r="H36" s="1469"/>
      <c r="I36" s="1469"/>
      <c r="J36" s="1201" t="s">
        <v>655</v>
      </c>
      <c r="K36" s="1455"/>
      <c r="L36" s="2551"/>
      <c r="M36" s="2551"/>
      <c r="R36" s="2551"/>
      <c r="U36" s="1456"/>
      <c r="AA36" s="2547"/>
      <c r="AB36" s="2547"/>
      <c r="AC36" s="2547"/>
      <c r="AD36" s="2547"/>
      <c r="AE36" s="2547"/>
    </row>
    <row s="40129" customFormat="1" customHeight="1" ht="22.5">
      <c r="A37" s="1902"/>
      <c r="C37" s="2551"/>
      <c r="D37" s="2553"/>
      <c r="E37" s="2579" t="s">
        <v>315</v>
      </c>
      <c r="F37" s="1867" t="s">
        <v>656</v>
      </c>
      <c r="G37" s="2569"/>
      <c r="H37" s="1469"/>
      <c r="I37" s="1469"/>
      <c r="J37" s="1201"/>
      <c r="K37" s="1455"/>
      <c r="L37" s="2551"/>
      <c r="M37" s="2551"/>
      <c r="R37" s="2551"/>
      <c r="U37" s="1456"/>
      <c r="AA37" s="2547"/>
      <c r="AB37" s="2547"/>
      <c r="AC37" s="2547"/>
      <c r="AD37" s="2547"/>
      <c r="AE37" s="2547"/>
    </row>
    <row s="40129" customFormat="1" customHeight="1" ht="18.75">
      <c r="A38" s="1900"/>
      <c r="C38" s="2551"/>
      <c r="D38" s="1487"/>
      <c r="E38" s="2579" t="s">
        <v>87</v>
      </c>
      <c r="F38" s="1619" t="s">
        <v>657</v>
      </c>
      <c r="G38" s="2558" t="s">
        <v>544</v>
      </c>
      <c r="H38" s="1469"/>
      <c r="I38" s="1469"/>
      <c r="J38" s="1201" t="s">
        <v>658</v>
      </c>
      <c r="K38" s="1455"/>
      <c r="L38" s="2551"/>
      <c r="M38" s="2551"/>
      <c r="R38" s="2551"/>
      <c r="U38" s="1456"/>
      <c r="AA38" s="2547"/>
      <c r="AB38" s="2547"/>
      <c r="AC38" s="2547"/>
      <c r="AD38" s="2547"/>
      <c r="AE38" s="2547"/>
    </row>
    <row s="40129" customFormat="1" customHeight="1" ht="22.5">
      <c r="A39" s="1900"/>
      <c r="C39" s="2551"/>
      <c r="D39" s="1487"/>
      <c r="E39" s="2579" t="s">
        <v>659</v>
      </c>
      <c r="F39" s="1867" t="s">
        <v>660</v>
      </c>
      <c r="G39" s="2569" t="s">
        <v>544</v>
      </c>
      <c r="H39" s="1469"/>
      <c r="I39" s="1469"/>
      <c r="J39" s="1201" t="s">
        <v>661</v>
      </c>
      <c r="K39" s="1455"/>
      <c r="L39" s="2551"/>
      <c r="M39" s="2551"/>
      <c r="R39" s="2551"/>
      <c r="U39" s="1456"/>
      <c r="AA39" s="2547"/>
      <c r="AB39" s="2547"/>
      <c r="AC39" s="2547"/>
      <c r="AD39" s="2547"/>
      <c r="AE39" s="2547"/>
    </row>
    <row s="40129" customFormat="1" customHeight="1" ht="22.5">
      <c r="A40" s="1900"/>
      <c r="C40" s="2551"/>
      <c r="D40" s="2553"/>
      <c r="E40" s="2579" t="s">
        <v>662</v>
      </c>
      <c r="F40" s="2565" t="s">
        <v>663</v>
      </c>
      <c r="G40" s="2558" t="s">
        <v>544</v>
      </c>
      <c r="H40" s="1469"/>
      <c r="I40" s="1469"/>
      <c r="J40" s="1201" t="s">
        <v>664</v>
      </c>
      <c r="K40" s="1455"/>
      <c r="L40" s="2551"/>
      <c r="M40" s="2551"/>
      <c r="R40" s="2551"/>
      <c r="U40" s="1456"/>
      <c r="AA40" s="2547"/>
      <c r="AB40" s="2547"/>
      <c r="AC40" s="2547"/>
      <c r="AD40" s="2547"/>
      <c r="AE40" s="2547"/>
    </row>
    <row s="40129" customFormat="1" customHeight="1" ht="22.5">
      <c r="A41" s="1900"/>
      <c r="C41" s="2551"/>
      <c r="D41" s="2553"/>
      <c r="E41" s="2579" t="s">
        <v>665</v>
      </c>
      <c r="F41" s="2565" t="s">
        <v>666</v>
      </c>
      <c r="G41" s="2558" t="s">
        <v>544</v>
      </c>
      <c r="H41" s="1469"/>
      <c r="I41" s="1469"/>
      <c r="J41" s="1201" t="s">
        <v>667</v>
      </c>
      <c r="K41" s="1455"/>
      <c r="L41" s="2551"/>
      <c r="M41" s="2551"/>
      <c r="R41" s="2551"/>
      <c r="U41" s="1456"/>
      <c r="AA41" s="2547"/>
      <c r="AB41" s="2547"/>
      <c r="AC41" s="2547"/>
      <c r="AD41" s="2547"/>
      <c r="AE41" s="2547"/>
    </row>
    <row s="40129" customFormat="1" customHeight="1" ht="22.5">
      <c r="A42" s="1900"/>
      <c r="C42" s="2551"/>
      <c r="D42" s="2553"/>
      <c r="E42" s="2579" t="s">
        <v>668</v>
      </c>
      <c r="F42" s="2565" t="s">
        <v>669</v>
      </c>
      <c r="G42" s="2558" t="s">
        <v>544</v>
      </c>
      <c r="H42" s="1469"/>
      <c r="I42" s="1469"/>
      <c r="J42" s="1201" t="s">
        <v>670</v>
      </c>
      <c r="K42" s="1455"/>
      <c r="L42" s="2551"/>
      <c r="M42" s="2551"/>
      <c r="R42" s="2551"/>
      <c r="U42" s="1456"/>
      <c r="AA42" s="2547"/>
      <c r="AB42" s="2547"/>
      <c r="AC42" s="2547"/>
      <c r="AD42" s="2547"/>
      <c r="AE42" s="2547"/>
    </row>
    <row s="40129" customFormat="1" customHeight="1" ht="33.75">
      <c r="A43" s="1900"/>
      <c r="C43" s="2551" t="s">
        <v>580</v>
      </c>
      <c r="D43" s="2553"/>
      <c r="E43" s="2579" t="s">
        <v>104</v>
      </c>
      <c r="F43" s="1619" t="s">
        <v>671</v>
      </c>
      <c r="G43" s="2561" t="s">
        <v>672</v>
      </c>
      <c r="H43" s="1313"/>
      <c r="I43" s="1313"/>
      <c r="J43" s="1201" t="s">
        <v>673</v>
      </c>
      <c r="K43" s="1455"/>
      <c r="L43" s="2551"/>
      <c r="M43" s="2551"/>
      <c r="R43" s="2551"/>
      <c r="U43" s="1456"/>
      <c r="AA43" s="2547"/>
      <c r="AB43" s="2547"/>
      <c r="AC43" s="2547"/>
      <c r="AD43" s="2547"/>
      <c r="AE43" s="2547"/>
    </row>
    <row s="40129" customFormat="1" customHeight="1" ht="22.5">
      <c r="A44" s="1900"/>
      <c r="C44" s="2551"/>
      <c r="D44" s="2553"/>
      <c r="E44" s="2579" t="s">
        <v>88</v>
      </c>
      <c r="F44" s="1619" t="s">
        <v>674</v>
      </c>
      <c r="G44" s="2558" t="s">
        <v>675</v>
      </c>
      <c r="H44" s="1457"/>
      <c r="I44" s="1457"/>
      <c r="J44" s="1201" t="s">
        <v>676</v>
      </c>
      <c r="K44" s="1455"/>
      <c r="L44" s="2551"/>
      <c r="M44" s="2551"/>
      <c r="R44" s="2551"/>
      <c r="U44" s="1456"/>
      <c r="AA44" s="2547"/>
      <c r="AB44" s="2547"/>
      <c r="AC44" s="2547"/>
      <c r="AD44" s="2547"/>
      <c r="AE44" s="2547"/>
    </row>
    <row s="40129" customFormat="1" customHeight="1" ht="22.5">
      <c r="A45" s="1900"/>
      <c r="C45" s="2551"/>
      <c r="D45" s="2553"/>
      <c r="E45" s="2579" t="s">
        <v>89</v>
      </c>
      <c r="F45" s="1619" t="s">
        <v>677</v>
      </c>
      <c r="G45" s="2569" t="s">
        <v>678</v>
      </c>
      <c r="H45" s="1457"/>
      <c r="I45" s="1457"/>
      <c r="J45" s="1201" t="s">
        <v>679</v>
      </c>
      <c r="K45" s="1455"/>
      <c r="L45" s="2551"/>
      <c r="M45" s="2551"/>
      <c r="R45" s="2551"/>
      <c r="U45" s="1456"/>
      <c r="AA45" s="2547"/>
      <c r="AB45" s="2547"/>
      <c r="AC45" s="2547"/>
      <c r="AD45" s="2547"/>
      <c r="AE45" s="2547"/>
    </row>
    <row s="40129" customFormat="1" customHeight="1" ht="18.75">
      <c r="A46" s="1900"/>
      <c r="C46" s="2551"/>
      <c r="D46" s="2553"/>
      <c r="E46" s="2579" t="s">
        <v>105</v>
      </c>
      <c r="F46" s="1619" t="s">
        <v>680</v>
      </c>
      <c r="G46" s="2558" t="s">
        <v>582</v>
      </c>
      <c r="H46" s="1489"/>
      <c r="I46" s="1489"/>
      <c r="J46" s="1201"/>
      <c r="K46" s="1455"/>
      <c r="L46" s="2551"/>
      <c r="M46" s="2551"/>
      <c r="R46" s="2551"/>
      <c r="U46" s="1456"/>
      <c r="AA46" s="2547"/>
      <c r="AB46" s="2547"/>
      <c r="AC46" s="2547"/>
      <c r="AD46" s="2547"/>
      <c r="AE46" s="2547"/>
    </row>
    <row customHeight="1" ht="11.25">
      <c r="D47" s="2553"/>
    </row>
    <row customHeight="1" ht="26.25">
      <c r="D48" s="2553"/>
      <c r="E48" s="2167"/>
      <c r="F48" s="3109"/>
      <c r="G48" s="3109"/>
      <c r="H48" s="3109"/>
      <c r="I48" s="3109"/>
      <c r="J48" s="3109"/>
    </row>
    <row s="40252" customFormat="1" customHeight="1" ht="37.5">
      <c r="A49" s="1900"/>
      <c r="B49" s="2551"/>
      <c r="C49" s="2551"/>
      <c r="D49" s="1263"/>
      <c r="F49" s="3109"/>
      <c r="G49" s="3109"/>
      <c r="H49" s="3109"/>
      <c r="I49" s="3109"/>
      <c r="J49" s="3109"/>
      <c r="K49" s="2074"/>
      <c r="L49" s="2551"/>
      <c r="M49" s="2551"/>
      <c r="N49" s="2074"/>
      <c r="O49" s="2074"/>
      <c r="P49" s="2074"/>
      <c r="Q49" s="2074"/>
      <c r="R49" s="2551"/>
      <c r="S49" s="2074"/>
      <c r="T49" s="2074"/>
      <c r="U49" s="1456"/>
      <c r="V49" s="2074"/>
      <c r="W49" s="2074"/>
      <c r="X49" s="2074"/>
      <c r="Y49" s="2074"/>
      <c r="Z49" s="2074"/>
      <c r="AA49" s="2547"/>
      <c r="AB49" s="1478"/>
      <c r="AC49" s="1478"/>
      <c r="AD49" s="1478"/>
      <c r="AE49" s="1478"/>
    </row>
    <row s="40252" customFormat="1" customHeight="1" ht="11.25">
      <c r="A50" s="1900"/>
      <c r="B50" s="2551"/>
      <c r="C50" s="2551"/>
      <c r="D50" s="1263"/>
      <c r="K50" s="2074"/>
      <c r="L50" s="2551"/>
      <c r="M50" s="2551"/>
      <c r="N50" s="2074"/>
      <c r="O50" s="2074"/>
      <c r="P50" s="2074"/>
      <c r="Q50" s="2074"/>
      <c r="R50" s="2551"/>
      <c r="S50" s="2074"/>
      <c r="T50" s="2074"/>
      <c r="U50" s="1456"/>
      <c r="V50" s="2074"/>
      <c r="W50" s="2074"/>
      <c r="X50" s="2074"/>
      <c r="Y50" s="2074"/>
      <c r="Z50" s="2074"/>
      <c r="AA50" s="2547"/>
      <c r="AB50" s="1478"/>
      <c r="AC50" s="1478"/>
      <c r="AD50" s="1478"/>
      <c r="AE50" s="1478"/>
    </row>
    <row s="40252" customFormat="1" customHeight="1" ht="11.25">
      <c r="A51" s="1900"/>
      <c r="B51" s="2551"/>
      <c r="C51" s="2551"/>
      <c r="D51" s="1263"/>
      <c r="K51" s="2074"/>
      <c r="L51" s="2551"/>
      <c r="M51" s="2551"/>
      <c r="N51" s="2074"/>
      <c r="O51" s="2074"/>
      <c r="P51" s="2074"/>
      <c r="Q51" s="2074"/>
      <c r="R51" s="2551"/>
      <c r="S51" s="2074"/>
      <c r="T51" s="2074"/>
      <c r="U51" s="1456"/>
      <c r="V51" s="2074"/>
      <c r="W51" s="2074"/>
      <c r="X51" s="2074"/>
      <c r="Y51" s="2074"/>
      <c r="Z51" s="2074"/>
      <c r="AA51" s="2547"/>
      <c r="AB51" s="1478"/>
      <c r="AC51" s="1478"/>
      <c r="AD51" s="1478"/>
      <c r="AE51" s="1478"/>
    </row>
    <row s="40252" customFormat="1" customHeight="1" ht="11.25">
      <c r="A52" s="1900"/>
      <c r="B52" s="2551"/>
      <c r="C52" s="2551"/>
      <c r="D52" s="1263"/>
      <c r="H52" s="1478"/>
      <c r="I52" s="1478"/>
      <c r="K52" s="2074"/>
      <c r="L52" s="2551"/>
      <c r="M52" s="2551"/>
      <c r="N52" s="2074"/>
      <c r="O52" s="2074"/>
      <c r="P52" s="2074"/>
      <c r="Q52" s="2074"/>
      <c r="R52" s="2551"/>
      <c r="S52" s="2074"/>
      <c r="T52" s="2074"/>
      <c r="U52" s="1456"/>
      <c r="V52" s="2074"/>
      <c r="W52" s="2074"/>
      <c r="X52" s="2074"/>
      <c r="Y52" s="2074"/>
      <c r="Z52" s="2074"/>
      <c r="AA52" s="2547"/>
      <c r="AB52" s="1478"/>
      <c r="AC52" s="1478"/>
      <c r="AD52" s="1478"/>
      <c r="AE52" s="1478"/>
    </row>
    <row s="40252" customFormat="1" customHeight="1" ht="11.25">
      <c r="A53" s="1900"/>
      <c r="B53" s="2551"/>
      <c r="C53" s="2551"/>
      <c r="D53" s="1263"/>
      <c r="K53" s="2074"/>
      <c r="L53" s="2551"/>
      <c r="M53" s="2551"/>
      <c r="N53" s="2074"/>
      <c r="O53" s="2074"/>
      <c r="P53" s="2074"/>
      <c r="Q53" s="2074"/>
      <c r="R53" s="2551"/>
      <c r="S53" s="2074"/>
      <c r="T53" s="2074"/>
      <c r="U53" s="1456"/>
      <c r="V53" s="2074"/>
      <c r="W53" s="2074"/>
      <c r="X53" s="2074"/>
      <c r="Y53" s="2074"/>
      <c r="Z53" s="2074"/>
      <c r="AA53" s="2547"/>
      <c r="AB53" s="1478"/>
      <c r="AC53" s="1478"/>
      <c r="AD53" s="1478"/>
      <c r="AE53" s="1478"/>
    </row>
    <row s="40252" customFormat="1" customHeight="1" ht="11.25">
      <c r="A54" s="1900"/>
      <c r="B54" s="2551"/>
      <c r="C54" s="2551"/>
      <c r="D54" s="1263"/>
      <c r="K54" s="2074"/>
      <c r="L54" s="2551"/>
      <c r="M54" s="2551"/>
      <c r="N54" s="2074"/>
      <c r="O54" s="2074"/>
      <c r="P54" s="2074"/>
      <c r="Q54" s="2074"/>
      <c r="R54" s="2551"/>
      <c r="S54" s="2074"/>
      <c r="T54" s="2074"/>
      <c r="U54" s="1456"/>
      <c r="V54" s="2074"/>
      <c r="W54" s="2074"/>
      <c r="X54" s="2074"/>
      <c r="Y54" s="2074"/>
      <c r="Z54" s="2074"/>
      <c r="AA54" s="2547"/>
      <c r="AB54" s="1478"/>
      <c r="AC54" s="1478"/>
      <c r="AD54" s="1478"/>
      <c r="AE54" s="1478"/>
    </row>
    <row s="40252" customFormat="1" customHeight="1" ht="11.25">
      <c r="A55" s="1900"/>
      <c r="B55" s="2551"/>
      <c r="C55" s="2551"/>
      <c r="D55" s="1263"/>
      <c r="K55" s="2074"/>
      <c r="L55" s="2551"/>
      <c r="M55" s="2551"/>
      <c r="N55" s="2074"/>
      <c r="O55" s="2074"/>
      <c r="P55" s="2074"/>
      <c r="Q55" s="2074"/>
      <c r="R55" s="2551"/>
      <c r="S55" s="2074"/>
      <c r="T55" s="2074"/>
      <c r="U55" s="1456"/>
      <c r="V55" s="2074"/>
      <c r="W55" s="2074"/>
      <c r="X55" s="2074"/>
      <c r="Y55" s="2074"/>
      <c r="Z55" s="2074"/>
      <c r="AA55" s="2547"/>
      <c r="AB55" s="1478"/>
      <c r="AC55" s="1478"/>
      <c r="AD55" s="1478"/>
      <c r="AE55" s="1478"/>
    </row>
    <row s="40252" customFormat="1" customHeight="1" ht="11.25">
      <c r="A56" s="1900"/>
      <c r="B56" s="2551"/>
      <c r="C56" s="2551"/>
      <c r="D56" s="1263"/>
      <c r="K56" s="2074"/>
      <c r="L56" s="2551"/>
      <c r="M56" s="2551"/>
      <c r="N56" s="2074"/>
      <c r="O56" s="2074"/>
      <c r="P56" s="2074"/>
      <c r="Q56" s="2074"/>
      <c r="R56" s="2551"/>
      <c r="S56" s="2074"/>
      <c r="T56" s="2074"/>
      <c r="U56" s="1456"/>
      <c r="V56" s="2074"/>
      <c r="W56" s="2074"/>
      <c r="X56" s="2074"/>
      <c r="Y56" s="2074"/>
      <c r="Z56" s="2074"/>
      <c r="AA56" s="2547"/>
      <c r="AB56" s="1478"/>
      <c r="AC56" s="1478"/>
      <c r="AD56" s="1478"/>
      <c r="AE56" s="1478"/>
    </row>
    <row s="40252" customFormat="1" customHeight="1" ht="11.25">
      <c r="A57" s="1900"/>
      <c r="B57" s="2551"/>
      <c r="C57" s="2551"/>
      <c r="D57" s="1263"/>
      <c r="K57" s="2074"/>
      <c r="L57" s="2551"/>
      <c r="M57" s="2551"/>
      <c r="N57" s="2074"/>
      <c r="O57" s="2074"/>
      <c r="P57" s="2074"/>
      <c r="Q57" s="2074"/>
      <c r="R57" s="2551"/>
      <c r="S57" s="2074"/>
      <c r="T57" s="2074"/>
      <c r="U57" s="1456"/>
      <c r="V57" s="2074"/>
      <c r="W57" s="2074"/>
      <c r="X57" s="2074"/>
      <c r="Y57" s="2074"/>
      <c r="Z57" s="2074"/>
      <c r="AA57" s="2547"/>
      <c r="AB57" s="1478"/>
      <c r="AC57" s="1478"/>
      <c r="AD57" s="1478"/>
      <c r="AE57" s="1478"/>
    </row>
    <row s="40252" customFormat="1" customHeight="1" ht="11.25">
      <c r="A58" s="1900"/>
      <c r="B58" s="2551"/>
      <c r="C58" s="2551"/>
      <c r="D58" s="1263"/>
      <c r="K58" s="2074"/>
      <c r="L58" s="2551"/>
      <c r="M58" s="2551"/>
      <c r="N58" s="2074"/>
      <c r="O58" s="2074"/>
      <c r="P58" s="2074"/>
      <c r="Q58" s="2074"/>
      <c r="R58" s="2551"/>
      <c r="S58" s="2074"/>
      <c r="T58" s="2074"/>
      <c r="U58" s="1456"/>
      <c r="V58" s="2074"/>
      <c r="W58" s="2074"/>
      <c r="X58" s="2074"/>
      <c r="Y58" s="2074"/>
      <c r="Z58" s="2074"/>
      <c r="AA58" s="2547"/>
      <c r="AB58" s="1478"/>
      <c r="AC58" s="1478"/>
      <c r="AD58" s="1478"/>
      <c r="AE58" s="1478"/>
    </row>
    <row s="40252" customFormat="1" customHeight="1" ht="11.25">
      <c r="A59" s="1900"/>
      <c r="B59" s="2551"/>
      <c r="C59" s="2551"/>
      <c r="D59" s="1263"/>
      <c r="K59" s="2074"/>
      <c r="L59" s="2551"/>
      <c r="M59" s="2551"/>
      <c r="N59" s="2074"/>
      <c r="O59" s="2074"/>
      <c r="P59" s="2074"/>
      <c r="Q59" s="2074"/>
      <c r="R59" s="2551"/>
      <c r="S59" s="2074"/>
      <c r="T59" s="2074"/>
      <c r="U59" s="1456"/>
      <c r="V59" s="2074"/>
      <c r="W59" s="2074"/>
      <c r="X59" s="2074"/>
      <c r="Y59" s="2074"/>
      <c r="Z59" s="2074"/>
      <c r="AA59" s="2547"/>
      <c r="AB59" s="1478"/>
      <c r="AC59" s="1478"/>
      <c r="AD59" s="1478"/>
      <c r="AE59" s="1478"/>
    </row>
    <row s="40252" customFormat="1" customHeight="1" ht="11.25">
      <c r="A60" s="1900"/>
      <c r="B60" s="2551"/>
      <c r="C60" s="2551"/>
      <c r="D60" s="1263"/>
      <c r="K60" s="2074"/>
      <c r="L60" s="2551"/>
      <c r="M60" s="2551"/>
      <c r="N60" s="2074"/>
      <c r="O60" s="2074"/>
      <c r="P60" s="2074"/>
      <c r="Q60" s="2074"/>
      <c r="R60" s="2551"/>
      <c r="S60" s="2074"/>
      <c r="T60" s="2074"/>
      <c r="U60" s="1456"/>
      <c r="V60" s="2074"/>
      <c r="W60" s="2074"/>
      <c r="X60" s="2074"/>
      <c r="Y60" s="2074"/>
      <c r="Z60" s="2074"/>
      <c r="AA60" s="2547"/>
      <c r="AB60" s="1478"/>
      <c r="AC60" s="1478"/>
      <c r="AD60" s="1478"/>
      <c r="AE60" s="1478"/>
    </row>
    <row s="40252" customFormat="1" customHeight="1" ht="11.25">
      <c r="A61" s="1900"/>
      <c r="B61" s="2551"/>
      <c r="C61" s="2551"/>
      <c r="D61" s="1263"/>
      <c r="K61" s="2074"/>
      <c r="L61" s="2551"/>
      <c r="M61" s="2551"/>
      <c r="N61" s="2074"/>
      <c r="O61" s="2074"/>
      <c r="P61" s="2074"/>
      <c r="Q61" s="2074"/>
      <c r="R61" s="2551"/>
      <c r="S61" s="2074"/>
      <c r="T61" s="2074"/>
      <c r="U61" s="1456"/>
      <c r="V61" s="2074"/>
      <c r="W61" s="2074"/>
      <c r="X61" s="2074"/>
      <c r="Y61" s="2074"/>
      <c r="Z61" s="2074"/>
      <c r="AA61" s="2547"/>
      <c r="AB61" s="1478"/>
      <c r="AC61" s="1478"/>
      <c r="AD61" s="1478"/>
      <c r="AE61" s="1478"/>
    </row>
    <row s="40252" customFormat="1" customHeight="1" ht="11.25">
      <c r="A62" s="1900"/>
      <c r="B62" s="2551"/>
      <c r="C62" s="2551"/>
      <c r="D62" s="1263"/>
      <c r="K62" s="2074"/>
      <c r="L62" s="2551"/>
      <c r="M62" s="2551"/>
      <c r="N62" s="2074"/>
      <c r="O62" s="2074"/>
      <c r="P62" s="2074"/>
      <c r="Q62" s="2074"/>
      <c r="R62" s="2551"/>
      <c r="S62" s="2074"/>
      <c r="T62" s="2074"/>
      <c r="U62" s="1456"/>
      <c r="V62" s="2074"/>
      <c r="W62" s="2074"/>
      <c r="X62" s="2074"/>
      <c r="Y62" s="2074"/>
      <c r="Z62" s="2074"/>
      <c r="AA62" s="2547"/>
      <c r="AB62" s="1478"/>
      <c r="AC62" s="1478"/>
      <c r="AD62" s="1478"/>
      <c r="AE62" s="1478"/>
    </row>
    <row s="40252" customFormat="1" customHeight="1" ht="11.25">
      <c r="A63" s="1900"/>
      <c r="B63" s="2551"/>
      <c r="C63" s="2551"/>
      <c r="D63" s="1263"/>
      <c r="K63" s="2074"/>
      <c r="L63" s="2551"/>
      <c r="M63" s="2551"/>
      <c r="N63" s="2074"/>
      <c r="O63" s="2074"/>
      <c r="P63" s="2074"/>
      <c r="Q63" s="2074"/>
      <c r="R63" s="2551"/>
      <c r="S63" s="2074"/>
      <c r="T63" s="2074"/>
      <c r="U63" s="1456"/>
      <c r="V63" s="2074"/>
      <c r="W63" s="2074"/>
      <c r="X63" s="2074"/>
      <c r="Y63" s="2074"/>
      <c r="Z63" s="2074"/>
      <c r="AA63" s="2547"/>
      <c r="AB63" s="1478"/>
      <c r="AC63" s="1478"/>
      <c r="AD63" s="1478"/>
      <c r="AE63" s="1478"/>
    </row>
    <row s="40252" customFormat="1" customHeight="1" ht="11.25">
      <c r="A64" s="1900"/>
      <c r="B64" s="2551"/>
      <c r="C64" s="2551"/>
      <c r="D64" s="1263"/>
      <c r="K64" s="2074"/>
      <c r="L64" s="2551"/>
      <c r="M64" s="2551"/>
      <c r="N64" s="2074"/>
      <c r="O64" s="2074"/>
      <c r="P64" s="2074"/>
      <c r="Q64" s="2074"/>
      <c r="R64" s="2551"/>
      <c r="S64" s="2074"/>
      <c r="T64" s="2074"/>
      <c r="U64" s="1456"/>
      <c r="V64" s="2074"/>
      <c r="W64" s="2074"/>
      <c r="X64" s="2074"/>
      <c r="Y64" s="2074"/>
      <c r="Z64" s="2074"/>
      <c r="AA64" s="2547"/>
      <c r="AB64" s="1478"/>
      <c r="AC64" s="1478"/>
      <c r="AD64" s="1478"/>
      <c r="AE64" s="1478"/>
    </row>
    <row s="40252" customFormat="1" customHeight="1" ht="11.25">
      <c r="A65" s="1900"/>
      <c r="B65" s="2551"/>
      <c r="C65" s="2551"/>
      <c r="D65" s="1263"/>
      <c r="K65" s="2074"/>
      <c r="L65" s="2551"/>
      <c r="M65" s="2551"/>
      <c r="N65" s="2074"/>
      <c r="O65" s="2074"/>
      <c r="P65" s="2074"/>
      <c r="Q65" s="2074"/>
      <c r="R65" s="2551"/>
      <c r="S65" s="2074"/>
      <c r="T65" s="2074"/>
      <c r="U65" s="1456"/>
      <c r="V65" s="2074"/>
      <c r="W65" s="2074"/>
      <c r="X65" s="2074"/>
      <c r="Y65" s="2074"/>
      <c r="Z65" s="2074"/>
      <c r="AA65" s="2547"/>
      <c r="AB65" s="1478"/>
      <c r="AC65" s="1478"/>
      <c r="AD65" s="1478"/>
      <c r="AE65" s="1478"/>
    </row>
    <row s="40252" customFormat="1" customHeight="1" ht="11.25">
      <c r="A66" s="1900"/>
      <c r="B66" s="2551"/>
      <c r="C66" s="2551"/>
      <c r="D66" s="1263"/>
      <c r="K66" s="2074"/>
      <c r="L66" s="2551"/>
      <c r="M66" s="2551"/>
      <c r="N66" s="2074"/>
      <c r="O66" s="2074"/>
      <c r="P66" s="2074"/>
      <c r="Q66" s="2074"/>
      <c r="R66" s="2551"/>
      <c r="S66" s="2074"/>
      <c r="T66" s="2074"/>
      <c r="U66" s="1456"/>
      <c r="V66" s="2074"/>
      <c r="W66" s="2074"/>
      <c r="X66" s="2074"/>
      <c r="Y66" s="2074"/>
      <c r="Z66" s="2074"/>
      <c r="AA66" s="2547"/>
      <c r="AB66" s="1478"/>
      <c r="AC66" s="1478"/>
      <c r="AD66" s="1478"/>
      <c r="AE66" s="1478"/>
    </row>
    <row s="40252" customFormat="1" customHeight="1" ht="11.25">
      <c r="A67" s="1900"/>
      <c r="B67" s="2551"/>
      <c r="C67" s="2551"/>
      <c r="D67" s="1263"/>
      <c r="K67" s="2074"/>
      <c r="L67" s="2551"/>
      <c r="M67" s="2551"/>
      <c r="N67" s="2074"/>
      <c r="O67" s="2074"/>
      <c r="P67" s="2074"/>
      <c r="Q67" s="2074"/>
      <c r="R67" s="2551"/>
      <c r="S67" s="2074"/>
      <c r="T67" s="2074"/>
      <c r="U67" s="1456"/>
      <c r="V67" s="2074"/>
      <c r="W67" s="2074"/>
      <c r="X67" s="2074"/>
      <c r="Y67" s="2074"/>
      <c r="Z67" s="2074"/>
      <c r="AA67" s="2547"/>
      <c r="AB67" s="1478"/>
      <c r="AC67" s="1478"/>
      <c r="AD67" s="1478"/>
      <c r="AE67" s="1478"/>
    </row>
    <row s="40252" customFormat="1" customHeight="1" ht="11.25">
      <c r="A68" s="1900"/>
      <c r="B68" s="2551"/>
      <c r="C68" s="2551"/>
      <c r="D68" s="1263"/>
      <c r="K68" s="2074"/>
      <c r="L68" s="2551"/>
      <c r="M68" s="2551"/>
      <c r="N68" s="2074"/>
      <c r="O68" s="2074"/>
      <c r="P68" s="2074"/>
      <c r="Q68" s="2074"/>
      <c r="R68" s="2551"/>
      <c r="S68" s="2074"/>
      <c r="T68" s="2074"/>
      <c r="U68" s="1456"/>
      <c r="V68" s="2074"/>
      <c r="W68" s="2074"/>
      <c r="X68" s="2074"/>
      <c r="Y68" s="2074"/>
      <c r="Z68" s="2074"/>
      <c r="AA68" s="2547"/>
      <c r="AB68" s="1478"/>
      <c r="AC68" s="1478"/>
      <c r="AD68" s="1478"/>
      <c r="AE68" s="1478"/>
    </row>
    <row s="40252" customFormat="1" customHeight="1" ht="11.25">
      <c r="A69" s="1900"/>
      <c r="B69" s="2551"/>
      <c r="C69" s="2551"/>
      <c r="D69" s="1263"/>
      <c r="K69" s="2074"/>
      <c r="L69" s="2551"/>
      <c r="M69" s="2551"/>
      <c r="N69" s="2074"/>
      <c r="O69" s="2074"/>
      <c r="P69" s="2074"/>
      <c r="Q69" s="2074"/>
      <c r="R69" s="2551"/>
      <c r="S69" s="2074"/>
      <c r="T69" s="2074"/>
      <c r="U69" s="1456"/>
      <c r="V69" s="2074"/>
      <c r="W69" s="2074"/>
      <c r="X69" s="2074"/>
      <c r="Y69" s="2074"/>
      <c r="Z69" s="2074"/>
      <c r="AA69" s="2547"/>
      <c r="AB69" s="1478"/>
      <c r="AC69" s="1478"/>
      <c r="AD69" s="1478"/>
      <c r="AE69" s="1478"/>
    </row>
    <row s="40252" customFormat="1" customHeight="1" ht="11.25">
      <c r="A70" s="1900"/>
      <c r="B70" s="2551"/>
      <c r="C70" s="2551"/>
      <c r="D70" s="1263"/>
      <c r="K70" s="2074"/>
      <c r="L70" s="2551"/>
      <c r="M70" s="2551"/>
      <c r="N70" s="2074"/>
      <c r="O70" s="2074"/>
      <c r="P70" s="2074"/>
      <c r="Q70" s="2074"/>
      <c r="R70" s="2551"/>
      <c r="S70" s="2074"/>
      <c r="T70" s="2074"/>
      <c r="U70" s="1456"/>
      <c r="V70" s="2074"/>
      <c r="W70" s="2074"/>
      <c r="X70" s="2074"/>
      <c r="Y70" s="2074"/>
      <c r="Z70" s="2074"/>
      <c r="AA70" s="2547"/>
      <c r="AB70" s="1478"/>
      <c r="AC70" s="1478"/>
      <c r="AD70" s="1478"/>
      <c r="AE70" s="1478"/>
    </row>
    <row s="40252" customFormat="1" customHeight="1" ht="11.25">
      <c r="A71" s="1900"/>
      <c r="B71" s="2551"/>
      <c r="C71" s="2551"/>
      <c r="D71" s="1263"/>
      <c r="K71" s="2074"/>
      <c r="L71" s="2551"/>
      <c r="M71" s="2551"/>
      <c r="N71" s="2074"/>
      <c r="O71" s="2074"/>
      <c r="P71" s="2074"/>
      <c r="Q71" s="2074"/>
      <c r="R71" s="2551"/>
      <c r="S71" s="2074"/>
      <c r="T71" s="2074"/>
      <c r="U71" s="1456"/>
      <c r="V71" s="2074"/>
      <c r="W71" s="2074"/>
      <c r="X71" s="2074"/>
      <c r="Y71" s="2074"/>
      <c r="Z71" s="2074"/>
      <c r="AA71" s="2547"/>
      <c r="AB71" s="1478"/>
      <c r="AC71" s="1478"/>
      <c r="AD71" s="1478"/>
      <c r="AE71" s="1478"/>
    </row>
    <row s="40252" customFormat="1" customHeight="1" ht="11.25">
      <c r="A72" s="1900"/>
      <c r="B72" s="2551"/>
      <c r="C72" s="2551"/>
      <c r="D72" s="1263"/>
      <c r="K72" s="2074"/>
      <c r="L72" s="2551"/>
      <c r="M72" s="2551"/>
      <c r="N72" s="2074"/>
      <c r="O72" s="2074"/>
      <c r="P72" s="2074"/>
      <c r="Q72" s="2074"/>
      <c r="R72" s="2551"/>
      <c r="S72" s="2074"/>
      <c r="T72" s="2074"/>
      <c r="U72" s="1456"/>
      <c r="V72" s="2074"/>
      <c r="W72" s="2074"/>
      <c r="X72" s="2074"/>
      <c r="Y72" s="2074"/>
      <c r="Z72" s="2074"/>
      <c r="AA72" s="2547"/>
      <c r="AB72" s="1478"/>
      <c r="AC72" s="1478"/>
      <c r="AD72" s="1478"/>
      <c r="AE72" s="1478"/>
    </row>
    <row s="40252" customFormat="1" customHeight="1" ht="11.25">
      <c r="A73" s="1900"/>
      <c r="B73" s="2551"/>
      <c r="C73" s="2551"/>
      <c r="D73" s="1263"/>
      <c r="K73" s="2074"/>
      <c r="L73" s="2551"/>
      <c r="M73" s="2551"/>
      <c r="N73" s="2074"/>
      <c r="O73" s="2074"/>
      <c r="P73" s="2074"/>
      <c r="Q73" s="2074"/>
      <c r="R73" s="2551"/>
      <c r="S73" s="2074"/>
      <c r="T73" s="2074"/>
      <c r="U73" s="1456"/>
      <c r="V73" s="2074"/>
      <c r="W73" s="2074"/>
      <c r="X73" s="2074"/>
      <c r="Y73" s="2074"/>
      <c r="Z73" s="2074"/>
      <c r="AA73" s="2547"/>
      <c r="AB73" s="1478"/>
      <c r="AC73" s="1478"/>
      <c r="AD73" s="1478"/>
      <c r="AE73" s="1478"/>
    </row>
    <row s="40252" customFormat="1" customHeight="1" ht="11.25">
      <c r="A74" s="1900"/>
      <c r="B74" s="2551"/>
      <c r="C74" s="2551"/>
      <c r="D74" s="1263"/>
      <c r="K74" s="2074"/>
      <c r="L74" s="2551"/>
      <c r="M74" s="2551"/>
      <c r="N74" s="2074"/>
      <c r="O74" s="2074"/>
      <c r="P74" s="2074"/>
      <c r="Q74" s="2074"/>
      <c r="R74" s="2551"/>
      <c r="S74" s="2074"/>
      <c r="T74" s="2074"/>
      <c r="U74" s="1456"/>
      <c r="V74" s="2074"/>
      <c r="W74" s="2074"/>
      <c r="X74" s="2074"/>
      <c r="Y74" s="2074"/>
      <c r="Z74" s="2074"/>
      <c r="AA74" s="2547"/>
      <c r="AB74" s="1478"/>
      <c r="AC74" s="1478"/>
      <c r="AD74" s="1478"/>
      <c r="AE74" s="1478"/>
    </row>
    <row s="40252" customFormat="1" customHeight="1" ht="11.25">
      <c r="A75" s="1900"/>
      <c r="B75" s="2551"/>
      <c r="C75" s="2551"/>
      <c r="D75" s="1263"/>
      <c r="K75" s="2074"/>
      <c r="L75" s="2551"/>
      <c r="M75" s="2551"/>
      <c r="N75" s="2074"/>
      <c r="O75" s="2074"/>
      <c r="P75" s="2074"/>
      <c r="Q75" s="2074"/>
      <c r="R75" s="2551"/>
      <c r="S75" s="2074"/>
      <c r="T75" s="2074"/>
      <c r="U75" s="1456"/>
      <c r="V75" s="2074"/>
      <c r="W75" s="2074"/>
      <c r="X75" s="2074"/>
      <c r="Y75" s="2074"/>
      <c r="Z75" s="2074"/>
      <c r="AA75" s="2547"/>
      <c r="AB75" s="1478"/>
      <c r="AC75" s="1478"/>
      <c r="AD75" s="1478"/>
      <c r="AE75" s="1478"/>
    </row>
    <row s="40252" customFormat="1" customHeight="1" ht="11.25">
      <c r="A76" s="1900"/>
      <c r="B76" s="2551"/>
      <c r="C76" s="2551"/>
      <c r="D76" s="1263"/>
      <c r="K76" s="2074"/>
      <c r="L76" s="2551"/>
      <c r="M76" s="2551"/>
      <c r="N76" s="2074"/>
      <c r="O76" s="2074"/>
      <c r="P76" s="2074"/>
      <c r="Q76" s="2074"/>
      <c r="R76" s="2551"/>
      <c r="S76" s="2074"/>
      <c r="T76" s="2074"/>
      <c r="U76" s="1456"/>
      <c r="V76" s="2074"/>
      <c r="W76" s="2074"/>
      <c r="X76" s="2074"/>
      <c r="Y76" s="2074"/>
      <c r="Z76" s="2074"/>
      <c r="AA76" s="2547"/>
      <c r="AB76" s="1478"/>
      <c r="AC76" s="1478"/>
      <c r="AD76" s="1478"/>
      <c r="AE76" s="1478"/>
    </row>
    <row s="40252" customFormat="1" customHeight="1" ht="11.25">
      <c r="A77" s="1900"/>
      <c r="B77" s="2551"/>
      <c r="C77" s="2551"/>
      <c r="D77" s="1263"/>
      <c r="K77" s="2074"/>
      <c r="L77" s="2551"/>
      <c r="M77" s="2551"/>
      <c r="N77" s="2074"/>
      <c r="O77" s="2074"/>
      <c r="P77" s="2074"/>
      <c r="Q77" s="2074"/>
      <c r="R77" s="2551"/>
      <c r="S77" s="2074"/>
      <c r="T77" s="2074"/>
      <c r="U77" s="1456"/>
      <c r="V77" s="2074"/>
      <c r="W77" s="2074"/>
      <c r="X77" s="2074"/>
      <c r="Y77" s="2074"/>
      <c r="Z77" s="2074"/>
      <c r="AA77" s="2547"/>
      <c r="AB77" s="1478"/>
      <c r="AC77" s="1478"/>
      <c r="AD77" s="1478"/>
      <c r="AE77" s="1478"/>
    </row>
    <row s="40252" customFormat="1" customHeight="1" ht="11.25">
      <c r="A78" s="1900"/>
      <c r="B78" s="2551"/>
      <c r="C78" s="2551"/>
      <c r="D78" s="1263"/>
      <c r="K78" s="2074"/>
      <c r="L78" s="2551"/>
      <c r="M78" s="2551"/>
      <c r="N78" s="2074"/>
      <c r="O78" s="2074"/>
      <c r="P78" s="2074"/>
      <c r="Q78" s="2074"/>
      <c r="R78" s="2551"/>
      <c r="S78" s="2074"/>
      <c r="T78" s="2074"/>
      <c r="U78" s="1456"/>
      <c r="V78" s="2074"/>
      <c r="W78" s="2074"/>
      <c r="X78" s="2074"/>
      <c r="Y78" s="2074"/>
      <c r="Z78" s="2074"/>
      <c r="AA78" s="2547"/>
      <c r="AB78" s="1478"/>
      <c r="AC78" s="1478"/>
      <c r="AD78" s="1478"/>
      <c r="AE78" s="1478"/>
    </row>
    <row s="40252" customFormat="1" customHeight="1" ht="11.25">
      <c r="A79" s="1900"/>
      <c r="B79" s="2551"/>
      <c r="C79" s="2551"/>
      <c r="D79" s="1263"/>
      <c r="K79" s="2074"/>
      <c r="L79" s="2551"/>
      <c r="M79" s="2551"/>
      <c r="N79" s="2074"/>
      <c r="O79" s="2074"/>
      <c r="P79" s="2074"/>
      <c r="Q79" s="2074"/>
      <c r="R79" s="2551"/>
      <c r="S79" s="2074"/>
      <c r="T79" s="2074"/>
      <c r="U79" s="1456"/>
      <c r="V79" s="2074"/>
      <c r="W79" s="2074"/>
      <c r="X79" s="2074"/>
      <c r="Y79" s="2074"/>
      <c r="Z79" s="2074"/>
      <c r="AA79" s="2547"/>
      <c r="AB79" s="1478"/>
      <c r="AC79" s="1478"/>
      <c r="AD79" s="1478"/>
      <c r="AE79" s="1478"/>
    </row>
    <row s="40252" customFormat="1" customHeight="1" ht="11.25">
      <c r="A80" s="1900"/>
      <c r="B80" s="2551"/>
      <c r="C80" s="2551"/>
      <c r="D80" s="1263"/>
      <c r="K80" s="2074"/>
      <c r="L80" s="2551"/>
      <c r="M80" s="2551"/>
      <c r="N80" s="2074"/>
      <c r="O80" s="2074"/>
      <c r="P80" s="2074"/>
      <c r="Q80" s="2074"/>
      <c r="R80" s="2551"/>
      <c r="S80" s="2074"/>
      <c r="T80" s="2074"/>
      <c r="U80" s="1456"/>
      <c r="V80" s="2074"/>
      <c r="W80" s="2074"/>
      <c r="X80" s="2074"/>
      <c r="Y80" s="2074"/>
      <c r="Z80" s="2074"/>
      <c r="AA80" s="2547"/>
      <c r="AB80" s="1478"/>
      <c r="AC80" s="1478"/>
      <c r="AD80" s="1478"/>
      <c r="AE80" s="1478"/>
    </row>
    <row s="40252" customFormat="1" customHeight="1" ht="11.25">
      <c r="A81" s="1900"/>
      <c r="B81" s="2551"/>
      <c r="C81" s="2551"/>
      <c r="D81" s="1263"/>
      <c r="K81" s="2074"/>
      <c r="L81" s="2551"/>
      <c r="M81" s="2551"/>
      <c r="N81" s="2074"/>
      <c r="O81" s="2074"/>
      <c r="P81" s="2074"/>
      <c r="Q81" s="2074"/>
      <c r="R81" s="2551"/>
      <c r="S81" s="2074"/>
      <c r="T81" s="2074"/>
      <c r="U81" s="1456"/>
      <c r="V81" s="2074"/>
      <c r="W81" s="2074"/>
      <c r="X81" s="2074"/>
      <c r="Y81" s="2074"/>
      <c r="Z81" s="2074"/>
      <c r="AA81" s="2547"/>
      <c r="AB81" s="1478"/>
      <c r="AC81" s="1478"/>
      <c r="AD81" s="1478"/>
      <c r="AE81" s="1478"/>
    </row>
    <row s="40252" customFormat="1" customHeight="1" ht="11.25">
      <c r="A82" s="1900"/>
      <c r="B82" s="2551"/>
      <c r="C82" s="2551"/>
      <c r="D82" s="1263"/>
      <c r="K82" s="2074"/>
      <c r="L82" s="2551"/>
      <c r="M82" s="2551"/>
      <c r="N82" s="2074"/>
      <c r="O82" s="2074"/>
      <c r="P82" s="2074"/>
      <c r="Q82" s="2074"/>
      <c r="R82" s="2551"/>
      <c r="S82" s="2074"/>
      <c r="T82" s="2074"/>
      <c r="U82" s="1456"/>
      <c r="V82" s="2074"/>
      <c r="W82" s="2074"/>
      <c r="X82" s="2074"/>
      <c r="Y82" s="2074"/>
      <c r="Z82" s="2074"/>
      <c r="AA82" s="2547"/>
      <c r="AB82" s="1478"/>
      <c r="AC82" s="1478"/>
      <c r="AD82" s="1478"/>
      <c r="AE82" s="1478"/>
    </row>
    <row s="40252" customFormat="1" customHeight="1" ht="11.25">
      <c r="A83" s="1900"/>
      <c r="B83" s="2551"/>
      <c r="C83" s="2551"/>
      <c r="D83" s="1263"/>
      <c r="K83" s="2074"/>
      <c r="L83" s="2551"/>
      <c r="M83" s="2551"/>
      <c r="N83" s="2074"/>
      <c r="O83" s="2074"/>
      <c r="P83" s="2074"/>
      <c r="Q83" s="2074"/>
      <c r="R83" s="2551"/>
      <c r="S83" s="2074"/>
      <c r="T83" s="2074"/>
      <c r="U83" s="1456"/>
      <c r="V83" s="2074"/>
      <c r="W83" s="2074"/>
      <c r="X83" s="2074"/>
      <c r="Y83" s="2074"/>
      <c r="Z83" s="2074"/>
      <c r="AA83" s="2547"/>
      <c r="AB83" s="1478"/>
      <c r="AC83" s="1478"/>
      <c r="AD83" s="1478"/>
      <c r="AE83" s="1478"/>
    </row>
    <row s="40252" customFormat="1" customHeight="1" ht="11.25">
      <c r="A84" s="1900"/>
      <c r="B84" s="2551"/>
      <c r="C84" s="2551"/>
      <c r="D84" s="1263"/>
      <c r="K84" s="2074"/>
      <c r="L84" s="2551"/>
      <c r="M84" s="2551"/>
      <c r="N84" s="2074"/>
      <c r="O84" s="2074"/>
      <c r="P84" s="2074"/>
      <c r="Q84" s="2074"/>
      <c r="R84" s="2551"/>
      <c r="S84" s="2074"/>
      <c r="T84" s="2074"/>
      <c r="U84" s="1456"/>
      <c r="V84" s="2074"/>
      <c r="W84" s="2074"/>
      <c r="X84" s="2074"/>
      <c r="Y84" s="2074"/>
      <c r="Z84" s="2074"/>
      <c r="AA84" s="2547"/>
      <c r="AB84" s="1478"/>
      <c r="AC84" s="1478"/>
      <c r="AD84" s="1478"/>
      <c r="AE84" s="1478"/>
    </row>
    <row s="40252" customFormat="1" customHeight="1" ht="11.25">
      <c r="A85" s="1900"/>
      <c r="B85" s="2551"/>
      <c r="C85" s="2551"/>
      <c r="D85" s="1263"/>
      <c r="K85" s="2074"/>
      <c r="L85" s="2551"/>
      <c r="M85" s="2551"/>
      <c r="N85" s="2074"/>
      <c r="O85" s="2074"/>
      <c r="P85" s="2074"/>
      <c r="Q85" s="2074"/>
      <c r="R85" s="2551"/>
      <c r="S85" s="2074"/>
      <c r="T85" s="2074"/>
      <c r="U85" s="1456"/>
      <c r="V85" s="2074"/>
      <c r="W85" s="2074"/>
      <c r="X85" s="2074"/>
      <c r="Y85" s="2074"/>
      <c r="Z85" s="2074"/>
      <c r="AA85" s="2547"/>
      <c r="AB85" s="1478"/>
      <c r="AC85" s="1478"/>
      <c r="AD85" s="1478"/>
      <c r="AE85" s="1478"/>
    </row>
    <row s="40252" customFormat="1" customHeight="1" ht="11.25">
      <c r="A86" s="1900"/>
      <c r="B86" s="2551"/>
      <c r="C86" s="2551"/>
      <c r="D86" s="1263"/>
      <c r="K86" s="2074"/>
      <c r="L86" s="2551"/>
      <c r="M86" s="2551"/>
      <c r="N86" s="2074"/>
      <c r="O86" s="2074"/>
      <c r="P86" s="2074"/>
      <c r="Q86" s="2074"/>
      <c r="R86" s="2551"/>
      <c r="S86" s="2074"/>
      <c r="T86" s="2074"/>
      <c r="U86" s="1456"/>
      <c r="V86" s="2074"/>
      <c r="W86" s="2074"/>
      <c r="X86" s="2074"/>
      <c r="Y86" s="2074"/>
      <c r="Z86" s="2074"/>
      <c r="AA86" s="2547"/>
      <c r="AB86" s="1478"/>
      <c r="AC86" s="1478"/>
      <c r="AD86" s="1478"/>
      <c r="AE86" s="1478"/>
    </row>
    <row s="40252" customFormat="1" customHeight="1" ht="11.25">
      <c r="A87" s="1900"/>
      <c r="B87" s="2551"/>
      <c r="C87" s="2551"/>
      <c r="D87" s="1263"/>
      <c r="K87" s="2074"/>
      <c r="L87" s="2551"/>
      <c r="M87" s="2551"/>
      <c r="N87" s="2074"/>
      <c r="O87" s="2074"/>
      <c r="P87" s="2074"/>
      <c r="Q87" s="2074"/>
      <c r="R87" s="2551"/>
      <c r="S87" s="2074"/>
      <c r="T87" s="2074"/>
      <c r="U87" s="1456"/>
      <c r="V87" s="2074"/>
      <c r="W87" s="2074"/>
      <c r="X87" s="2074"/>
      <c r="Y87" s="2074"/>
      <c r="Z87" s="2074"/>
      <c r="AA87" s="2547"/>
      <c r="AB87" s="1478"/>
      <c r="AC87" s="1478"/>
      <c r="AD87" s="1478"/>
      <c r="AE87" s="1478"/>
    </row>
    <row s="40252" customFormat="1" customHeight="1" ht="11.25">
      <c r="A88" s="1900"/>
      <c r="B88" s="2551"/>
      <c r="C88" s="2551"/>
      <c r="D88" s="1263"/>
      <c r="K88" s="2074"/>
      <c r="L88" s="2551"/>
      <c r="M88" s="2551"/>
      <c r="N88" s="2074"/>
      <c r="O88" s="2074"/>
      <c r="P88" s="2074"/>
      <c r="Q88" s="2074"/>
      <c r="R88" s="2551"/>
      <c r="S88" s="2074"/>
      <c r="T88" s="2074"/>
      <c r="U88" s="1456"/>
      <c r="V88" s="2074"/>
      <c r="W88" s="2074"/>
      <c r="X88" s="2074"/>
      <c r="Y88" s="2074"/>
      <c r="Z88" s="2074"/>
      <c r="AA88" s="2547"/>
      <c r="AB88" s="1478"/>
      <c r="AC88" s="1478"/>
      <c r="AD88" s="1478"/>
      <c r="AE88" s="1478"/>
    </row>
    <row s="40252" customFormat="1" customHeight="1" ht="11.25">
      <c r="A89" s="1900"/>
      <c r="B89" s="2551"/>
      <c r="C89" s="2551"/>
      <c r="D89" s="1263"/>
      <c r="K89" s="2074"/>
      <c r="L89" s="2551"/>
      <c r="M89" s="2551"/>
      <c r="N89" s="2074"/>
      <c r="O89" s="2074"/>
      <c r="P89" s="2074"/>
      <c r="Q89" s="2074"/>
      <c r="R89" s="2551"/>
      <c r="S89" s="2074"/>
      <c r="T89" s="2074"/>
      <c r="U89" s="1456"/>
      <c r="V89" s="2074"/>
      <c r="W89" s="2074"/>
      <c r="X89" s="2074"/>
      <c r="Y89" s="2074"/>
      <c r="Z89" s="2074"/>
      <c r="AA89" s="2547"/>
      <c r="AB89" s="1478"/>
      <c r="AC89" s="1478"/>
      <c r="AD89" s="1478"/>
      <c r="AE89" s="1478"/>
    </row>
    <row s="40252" customFormat="1" customHeight="1" ht="11.25">
      <c r="A90" s="1900"/>
      <c r="B90" s="2551"/>
      <c r="C90" s="2551"/>
      <c r="D90" s="1263"/>
      <c r="K90" s="2074"/>
      <c r="L90" s="2551"/>
      <c r="M90" s="2551"/>
      <c r="N90" s="2074"/>
      <c r="O90" s="2074"/>
      <c r="P90" s="2074"/>
      <c r="Q90" s="2074"/>
      <c r="R90" s="2551"/>
      <c r="S90" s="2074"/>
      <c r="T90" s="2074"/>
      <c r="U90" s="1456"/>
      <c r="V90" s="2074"/>
      <c r="W90" s="2074"/>
      <c r="X90" s="2074"/>
      <c r="Y90" s="2074"/>
      <c r="Z90" s="2074"/>
      <c r="AA90" s="2547"/>
      <c r="AB90" s="1478"/>
      <c r="AC90" s="1478"/>
      <c r="AD90" s="1478"/>
      <c r="AE90" s="1478"/>
    </row>
    <row s="40252" customFormat="1" customHeight="1" ht="11.25">
      <c r="A91" s="1900"/>
      <c r="B91" s="2551"/>
      <c r="C91" s="2551"/>
      <c r="D91" s="1263"/>
      <c r="K91" s="2074"/>
      <c r="L91" s="2551"/>
      <c r="M91" s="2551"/>
      <c r="N91" s="2074"/>
      <c r="O91" s="2074"/>
      <c r="P91" s="2074"/>
      <c r="Q91" s="2074"/>
      <c r="R91" s="2551"/>
      <c r="S91" s="2074"/>
      <c r="T91" s="2074"/>
      <c r="U91" s="1456"/>
      <c r="V91" s="2074"/>
      <c r="W91" s="2074"/>
      <c r="X91" s="2074"/>
      <c r="Y91" s="2074"/>
      <c r="Z91" s="2074"/>
      <c r="AA91" s="2547"/>
      <c r="AB91" s="1478"/>
      <c r="AC91" s="1478"/>
      <c r="AD91" s="1478"/>
      <c r="AE91" s="1478"/>
    </row>
    <row s="40252" customFormat="1" customHeight="1" ht="11.25">
      <c r="A92" s="1900"/>
      <c r="B92" s="2551"/>
      <c r="C92" s="2551"/>
      <c r="D92" s="1263"/>
      <c r="K92" s="2074"/>
      <c r="L92" s="2551"/>
      <c r="M92" s="2551"/>
      <c r="N92" s="2074"/>
      <c r="O92" s="2074"/>
      <c r="P92" s="2074"/>
      <c r="Q92" s="2074"/>
      <c r="R92" s="2551"/>
      <c r="S92" s="2074"/>
      <c r="T92" s="2074"/>
      <c r="U92" s="1456"/>
      <c r="V92" s="2074"/>
      <c r="W92" s="2074"/>
      <c r="X92" s="2074"/>
      <c r="Y92" s="2074"/>
      <c r="Z92" s="2074"/>
      <c r="AA92" s="2547"/>
      <c r="AB92" s="1478"/>
      <c r="AC92" s="1478"/>
      <c r="AD92" s="1478"/>
      <c r="AE92" s="1478"/>
    </row>
    <row s="40252" customFormat="1" customHeight="1" ht="11.25">
      <c r="A93" s="1900"/>
      <c r="B93" s="2551"/>
      <c r="C93" s="2551"/>
      <c r="D93" s="1263"/>
      <c r="K93" s="2074"/>
      <c r="L93" s="2551"/>
      <c r="M93" s="2551"/>
      <c r="N93" s="2074"/>
      <c r="O93" s="2074"/>
      <c r="P93" s="2074"/>
      <c r="Q93" s="2074"/>
      <c r="R93" s="2551"/>
      <c r="S93" s="2074"/>
      <c r="T93" s="2074"/>
      <c r="U93" s="1456"/>
      <c r="V93" s="2074"/>
      <c r="W93" s="2074"/>
      <c r="X93" s="2074"/>
      <c r="Y93" s="2074"/>
      <c r="Z93" s="2074"/>
      <c r="AA93" s="2547"/>
      <c r="AB93" s="1478"/>
      <c r="AC93" s="1478"/>
      <c r="AD93" s="1478"/>
      <c r="AE93" s="1478"/>
    </row>
    <row s="40252" customFormat="1" customHeight="1" ht="11.25">
      <c r="A94" s="1900"/>
      <c r="B94" s="2551"/>
      <c r="C94" s="2551"/>
      <c r="D94" s="1263"/>
      <c r="K94" s="2074"/>
      <c r="L94" s="2551"/>
      <c r="M94" s="2551"/>
      <c r="N94" s="2074"/>
      <c r="O94" s="2074"/>
      <c r="P94" s="2074"/>
      <c r="Q94" s="2074"/>
      <c r="R94" s="2551"/>
      <c r="S94" s="2074"/>
      <c r="T94" s="2074"/>
      <c r="U94" s="1456"/>
      <c r="V94" s="2074"/>
      <c r="W94" s="2074"/>
      <c r="X94" s="2074"/>
      <c r="Y94" s="2074"/>
      <c r="Z94" s="2074"/>
      <c r="AA94" s="2547"/>
      <c r="AB94" s="1478"/>
      <c r="AC94" s="1478"/>
      <c r="AD94" s="1478"/>
      <c r="AE94" s="1478"/>
    </row>
    <row s="40252" customFormat="1" customHeight="1" ht="11.25">
      <c r="A95" s="1900"/>
      <c r="B95" s="2551"/>
      <c r="C95" s="2551"/>
      <c r="D95" s="1263"/>
      <c r="K95" s="2074"/>
      <c r="L95" s="2551"/>
      <c r="M95" s="2551"/>
      <c r="N95" s="2074"/>
      <c r="O95" s="2074"/>
      <c r="P95" s="2074"/>
      <c r="Q95" s="2074"/>
      <c r="R95" s="2551"/>
      <c r="S95" s="2074"/>
      <c r="T95" s="2074"/>
      <c r="U95" s="1456"/>
      <c r="V95" s="2074"/>
      <c r="W95" s="2074"/>
      <c r="X95" s="2074"/>
      <c r="Y95" s="2074"/>
      <c r="Z95" s="2074"/>
      <c r="AA95" s="2547"/>
      <c r="AB95" s="1478"/>
      <c r="AC95" s="1478"/>
      <c r="AD95" s="1478"/>
      <c r="AE95" s="1478"/>
    </row>
    <row s="40252" customFormat="1" customHeight="1" ht="11.25">
      <c r="A96" s="1900"/>
      <c r="B96" s="2551"/>
      <c r="C96" s="2551"/>
      <c r="D96" s="1263"/>
      <c r="K96" s="2074"/>
      <c r="L96" s="2551"/>
      <c r="M96" s="2551"/>
      <c r="N96" s="2074"/>
      <c r="O96" s="2074"/>
      <c r="P96" s="2074"/>
      <c r="Q96" s="2074"/>
      <c r="R96" s="2551"/>
      <c r="S96" s="2074"/>
      <c r="T96" s="2074"/>
      <c r="U96" s="1456"/>
      <c r="V96" s="2074"/>
      <c r="W96" s="2074"/>
      <c r="X96" s="2074"/>
      <c r="Y96" s="2074"/>
      <c r="Z96" s="2074"/>
      <c r="AA96" s="2547"/>
      <c r="AB96" s="1478"/>
      <c r="AC96" s="1478"/>
      <c r="AD96" s="1478"/>
      <c r="AE96" s="1478"/>
    </row>
    <row s="40252" customFormat="1" customHeight="1" ht="11.25">
      <c r="A97" s="1900"/>
      <c r="B97" s="2551"/>
      <c r="C97" s="2551"/>
      <c r="D97" s="1263"/>
      <c r="K97" s="2074"/>
      <c r="L97" s="2551"/>
      <c r="M97" s="2551"/>
      <c r="N97" s="2074"/>
      <c r="O97" s="2074"/>
      <c r="P97" s="2074"/>
      <c r="Q97" s="2074"/>
      <c r="R97" s="2551"/>
      <c r="S97" s="2074"/>
      <c r="T97" s="2074"/>
      <c r="U97" s="1456"/>
      <c r="V97" s="2074"/>
      <c r="W97" s="2074"/>
      <c r="X97" s="2074"/>
      <c r="Y97" s="2074"/>
      <c r="Z97" s="2074"/>
      <c r="AA97" s="2547"/>
      <c r="AB97" s="1478"/>
      <c r="AC97" s="1478"/>
      <c r="AD97" s="1478"/>
      <c r="AE97" s="1478"/>
    </row>
    <row s="40252" customFormat="1" customHeight="1" ht="11.25">
      <c r="A98" s="1900"/>
      <c r="B98" s="2551"/>
      <c r="C98" s="2551"/>
      <c r="D98" s="1263"/>
      <c r="K98" s="2074"/>
      <c r="L98" s="2551"/>
      <c r="M98" s="2551"/>
      <c r="N98" s="2074"/>
      <c r="O98" s="2074"/>
      <c r="P98" s="2074"/>
      <c r="Q98" s="2074"/>
      <c r="R98" s="2551"/>
      <c r="S98" s="2074"/>
      <c r="T98" s="2074"/>
      <c r="U98" s="1456"/>
      <c r="V98" s="2074"/>
      <c r="W98" s="2074"/>
      <c r="X98" s="2074"/>
      <c r="Y98" s="2074"/>
      <c r="Z98" s="2074"/>
      <c r="AA98" s="2547"/>
      <c r="AB98" s="1478"/>
      <c r="AC98" s="1478"/>
      <c r="AD98" s="1478"/>
      <c r="AE98" s="1478"/>
    </row>
    <row s="40252" customFormat="1" customHeight="1" ht="11.25">
      <c r="A99" s="1900"/>
      <c r="B99" s="2551"/>
      <c r="C99" s="2551"/>
      <c r="D99" s="1263"/>
      <c r="K99" s="2074"/>
      <c r="L99" s="2551"/>
      <c r="M99" s="2551"/>
      <c r="N99" s="2074"/>
      <c r="O99" s="2074"/>
      <c r="P99" s="2074"/>
      <c r="Q99" s="2074"/>
      <c r="R99" s="2551"/>
      <c r="S99" s="2074"/>
      <c r="T99" s="2074"/>
      <c r="U99" s="1456"/>
      <c r="V99" s="2074"/>
      <c r="W99" s="2074"/>
      <c r="X99" s="2074"/>
      <c r="Y99" s="2074"/>
      <c r="Z99" s="2074"/>
      <c r="AA99" s="2547"/>
      <c r="AB99" s="1478"/>
      <c r="AC99" s="1478"/>
      <c r="AD99" s="1478"/>
      <c r="AE99" s="1478"/>
    </row>
    <row s="40252" customFormat="1" customHeight="1" ht="11.25">
      <c r="A100" s="1900"/>
      <c r="B100" s="2551"/>
      <c r="C100" s="2551"/>
      <c r="D100" s="1263"/>
      <c r="K100" s="2074"/>
      <c r="L100" s="2551"/>
      <c r="M100" s="2551"/>
      <c r="N100" s="2074"/>
      <c r="O100" s="2074"/>
      <c r="P100" s="2074"/>
      <c r="Q100" s="2074"/>
      <c r="R100" s="2551"/>
      <c r="S100" s="2074"/>
      <c r="T100" s="2074"/>
      <c r="U100" s="1456"/>
      <c r="V100" s="2074"/>
      <c r="W100" s="2074"/>
      <c r="X100" s="2074"/>
      <c r="Y100" s="2074"/>
      <c r="Z100" s="2074"/>
      <c r="AA100" s="2547"/>
      <c r="AB100" s="1478"/>
      <c r="AC100" s="1478"/>
      <c r="AD100" s="1478"/>
      <c r="AE100" s="1478"/>
    </row>
    <row s="40252" customFormat="1" customHeight="1" ht="11.25">
      <c r="A101" s="1900"/>
      <c r="B101" s="2551"/>
      <c r="C101" s="2551"/>
      <c r="D101" s="1263"/>
      <c r="K101" s="2074"/>
      <c r="L101" s="2551"/>
      <c r="M101" s="2551"/>
      <c r="N101" s="2074"/>
      <c r="O101" s="2074"/>
      <c r="P101" s="2074"/>
      <c r="Q101" s="2074"/>
      <c r="R101" s="2551"/>
      <c r="S101" s="2074"/>
      <c r="T101" s="2074"/>
      <c r="U101" s="1456"/>
      <c r="V101" s="2074"/>
      <c r="W101" s="2074"/>
      <c r="X101" s="2074"/>
      <c r="Y101" s="2074"/>
      <c r="Z101" s="2074"/>
      <c r="AA101" s="2547"/>
      <c r="AB101" s="1478"/>
      <c r="AC101" s="1478"/>
      <c r="AD101" s="1478"/>
      <c r="AE101" s="1478"/>
    </row>
    <row s="40252" customFormat="1" customHeight="1" ht="11.25">
      <c r="A102" s="1900"/>
      <c r="B102" s="2551"/>
      <c r="C102" s="2551"/>
      <c r="D102" s="1263"/>
      <c r="K102" s="2074"/>
      <c r="L102" s="2551"/>
      <c r="M102" s="2551"/>
      <c r="N102" s="2074"/>
      <c r="O102" s="2074"/>
      <c r="P102" s="2074"/>
      <c r="Q102" s="2074"/>
      <c r="R102" s="2551"/>
      <c r="S102" s="2074"/>
      <c r="T102" s="2074"/>
      <c r="U102" s="1456"/>
      <c r="V102" s="2074"/>
      <c r="W102" s="2074"/>
      <c r="X102" s="2074"/>
      <c r="Y102" s="2074"/>
      <c r="Z102" s="2074"/>
      <c r="AA102" s="2547"/>
      <c r="AB102" s="1478"/>
      <c r="AC102" s="1478"/>
      <c r="AD102" s="1478"/>
      <c r="AE102" s="1478"/>
    </row>
    <row s="40252" customFormat="1" customHeight="1" ht="11.25">
      <c r="A103" s="1900"/>
      <c r="B103" s="2551"/>
      <c r="C103" s="2551"/>
      <c r="D103" s="1263"/>
      <c r="K103" s="2074"/>
      <c r="L103" s="2551"/>
      <c r="M103" s="2551"/>
      <c r="N103" s="2074"/>
      <c r="O103" s="2074"/>
      <c r="P103" s="2074"/>
      <c r="Q103" s="2074"/>
      <c r="R103" s="2551"/>
      <c r="S103" s="2074"/>
      <c r="T103" s="2074"/>
      <c r="U103" s="1456"/>
      <c r="V103" s="2074"/>
      <c r="W103" s="2074"/>
      <c r="X103" s="2074"/>
      <c r="Y103" s="2074"/>
      <c r="Z103" s="2074"/>
      <c r="AA103" s="2547"/>
      <c r="AB103" s="1478"/>
      <c r="AC103" s="1478"/>
      <c r="AD103" s="1478"/>
      <c r="AE103" s="1478"/>
    </row>
    <row s="40252" customFormat="1" customHeight="1" ht="11.25">
      <c r="A104" s="1900"/>
      <c r="B104" s="2551"/>
      <c r="C104" s="2551"/>
      <c r="D104" s="1263"/>
      <c r="K104" s="2074"/>
      <c r="L104" s="2551"/>
      <c r="M104" s="2551"/>
      <c r="N104" s="2074"/>
      <c r="O104" s="2074"/>
      <c r="P104" s="2074"/>
      <c r="Q104" s="2074"/>
      <c r="R104" s="2551"/>
      <c r="S104" s="2074"/>
      <c r="T104" s="2074"/>
      <c r="U104" s="1456"/>
      <c r="V104" s="2074"/>
      <c r="W104" s="2074"/>
      <c r="X104" s="2074"/>
      <c r="Y104" s="2074"/>
      <c r="Z104" s="2074"/>
      <c r="AA104" s="2547"/>
      <c r="AB104" s="1478"/>
      <c r="AC104" s="1478"/>
      <c r="AD104" s="1478"/>
      <c r="AE104" s="1478"/>
    </row>
    <row s="40252" customFormat="1" customHeight="1" ht="11.25">
      <c r="A105" s="1900"/>
      <c r="B105" s="2551"/>
      <c r="C105" s="2551"/>
      <c r="D105" s="1263"/>
      <c r="K105" s="2074"/>
      <c r="L105" s="2551"/>
      <c r="M105" s="2551"/>
      <c r="N105" s="2074"/>
      <c r="O105" s="2074"/>
      <c r="P105" s="2074"/>
      <c r="Q105" s="2074"/>
      <c r="R105" s="2551"/>
      <c r="S105" s="2074"/>
      <c r="T105" s="2074"/>
      <c r="U105" s="1456"/>
      <c r="V105" s="2074"/>
      <c r="W105" s="2074"/>
      <c r="X105" s="2074"/>
      <c r="Y105" s="2074"/>
      <c r="Z105" s="2074"/>
      <c r="AA105" s="2547"/>
      <c r="AB105" s="1478"/>
      <c r="AC105" s="1478"/>
      <c r="AD105" s="1478"/>
      <c r="AE105" s="1478"/>
    </row>
    <row s="40252" customFormat="1" customHeight="1" ht="11.25">
      <c r="A106" s="1900"/>
      <c r="B106" s="2551"/>
      <c r="C106" s="2551"/>
      <c r="D106" s="1263"/>
      <c r="K106" s="2074"/>
      <c r="L106" s="2551"/>
      <c r="M106" s="2551"/>
      <c r="N106" s="2074"/>
      <c r="O106" s="2074"/>
      <c r="P106" s="2074"/>
      <c r="Q106" s="2074"/>
      <c r="R106" s="2551"/>
      <c r="S106" s="2074"/>
      <c r="T106" s="2074"/>
      <c r="U106" s="1456"/>
      <c r="V106" s="2074"/>
      <c r="W106" s="2074"/>
      <c r="X106" s="2074"/>
      <c r="Y106" s="2074"/>
      <c r="Z106" s="2074"/>
      <c r="AA106" s="2547"/>
      <c r="AB106" s="1478"/>
      <c r="AC106" s="1478"/>
      <c r="AD106" s="1478"/>
      <c r="AE106" s="1478"/>
    </row>
    <row s="40252" customFormat="1" customHeight="1" ht="11.25">
      <c r="A107" s="1900"/>
      <c r="B107" s="2551"/>
      <c r="C107" s="2551"/>
      <c r="D107" s="1263"/>
      <c r="K107" s="2074"/>
      <c r="L107" s="2551"/>
      <c r="M107" s="2551"/>
      <c r="N107" s="2074"/>
      <c r="O107" s="2074"/>
      <c r="P107" s="2074"/>
      <c r="Q107" s="2074"/>
      <c r="R107" s="2551"/>
      <c r="S107" s="2074"/>
      <c r="T107" s="2074"/>
      <c r="U107" s="1456"/>
      <c r="V107" s="2074"/>
      <c r="W107" s="2074"/>
      <c r="X107" s="2074"/>
      <c r="Y107" s="2074"/>
      <c r="Z107" s="2074"/>
      <c r="AA107" s="2547"/>
      <c r="AB107" s="1478"/>
      <c r="AC107" s="1478"/>
      <c r="AD107" s="1478"/>
      <c r="AE107" s="1478"/>
    </row>
    <row s="40252" customFormat="1" customHeight="1" ht="11.25">
      <c r="A108" s="1900"/>
      <c r="B108" s="2551"/>
      <c r="C108" s="2551"/>
      <c r="D108" s="1263"/>
      <c r="K108" s="2074"/>
      <c r="L108" s="2551"/>
      <c r="M108" s="2551"/>
      <c r="N108" s="2074"/>
      <c r="O108" s="2074"/>
      <c r="P108" s="2074"/>
      <c r="Q108" s="2074"/>
      <c r="R108" s="2551"/>
      <c r="S108" s="2074"/>
      <c r="T108" s="2074"/>
      <c r="U108" s="1456"/>
      <c r="V108" s="2074"/>
      <c r="W108" s="2074"/>
      <c r="X108" s="2074"/>
      <c r="Y108" s="2074"/>
      <c r="Z108" s="2074"/>
      <c r="AA108" s="2547"/>
      <c r="AB108" s="1478"/>
      <c r="AC108" s="1478"/>
      <c r="AD108" s="1478"/>
      <c r="AE108" s="1478"/>
    </row>
    <row s="40252" customFormat="1" customHeight="1" ht="11.25">
      <c r="A109" s="1900"/>
      <c r="B109" s="2551"/>
      <c r="C109" s="2551"/>
      <c r="D109" s="1263"/>
      <c r="K109" s="2074"/>
      <c r="L109" s="2551"/>
      <c r="M109" s="2551"/>
      <c r="N109" s="2074"/>
      <c r="O109" s="2074"/>
      <c r="P109" s="2074"/>
      <c r="Q109" s="2074"/>
      <c r="R109" s="2551"/>
      <c r="S109" s="2074"/>
      <c r="T109" s="2074"/>
      <c r="U109" s="1456"/>
      <c r="V109" s="2074"/>
      <c r="W109" s="2074"/>
      <c r="X109" s="2074"/>
      <c r="Y109" s="2074"/>
      <c r="Z109" s="2074"/>
      <c r="AA109" s="2547"/>
      <c r="AB109" s="1478"/>
      <c r="AC109" s="1478"/>
      <c r="AD109" s="1478"/>
      <c r="AE109" s="1478"/>
    </row>
    <row s="40252" customFormat="1" customHeight="1" ht="11.25">
      <c r="A110" s="1900"/>
      <c r="B110" s="2551"/>
      <c r="C110" s="2551"/>
      <c r="D110" s="1263"/>
      <c r="K110" s="2074"/>
      <c r="L110" s="2551"/>
      <c r="M110" s="2551"/>
      <c r="N110" s="2074"/>
      <c r="O110" s="2074"/>
      <c r="P110" s="2074"/>
      <c r="Q110" s="2074"/>
      <c r="R110" s="2551"/>
      <c r="S110" s="2074"/>
      <c r="T110" s="2074"/>
      <c r="U110" s="1456"/>
      <c r="V110" s="2074"/>
      <c r="W110" s="2074"/>
      <c r="X110" s="2074"/>
      <c r="Y110" s="2074"/>
      <c r="Z110" s="2074"/>
      <c r="AA110" s="2547"/>
      <c r="AB110" s="1478"/>
      <c r="AC110" s="1478"/>
      <c r="AD110" s="1478"/>
      <c r="AE110" s="1478"/>
    </row>
    <row s="40252" customFormat="1" customHeight="1" ht="11.25">
      <c r="A111" s="1900"/>
      <c r="B111" s="2551"/>
      <c r="C111" s="2551"/>
      <c r="D111" s="1263"/>
      <c r="K111" s="2074"/>
      <c r="L111" s="2551"/>
      <c r="M111" s="2551"/>
      <c r="N111" s="2074"/>
      <c r="O111" s="2074"/>
      <c r="P111" s="2074"/>
      <c r="Q111" s="2074"/>
      <c r="R111" s="2551"/>
      <c r="S111" s="2074"/>
      <c r="T111" s="2074"/>
      <c r="U111" s="1456"/>
      <c r="V111" s="2074"/>
      <c r="W111" s="2074"/>
      <c r="X111" s="2074"/>
      <c r="Y111" s="2074"/>
      <c r="Z111" s="2074"/>
      <c r="AA111" s="2547"/>
      <c r="AB111" s="1478"/>
      <c r="AC111" s="1478"/>
      <c r="AD111" s="1478"/>
      <c r="AE111" s="1478"/>
    </row>
    <row s="40252" customFormat="1" customHeight="1" ht="11.25">
      <c r="A112" s="1900"/>
      <c r="B112" s="2551"/>
      <c r="C112" s="2551"/>
      <c r="D112" s="1263"/>
      <c r="K112" s="2074"/>
      <c r="L112" s="2551"/>
      <c r="M112" s="2551"/>
      <c r="N112" s="2074"/>
      <c r="O112" s="2074"/>
      <c r="P112" s="2074"/>
      <c r="Q112" s="2074"/>
      <c r="R112" s="2551"/>
      <c r="S112" s="2074"/>
      <c r="T112" s="2074"/>
      <c r="U112" s="1456"/>
      <c r="V112" s="2074"/>
      <c r="W112" s="2074"/>
      <c r="X112" s="2074"/>
      <c r="Y112" s="2074"/>
      <c r="Z112" s="2074"/>
      <c r="AA112" s="2547"/>
      <c r="AB112" s="1478"/>
      <c r="AC112" s="1478"/>
      <c r="AD112" s="1478"/>
      <c r="AE112" s="1478"/>
    </row>
    <row s="40252" customFormat="1" customHeight="1" ht="11.25">
      <c r="A113" s="1900"/>
      <c r="B113" s="2551"/>
      <c r="C113" s="2551"/>
      <c r="D113" s="1263"/>
      <c r="K113" s="2074"/>
      <c r="L113" s="2551"/>
      <c r="M113" s="2551"/>
      <c r="N113" s="2074"/>
      <c r="O113" s="2074"/>
      <c r="P113" s="2074"/>
      <c r="Q113" s="2074"/>
      <c r="R113" s="2551"/>
      <c r="S113" s="2074"/>
      <c r="T113" s="2074"/>
      <c r="U113" s="1456"/>
      <c r="V113" s="2074"/>
      <c r="W113" s="2074"/>
      <c r="X113" s="2074"/>
      <c r="Y113" s="2074"/>
      <c r="Z113" s="2074"/>
      <c r="AA113" s="2547"/>
      <c r="AB113" s="1478"/>
      <c r="AC113" s="1478"/>
      <c r="AD113" s="1478"/>
      <c r="AE113" s="1478"/>
    </row>
    <row s="40252" customFormat="1" customHeight="1" ht="11.25">
      <c r="A114" s="1900"/>
      <c r="B114" s="2551"/>
      <c r="C114" s="2551"/>
      <c r="D114" s="1263"/>
      <c r="K114" s="2074"/>
      <c r="L114" s="2551"/>
      <c r="M114" s="2551"/>
      <c r="N114" s="2074"/>
      <c r="O114" s="2074"/>
      <c r="P114" s="2074"/>
      <c r="Q114" s="2074"/>
      <c r="R114" s="2551"/>
      <c r="S114" s="2074"/>
      <c r="T114" s="2074"/>
      <c r="U114" s="1456"/>
      <c r="V114" s="2074"/>
      <c r="W114" s="2074"/>
      <c r="X114" s="2074"/>
      <c r="Y114" s="2074"/>
      <c r="Z114" s="2074"/>
      <c r="AA114" s="2547"/>
      <c r="AB114" s="1478"/>
      <c r="AC114" s="1478"/>
      <c r="AD114" s="1478"/>
      <c r="AE114" s="1478"/>
    </row>
    <row s="40252" customFormat="1" customHeight="1" ht="11.25">
      <c r="A115" s="1900"/>
      <c r="B115" s="2551"/>
      <c r="C115" s="2551"/>
      <c r="D115" s="1263"/>
      <c r="K115" s="2074"/>
      <c r="L115" s="2551"/>
      <c r="M115" s="2551"/>
      <c r="N115" s="2074"/>
      <c r="O115" s="2074"/>
      <c r="P115" s="2074"/>
      <c r="Q115" s="2074"/>
      <c r="R115" s="2551"/>
      <c r="S115" s="2074"/>
      <c r="T115" s="2074"/>
      <c r="U115" s="1456"/>
      <c r="V115" s="2074"/>
      <c r="W115" s="2074"/>
      <c r="X115" s="2074"/>
      <c r="Y115" s="2074"/>
      <c r="Z115" s="2074"/>
      <c r="AA115" s="2547"/>
      <c r="AB115" s="1478"/>
      <c r="AC115" s="1478"/>
      <c r="AD115" s="1478"/>
      <c r="AE115" s="1478"/>
    </row>
    <row s="40252" customFormat="1" customHeight="1" ht="11.25">
      <c r="A116" s="1900"/>
      <c r="B116" s="2551"/>
      <c r="C116" s="2551"/>
      <c r="D116" s="1263"/>
      <c r="K116" s="2074"/>
      <c r="L116" s="2551"/>
      <c r="M116" s="2551"/>
      <c r="N116" s="2074"/>
      <c r="O116" s="2074"/>
      <c r="P116" s="2074"/>
      <c r="Q116" s="2074"/>
      <c r="R116" s="2551"/>
      <c r="S116" s="2074"/>
      <c r="T116" s="2074"/>
      <c r="U116" s="1456"/>
      <c r="V116" s="2074"/>
      <c r="W116" s="2074"/>
      <c r="X116" s="2074"/>
      <c r="Y116" s="2074"/>
      <c r="Z116" s="2074"/>
      <c r="AA116" s="2547"/>
      <c r="AB116" s="1478"/>
      <c r="AC116" s="1478"/>
      <c r="AD116" s="1478"/>
      <c r="AE116" s="1478"/>
    </row>
    <row s="40252" customFormat="1" customHeight="1" ht="11.25">
      <c r="A117" s="1900"/>
      <c r="B117" s="2551"/>
      <c r="C117" s="2551"/>
      <c r="D117" s="1263"/>
      <c r="K117" s="2074"/>
      <c r="L117" s="2551"/>
      <c r="M117" s="2551"/>
      <c r="N117" s="2074"/>
      <c r="O117" s="2074"/>
      <c r="P117" s="2074"/>
      <c r="Q117" s="2074"/>
      <c r="R117" s="2551"/>
      <c r="S117" s="2074"/>
      <c r="T117" s="2074"/>
      <c r="U117" s="1456"/>
      <c r="V117" s="2074"/>
      <c r="W117" s="2074"/>
      <c r="X117" s="2074"/>
      <c r="Y117" s="2074"/>
      <c r="Z117" s="2074"/>
      <c r="AA117" s="2547"/>
      <c r="AB117" s="1478"/>
      <c r="AC117" s="1478"/>
      <c r="AD117" s="1478"/>
      <c r="AE117" s="1478"/>
    </row>
    <row s="40252" customFormat="1" customHeight="1" ht="11.25">
      <c r="A118" s="1900"/>
      <c r="B118" s="2551"/>
      <c r="C118" s="2551"/>
      <c r="D118" s="1263"/>
      <c r="K118" s="2074"/>
      <c r="L118" s="2551"/>
      <c r="M118" s="2551"/>
      <c r="N118" s="2074"/>
      <c r="O118" s="2074"/>
      <c r="P118" s="2074"/>
      <c r="Q118" s="2074"/>
      <c r="R118" s="2551"/>
      <c r="S118" s="2074"/>
      <c r="T118" s="2074"/>
      <c r="U118" s="1456"/>
      <c r="V118" s="2074"/>
      <c r="W118" s="2074"/>
      <c r="X118" s="2074"/>
      <c r="Y118" s="2074"/>
      <c r="Z118" s="2074"/>
      <c r="AA118" s="2547"/>
      <c r="AB118" s="1478"/>
      <c r="AC118" s="1478"/>
      <c r="AD118" s="1478"/>
      <c r="AE118" s="1478"/>
    </row>
    <row s="40252" customFormat="1" customHeight="1" ht="11.25">
      <c r="A119" s="1900"/>
      <c r="B119" s="2551"/>
      <c r="C119" s="2551"/>
      <c r="D119" s="1263"/>
      <c r="K119" s="2074"/>
      <c r="L119" s="2551"/>
      <c r="M119" s="2551"/>
      <c r="N119" s="2074"/>
      <c r="O119" s="2074"/>
      <c r="P119" s="2074"/>
      <c r="Q119" s="2074"/>
      <c r="R119" s="2551"/>
      <c r="S119" s="2074"/>
      <c r="T119" s="2074"/>
      <c r="U119" s="1456"/>
      <c r="V119" s="2074"/>
      <c r="W119" s="2074"/>
      <c r="X119" s="2074"/>
      <c r="Y119" s="2074"/>
      <c r="Z119" s="2074"/>
      <c r="AA119" s="2547"/>
      <c r="AB119" s="1478"/>
      <c r="AC119" s="1478"/>
      <c r="AD119" s="1478"/>
      <c r="AE119" s="1478"/>
    </row>
    <row s="40252" customFormat="1" customHeight="1" ht="11.25">
      <c r="A120" s="1900"/>
      <c r="B120" s="2551"/>
      <c r="C120" s="2551"/>
      <c r="D120" s="1263"/>
      <c r="K120" s="2074"/>
      <c r="L120" s="2551"/>
      <c r="M120" s="2551"/>
      <c r="N120" s="2074"/>
      <c r="O120" s="2074"/>
      <c r="P120" s="2074"/>
      <c r="Q120" s="2074"/>
      <c r="R120" s="2551"/>
      <c r="S120" s="2074"/>
      <c r="T120" s="2074"/>
      <c r="U120" s="1456"/>
      <c r="V120" s="2074"/>
      <c r="W120" s="2074"/>
      <c r="X120" s="2074"/>
      <c r="Y120" s="2074"/>
      <c r="Z120" s="2074"/>
      <c r="AA120" s="2547"/>
      <c r="AB120" s="1478"/>
      <c r="AC120" s="1478"/>
      <c r="AD120" s="1478"/>
      <c r="AE120" s="1478"/>
    </row>
    <row s="40252" customFormat="1" customHeight="1" ht="11.25">
      <c r="A121" s="1900"/>
      <c r="B121" s="2551"/>
      <c r="C121" s="2551"/>
      <c r="D121" s="1263"/>
      <c r="K121" s="2074"/>
      <c r="L121" s="2551"/>
      <c r="M121" s="2551"/>
      <c r="N121" s="2074"/>
      <c r="O121" s="2074"/>
      <c r="P121" s="2074"/>
      <c r="Q121" s="2074"/>
      <c r="R121" s="2551"/>
      <c r="S121" s="2074"/>
      <c r="T121" s="2074"/>
      <c r="U121" s="1456"/>
      <c r="V121" s="2074"/>
      <c r="W121" s="2074"/>
      <c r="X121" s="2074"/>
      <c r="Y121" s="2074"/>
      <c r="Z121" s="2074"/>
      <c r="AA121" s="2547"/>
      <c r="AB121" s="1478"/>
      <c r="AC121" s="1478"/>
      <c r="AD121" s="1478"/>
      <c r="AE121" s="1478"/>
    </row>
    <row s="40252" customFormat="1" customHeight="1" ht="11.25">
      <c r="A122" s="1900"/>
      <c r="B122" s="2551"/>
      <c r="C122" s="2551"/>
      <c r="D122" s="1263"/>
      <c r="K122" s="2074"/>
      <c r="L122" s="2551"/>
      <c r="M122" s="2551"/>
      <c r="N122" s="2074"/>
      <c r="O122" s="2074"/>
      <c r="P122" s="2074"/>
      <c r="Q122" s="2074"/>
      <c r="R122" s="2551"/>
      <c r="S122" s="2074"/>
      <c r="T122" s="2074"/>
      <c r="U122" s="1456"/>
      <c r="V122" s="2074"/>
      <c r="W122" s="2074"/>
      <c r="X122" s="2074"/>
      <c r="Y122" s="2074"/>
      <c r="Z122" s="2074"/>
      <c r="AA122" s="2547"/>
      <c r="AB122" s="1478"/>
      <c r="AC122" s="1478"/>
      <c r="AD122" s="1478"/>
      <c r="AE122" s="1478"/>
    </row>
    <row s="40252" customFormat="1" customHeight="1" ht="11.25">
      <c r="A123" s="1900"/>
      <c r="B123" s="2551"/>
      <c r="C123" s="2551"/>
      <c r="D123" s="1263"/>
      <c r="K123" s="2074"/>
      <c r="L123" s="2551"/>
      <c r="M123" s="2551"/>
      <c r="N123" s="2074"/>
      <c r="O123" s="2074"/>
      <c r="P123" s="2074"/>
      <c r="Q123" s="2074"/>
      <c r="R123" s="2551"/>
      <c r="S123" s="2074"/>
      <c r="T123" s="2074"/>
      <c r="U123" s="1456"/>
      <c r="V123" s="2074"/>
      <c r="W123" s="2074"/>
      <c r="X123" s="2074"/>
      <c r="Y123" s="2074"/>
      <c r="Z123" s="2074"/>
      <c r="AA123" s="2547"/>
      <c r="AB123" s="1478"/>
      <c r="AC123" s="1478"/>
      <c r="AD123" s="1478"/>
      <c r="AE123" s="1478"/>
    </row>
    <row s="40252" customFormat="1" customHeight="1" ht="11.25">
      <c r="A124" s="1900"/>
      <c r="B124" s="2551"/>
      <c r="C124" s="2551"/>
      <c r="D124" s="1263"/>
      <c r="K124" s="2074"/>
      <c r="L124" s="2551"/>
      <c r="M124" s="2551"/>
      <c r="N124" s="2074"/>
      <c r="O124" s="2074"/>
      <c r="P124" s="2074"/>
      <c r="Q124" s="2074"/>
      <c r="R124" s="2551"/>
      <c r="S124" s="2074"/>
      <c r="T124" s="2074"/>
      <c r="U124" s="1456"/>
      <c r="V124" s="2074"/>
      <c r="W124" s="2074"/>
      <c r="X124" s="2074"/>
      <c r="Y124" s="2074"/>
      <c r="Z124" s="2074"/>
      <c r="AA124" s="2547"/>
      <c r="AB124" s="1478"/>
      <c r="AC124" s="1478"/>
      <c r="AD124" s="1478"/>
      <c r="AE124" s="1478"/>
    </row>
    <row s="40252" customFormat="1" customHeight="1" ht="11.25">
      <c r="A125" s="1900"/>
      <c r="B125" s="2551"/>
      <c r="C125" s="2551"/>
      <c r="D125" s="1263"/>
      <c r="K125" s="2074"/>
      <c r="L125" s="2551"/>
      <c r="M125" s="2551"/>
      <c r="N125" s="2074"/>
      <c r="O125" s="2074"/>
      <c r="P125" s="2074"/>
      <c r="Q125" s="2074"/>
      <c r="R125" s="2551"/>
      <c r="S125" s="2074"/>
      <c r="T125" s="2074"/>
      <c r="U125" s="1456"/>
      <c r="V125" s="2074"/>
      <c r="W125" s="2074"/>
      <c r="X125" s="2074"/>
      <c r="Y125" s="2074"/>
      <c r="Z125" s="2074"/>
      <c r="AA125" s="2547"/>
      <c r="AB125" s="1478"/>
      <c r="AC125" s="1478"/>
      <c r="AD125" s="1478"/>
      <c r="AE125" s="1478"/>
    </row>
    <row s="40252" customFormat="1" customHeight="1" ht="11.25">
      <c r="A126" s="1900"/>
      <c r="B126" s="2551"/>
      <c r="C126" s="2551"/>
      <c r="D126" s="1263"/>
      <c r="K126" s="2074"/>
      <c r="L126" s="2551"/>
      <c r="M126" s="2551"/>
      <c r="N126" s="2074"/>
      <c r="O126" s="2074"/>
      <c r="P126" s="2074"/>
      <c r="Q126" s="2074"/>
      <c r="R126" s="2551"/>
      <c r="S126" s="2074"/>
      <c r="T126" s="2074"/>
      <c r="U126" s="1456"/>
      <c r="V126" s="2074"/>
      <c r="W126" s="2074"/>
      <c r="X126" s="2074"/>
      <c r="Y126" s="2074"/>
      <c r="Z126" s="2074"/>
      <c r="AA126" s="2547"/>
      <c r="AB126" s="1478"/>
      <c r="AC126" s="1478"/>
      <c r="AD126" s="1478"/>
      <c r="AE126" s="1478"/>
    </row>
    <row s="40252" customFormat="1" customHeight="1" ht="11.25">
      <c r="A127" s="1900"/>
      <c r="B127" s="2551"/>
      <c r="C127" s="2551"/>
      <c r="D127" s="1263"/>
      <c r="K127" s="2074"/>
      <c r="L127" s="2551"/>
      <c r="M127" s="2551"/>
      <c r="N127" s="2074"/>
      <c r="O127" s="2074"/>
      <c r="P127" s="2074"/>
      <c r="Q127" s="2074"/>
      <c r="R127" s="2551"/>
      <c r="S127" s="2074"/>
      <c r="T127" s="2074"/>
      <c r="U127" s="1456"/>
      <c r="V127" s="2074"/>
      <c r="W127" s="2074"/>
      <c r="X127" s="2074"/>
      <c r="Y127" s="2074"/>
      <c r="Z127" s="2074"/>
      <c r="AA127" s="2547"/>
      <c r="AB127" s="1478"/>
      <c r="AC127" s="1478"/>
      <c r="AD127" s="1478"/>
      <c r="AE127" s="1478"/>
    </row>
    <row s="40252" customFormat="1" customHeight="1" ht="11.25">
      <c r="A128" s="1900"/>
      <c r="B128" s="2551"/>
      <c r="C128" s="2551"/>
      <c r="D128" s="1263"/>
      <c r="K128" s="2074"/>
      <c r="L128" s="2551"/>
      <c r="M128" s="2551"/>
      <c r="N128" s="2074"/>
      <c r="O128" s="2074"/>
      <c r="P128" s="2074"/>
      <c r="Q128" s="2074"/>
      <c r="R128" s="2551"/>
      <c r="S128" s="2074"/>
      <c r="T128" s="2074"/>
      <c r="U128" s="1456"/>
      <c r="V128" s="2074"/>
      <c r="W128" s="2074"/>
      <c r="X128" s="2074"/>
      <c r="Y128" s="2074"/>
      <c r="Z128" s="2074"/>
      <c r="AA128" s="2547"/>
      <c r="AB128" s="1478"/>
      <c r="AC128" s="1478"/>
      <c r="AD128" s="1478"/>
      <c r="AE128" s="1478"/>
    </row>
    <row s="40252" customFormat="1" customHeight="1" ht="11.25">
      <c r="A129" s="1900"/>
      <c r="B129" s="2551"/>
      <c r="C129" s="2551"/>
      <c r="D129" s="1263"/>
      <c r="K129" s="2074"/>
      <c r="L129" s="2551"/>
      <c r="M129" s="2551"/>
      <c r="N129" s="2074"/>
      <c r="O129" s="2074"/>
      <c r="P129" s="2074"/>
      <c r="Q129" s="2074"/>
      <c r="R129" s="2551"/>
      <c r="S129" s="2074"/>
      <c r="T129" s="2074"/>
      <c r="U129" s="1456"/>
      <c r="V129" s="2074"/>
      <c r="W129" s="2074"/>
      <c r="X129" s="2074"/>
      <c r="Y129" s="2074"/>
      <c r="Z129" s="2074"/>
      <c r="AA129" s="2547"/>
      <c r="AB129" s="1478"/>
      <c r="AC129" s="1478"/>
      <c r="AD129" s="1478"/>
      <c r="AE129" s="1478"/>
    </row>
    <row s="40252" customFormat="1" customHeight="1" ht="11.25">
      <c r="A130" s="1900"/>
      <c r="B130" s="2551"/>
      <c r="C130" s="2551"/>
      <c r="D130" s="1263"/>
      <c r="K130" s="2074"/>
      <c r="L130" s="2551"/>
      <c r="M130" s="2551"/>
      <c r="N130" s="2074"/>
      <c r="O130" s="2074"/>
      <c r="P130" s="2074"/>
      <c r="Q130" s="2074"/>
      <c r="R130" s="2551"/>
      <c r="S130" s="2074"/>
      <c r="T130" s="2074"/>
      <c r="U130" s="1456"/>
      <c r="V130" s="2074"/>
      <c r="W130" s="2074"/>
      <c r="X130" s="2074"/>
      <c r="Y130" s="2074"/>
      <c r="Z130" s="2074"/>
      <c r="AA130" s="2547"/>
      <c r="AB130" s="1478"/>
      <c r="AC130" s="1478"/>
      <c r="AD130" s="1478"/>
      <c r="AE130" s="1478"/>
    </row>
    <row s="40252" customFormat="1" customHeight="1" ht="11.25">
      <c r="A131" s="1900"/>
      <c r="B131" s="2551"/>
      <c r="C131" s="2551"/>
      <c r="D131" s="1263"/>
      <c r="K131" s="2074"/>
      <c r="L131" s="2551"/>
      <c r="M131" s="2551"/>
      <c r="N131" s="2074"/>
      <c r="O131" s="2074"/>
      <c r="P131" s="2074"/>
      <c r="Q131" s="2074"/>
      <c r="R131" s="2551"/>
      <c r="S131" s="2074"/>
      <c r="T131" s="2074"/>
      <c r="U131" s="1456"/>
      <c r="V131" s="2074"/>
      <c r="W131" s="2074"/>
      <c r="X131" s="2074"/>
      <c r="Y131" s="2074"/>
      <c r="Z131" s="2074"/>
      <c r="AA131" s="2547"/>
      <c r="AB131" s="1478"/>
      <c r="AC131" s="1478"/>
      <c r="AD131" s="1478"/>
      <c r="AE131" s="1478"/>
    </row>
    <row s="40252" customFormat="1" customHeight="1" ht="11.25">
      <c r="A132" s="1900"/>
      <c r="B132" s="2551"/>
      <c r="C132" s="2551"/>
      <c r="D132" s="1263"/>
      <c r="K132" s="2074"/>
      <c r="L132" s="2551"/>
      <c r="M132" s="2551"/>
      <c r="N132" s="2074"/>
      <c r="O132" s="2074"/>
      <c r="P132" s="2074"/>
      <c r="Q132" s="2074"/>
      <c r="R132" s="2551"/>
      <c r="S132" s="2074"/>
      <c r="T132" s="2074"/>
      <c r="U132" s="1456"/>
      <c r="V132" s="2074"/>
      <c r="W132" s="2074"/>
      <c r="X132" s="2074"/>
      <c r="Y132" s="2074"/>
      <c r="Z132" s="2074"/>
      <c r="AA132" s="2547"/>
      <c r="AB132" s="1478"/>
      <c r="AC132" s="1478"/>
      <c r="AD132" s="1478"/>
      <c r="AE132" s="1478"/>
    </row>
    <row s="40252" customFormat="1" customHeight="1" ht="11.25">
      <c r="A133" s="1900"/>
      <c r="B133" s="2551"/>
      <c r="C133" s="2551"/>
      <c r="D133" s="1263"/>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252"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252"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252" customFormat="1" customHeight="1" ht="11.25">
      <c r="A136" s="1900"/>
      <c r="B136" s="2551"/>
      <c r="C136" s="2551"/>
      <c r="D136" s="1263"/>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252"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252"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252"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252"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252"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252"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252"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252"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252"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252"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252"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252"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252"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252"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252"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252"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252"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252"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252"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252"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252"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252"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252"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252"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252"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252"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252"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252"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252"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252"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252"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252"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252"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252"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252"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252"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252"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252"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252"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252"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252"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252"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252"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252"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252"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252"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252"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252"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252"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252"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252"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252"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252"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252"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252"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252"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252"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252"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252"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s="40252" customFormat="1" customHeight="1" ht="11.25">
      <c r="A196" s="1900"/>
      <c r="B196" s="2551"/>
      <c r="C196" s="2551"/>
      <c r="D196" s="1263"/>
      <c r="K196" s="2074"/>
      <c r="L196" s="2551"/>
      <c r="M196" s="2551"/>
      <c r="N196" s="2074"/>
      <c r="O196" s="2074"/>
      <c r="P196" s="2074"/>
      <c r="Q196" s="2074"/>
      <c r="R196" s="2551"/>
      <c r="S196" s="2074"/>
      <c r="T196" s="2074"/>
      <c r="U196" s="1456"/>
      <c r="V196" s="2074"/>
      <c r="W196" s="2074"/>
      <c r="X196" s="2074"/>
      <c r="Y196" s="2074"/>
      <c r="Z196" s="2074"/>
      <c r="AA196" s="2547"/>
      <c r="AB196" s="1478"/>
      <c r="AC196" s="1478"/>
      <c r="AD196" s="1478"/>
      <c r="AE196" s="1478"/>
    </row>
    <row s="40252" customFormat="1" customHeight="1" ht="11.25">
      <c r="A197" s="1900"/>
      <c r="B197" s="2551"/>
      <c r="C197" s="2551"/>
      <c r="D197" s="1263"/>
      <c r="K197" s="2074"/>
      <c r="L197" s="2551"/>
      <c r="M197" s="2551"/>
      <c r="N197" s="2074"/>
      <c r="O197" s="2074"/>
      <c r="P197" s="2074"/>
      <c r="Q197" s="2074"/>
      <c r="R197" s="2551"/>
      <c r="S197" s="2074"/>
      <c r="T197" s="2074"/>
      <c r="U197" s="1456"/>
      <c r="V197" s="2074"/>
      <c r="W197" s="2074"/>
      <c r="X197" s="2074"/>
      <c r="Y197" s="2074"/>
      <c r="Z197" s="2074"/>
      <c r="AA197" s="2547"/>
      <c r="AB197" s="1478"/>
      <c r="AC197" s="1478"/>
      <c r="AD197" s="1478"/>
      <c r="AE197" s="1478"/>
    </row>
    <row s="40252" customFormat="1" customHeight="1" ht="11.25">
      <c r="A198" s="1900"/>
      <c r="B198" s="2551"/>
      <c r="C198" s="2551"/>
      <c r="D198" s="1263"/>
      <c r="K198" s="2074"/>
      <c r="L198" s="2551"/>
      <c r="M198" s="2551"/>
      <c r="N198" s="2074"/>
      <c r="O198" s="2074"/>
      <c r="P198" s="2074"/>
      <c r="Q198" s="2074"/>
      <c r="R198" s="2551"/>
      <c r="S198" s="2074"/>
      <c r="T198" s="2074"/>
      <c r="U198" s="1456"/>
      <c r="V198" s="2074"/>
      <c r="W198" s="2074"/>
      <c r="X198" s="2074"/>
      <c r="Y198" s="2074"/>
      <c r="Z198" s="2074"/>
      <c r="AA198" s="2547"/>
      <c r="AB198" s="1478"/>
      <c r="AC198" s="1478"/>
      <c r="AD198" s="1478"/>
      <c r="AE198" s="1478"/>
    </row>
    <row s="40252" customFormat="1" customHeight="1" ht="11.25">
      <c r="A199" s="1900"/>
      <c r="B199" s="2551"/>
      <c r="C199" s="2551"/>
      <c r="D199" s="1263"/>
      <c r="K199" s="2074"/>
      <c r="L199" s="2551"/>
      <c r="M199" s="2551"/>
      <c r="N199" s="2074"/>
      <c r="O199" s="2074"/>
      <c r="P199" s="2074"/>
      <c r="Q199" s="2074"/>
      <c r="R199" s="2551"/>
      <c r="S199" s="2074"/>
      <c r="T199" s="2074"/>
      <c r="U199" s="1456"/>
      <c r="V199" s="2074"/>
      <c r="W199" s="2074"/>
      <c r="X199" s="2074"/>
      <c r="Y199" s="2074"/>
      <c r="Z199" s="2074"/>
      <c r="AA199" s="2547"/>
      <c r="AB199" s="1478"/>
      <c r="AC199" s="1478"/>
      <c r="AD199" s="1478"/>
      <c r="AE199" s="1478"/>
    </row>
    <row s="40252" customFormat="1" customHeight="1" ht="11.25">
      <c r="A200" s="1900"/>
      <c r="B200" s="2551"/>
      <c r="C200" s="2551"/>
      <c r="D200" s="1263"/>
      <c r="K200" s="2074"/>
      <c r="L200" s="2551"/>
      <c r="M200" s="2551"/>
      <c r="N200" s="2074"/>
      <c r="O200" s="2074"/>
      <c r="P200" s="2074"/>
      <c r="Q200" s="2074"/>
      <c r="R200" s="2551"/>
      <c r="S200" s="2074"/>
      <c r="T200" s="2074"/>
      <c r="U200" s="1456"/>
      <c r="V200" s="2074"/>
      <c r="W200" s="2074"/>
      <c r="X200" s="2074"/>
      <c r="Y200" s="2074"/>
      <c r="Z200" s="2074"/>
      <c r="AA200" s="2547"/>
      <c r="AB200" s="1478"/>
      <c r="AC200" s="1478"/>
      <c r="AD200" s="1478"/>
      <c r="AE200" s="1478"/>
    </row>
    <row s="40252" customFormat="1" customHeight="1" ht="11.25">
      <c r="A201" s="1900"/>
      <c r="B201" s="2551"/>
      <c r="C201" s="2551"/>
      <c r="D201" s="1263"/>
      <c r="K201" s="2074"/>
      <c r="L201" s="2551"/>
      <c r="M201" s="2551"/>
      <c r="N201" s="2074"/>
      <c r="O201" s="2074"/>
      <c r="P201" s="2074"/>
      <c r="Q201" s="2074"/>
      <c r="R201" s="2551"/>
      <c r="S201" s="2074"/>
      <c r="T201" s="2074"/>
      <c r="U201" s="1456"/>
      <c r="V201" s="2074"/>
      <c r="W201" s="2074"/>
      <c r="X201" s="2074"/>
      <c r="Y201" s="2074"/>
      <c r="Z201" s="2074"/>
      <c r="AA201" s="2547"/>
      <c r="AB201" s="1478"/>
      <c r="AC201" s="1478"/>
      <c r="AD201" s="1478"/>
      <c r="AE201" s="1478"/>
    </row>
    <row s="40252" customFormat="1" customHeight="1" ht="11.25">
      <c r="A202" s="1900"/>
      <c r="B202" s="2551"/>
      <c r="C202" s="2551"/>
      <c r="D202" s="1263"/>
      <c r="K202" s="2074"/>
      <c r="L202" s="2551"/>
      <c r="M202" s="2551"/>
      <c r="N202" s="2074"/>
      <c r="O202" s="2074"/>
      <c r="P202" s="2074"/>
      <c r="Q202" s="2074"/>
      <c r="R202" s="2551"/>
      <c r="S202" s="2074"/>
      <c r="T202" s="2074"/>
      <c r="U202" s="1456"/>
      <c r="V202" s="2074"/>
      <c r="W202" s="2074"/>
      <c r="X202" s="2074"/>
      <c r="Y202" s="2074"/>
      <c r="Z202" s="2074"/>
      <c r="AA202" s="2547"/>
      <c r="AB202" s="1478"/>
      <c r="AC202" s="1478"/>
      <c r="AD202" s="1478"/>
      <c r="AE202" s="1478"/>
    </row>
    <row s="40252" customFormat="1" customHeight="1" ht="11.25">
      <c r="A203" s="1900"/>
      <c r="B203" s="2551"/>
      <c r="C203" s="2551"/>
      <c r="D203" s="1263"/>
      <c r="K203" s="2074"/>
      <c r="L203" s="2551"/>
      <c r="M203" s="2551"/>
      <c r="N203" s="2074"/>
      <c r="O203" s="2074"/>
      <c r="P203" s="2074"/>
      <c r="Q203" s="2074"/>
      <c r="R203" s="2551"/>
      <c r="S203" s="2074"/>
      <c r="T203" s="2074"/>
      <c r="U203" s="1456"/>
      <c r="V203" s="2074"/>
      <c r="W203" s="2074"/>
      <c r="X203" s="2074"/>
      <c r="Y203" s="2074"/>
      <c r="Z203" s="2074"/>
      <c r="AA203" s="2547"/>
      <c r="AB203" s="1478"/>
      <c r="AC203" s="1478"/>
      <c r="AD203" s="1478"/>
      <c r="AE203" s="1478"/>
    </row>
    <row s="40252" customFormat="1" customHeight="1" ht="11.25">
      <c r="A204" s="1900"/>
      <c r="B204" s="2551"/>
      <c r="C204" s="2551"/>
      <c r="D204" s="1263"/>
      <c r="K204" s="2074"/>
      <c r="L204" s="2551"/>
      <c r="M204" s="2551"/>
      <c r="N204" s="2074"/>
      <c r="O204" s="2074"/>
      <c r="P204" s="2074"/>
      <c r="Q204" s="2074"/>
      <c r="R204" s="2551"/>
      <c r="S204" s="2074"/>
      <c r="T204" s="2074"/>
      <c r="U204" s="1456"/>
      <c r="V204" s="2074"/>
      <c r="W204" s="2074"/>
      <c r="X204" s="2074"/>
      <c r="Y204" s="2074"/>
      <c r="Z204" s="2074"/>
      <c r="AA204" s="2547"/>
      <c r="AB204" s="1478"/>
      <c r="AC204" s="1478"/>
      <c r="AD204" s="1478"/>
      <c r="AE204" s="1478"/>
    </row>
    <row r="208" customHeight="1" ht="11.25">
      <c r="A208" s="1903"/>
      <c r="B208" s="2546"/>
      <c r="D208" s="2546"/>
      <c r="K208" s="2546"/>
      <c r="N208" s="2546"/>
      <c r="O208" s="2546"/>
      <c r="P208" s="2546"/>
      <c r="Q208" s="2546"/>
      <c r="S208" s="2546"/>
      <c r="T208" s="2546"/>
      <c r="U208" s="2546"/>
      <c r="V208" s="2546"/>
      <c r="W208" s="2546"/>
      <c r="X208" s="2546"/>
      <c r="Y208" s="2546"/>
      <c r="Z208" s="2546"/>
      <c r="AA208" s="2546"/>
      <c r="AB208" s="2546"/>
      <c r="AC208" s="2546"/>
      <c r="AD208" s="2546"/>
      <c r="AE208" s="2546"/>
    </row>
    <row customHeight="1" ht="11.25">
      <c r="A209" s="1903"/>
      <c r="B209" s="2546"/>
      <c r="D209" s="2546"/>
      <c r="K209" s="2546"/>
      <c r="N209" s="2546"/>
      <c r="O209" s="2546"/>
      <c r="P209" s="2546"/>
      <c r="Q209" s="2546"/>
      <c r="S209" s="2546"/>
      <c r="T209" s="2546"/>
      <c r="U209" s="2546"/>
      <c r="V209" s="2546"/>
      <c r="W209" s="2546"/>
      <c r="X209" s="2546"/>
      <c r="Y209" s="2546"/>
      <c r="Z209" s="2546"/>
      <c r="AA209" s="2546"/>
      <c r="AB209" s="2546"/>
      <c r="AC209" s="2546"/>
      <c r="AD209" s="2546"/>
      <c r="AE209" s="2546"/>
    </row>
    <row customHeight="1" ht="11.25">
      <c r="A210" s="1903"/>
      <c r="B210" s="2546"/>
      <c r="D210" s="2546"/>
      <c r="K210" s="2546"/>
      <c r="N210" s="2546"/>
      <c r="O210" s="2546"/>
      <c r="P210" s="2546"/>
      <c r="Q210" s="2546"/>
      <c r="S210" s="2546"/>
      <c r="T210" s="2546"/>
      <c r="U210" s="2546"/>
      <c r="V210" s="2546"/>
      <c r="W210" s="2546"/>
      <c r="X210" s="2546"/>
      <c r="Y210" s="2546"/>
      <c r="Z210" s="2546"/>
      <c r="AA210" s="2546"/>
      <c r="AB210" s="2546"/>
      <c r="AC210" s="2546"/>
      <c r="AD210" s="2546"/>
      <c r="AE210" s="2546"/>
    </row>
    <row customHeight="1" ht="11.25">
      <c r="A211" s="1903"/>
      <c r="B211" s="2546"/>
      <c r="D211" s="2546"/>
      <c r="K211" s="2546"/>
      <c r="N211" s="2546"/>
      <c r="O211" s="2546"/>
      <c r="P211" s="2546"/>
      <c r="Q211" s="2546"/>
      <c r="S211" s="2546"/>
      <c r="T211" s="2546"/>
      <c r="U211" s="2546"/>
      <c r="V211" s="2546"/>
      <c r="W211" s="2546"/>
      <c r="X211" s="2546"/>
      <c r="Y211" s="2546"/>
      <c r="Z211" s="2546"/>
      <c r="AA211" s="2546"/>
      <c r="AB211" s="2546"/>
      <c r="AC211" s="2546"/>
      <c r="AD211" s="2546"/>
      <c r="AE211" s="2546"/>
    </row>
    <row customHeight="1" ht="11.25">
      <c r="A212" s="1903"/>
      <c r="B212" s="2546"/>
      <c r="D212" s="2546"/>
      <c r="K212" s="2546"/>
      <c r="N212" s="2546"/>
      <c r="O212" s="2546"/>
      <c r="P212" s="2546"/>
      <c r="Q212" s="2546"/>
      <c r="S212" s="2546"/>
      <c r="T212" s="2546"/>
      <c r="U212" s="2546"/>
      <c r="V212" s="2546"/>
      <c r="W212" s="2546"/>
      <c r="X212" s="2546"/>
      <c r="Y212" s="2546"/>
      <c r="Z212" s="2546"/>
      <c r="AA212" s="2546"/>
      <c r="AB212" s="2546"/>
      <c r="AC212" s="2546"/>
      <c r="AD212" s="2546"/>
      <c r="AE212" s="2546"/>
    </row>
    <row customHeight="1" ht="11.25">
      <c r="A213" s="1903"/>
      <c r="B213" s="2546"/>
      <c r="D213" s="2546"/>
      <c r="K213" s="2546"/>
      <c r="N213" s="2546"/>
      <c r="O213" s="2546"/>
      <c r="P213" s="2546"/>
      <c r="Q213" s="2546"/>
      <c r="S213" s="2546"/>
      <c r="T213" s="2546"/>
      <c r="U213" s="2546"/>
      <c r="V213" s="2546"/>
      <c r="W213" s="2546"/>
      <c r="X213" s="2546"/>
      <c r="Y213" s="2546"/>
      <c r="Z213" s="2546"/>
      <c r="AA213" s="2546"/>
      <c r="AB213" s="2546"/>
      <c r="AC213" s="2546"/>
      <c r="AD213" s="2546"/>
      <c r="AE213" s="2546"/>
    </row>
    <row customHeight="1" ht="11.25">
      <c r="A214" s="1903"/>
      <c r="B214" s="2546"/>
      <c r="D214" s="2546"/>
      <c r="K214" s="2546"/>
      <c r="N214" s="2546"/>
      <c r="O214" s="2546"/>
      <c r="P214" s="2546"/>
      <c r="Q214" s="2546"/>
      <c r="S214" s="2546"/>
      <c r="T214" s="2546"/>
      <c r="U214" s="2546"/>
      <c r="V214" s="2546"/>
      <c r="W214" s="2546"/>
      <c r="X214" s="2546"/>
      <c r="Y214" s="2546"/>
      <c r="Z214" s="2546"/>
      <c r="AA214" s="2546"/>
      <c r="AB214" s="2546"/>
      <c r="AC214" s="2546"/>
      <c r="AD214" s="2546"/>
      <c r="AE214" s="2546"/>
    </row>
    <row customHeight="1" ht="11.25">
      <c r="A215" s="1903"/>
      <c r="B215" s="2546"/>
      <c r="D215" s="2546"/>
      <c r="K215" s="2546"/>
      <c r="N215" s="2546"/>
      <c r="O215" s="2546"/>
      <c r="P215" s="2546"/>
      <c r="Q215" s="2546"/>
      <c r="S215" s="2546"/>
      <c r="T215" s="2546"/>
      <c r="U215" s="2546"/>
      <c r="V215" s="2546"/>
      <c r="W215" s="2546"/>
      <c r="X215" s="2546"/>
      <c r="Y215" s="2546"/>
      <c r="Z215" s="2546"/>
      <c r="AA215" s="2546"/>
      <c r="AB215" s="2546"/>
      <c r="AC215" s="2546"/>
      <c r="AD215" s="2546"/>
      <c r="AE215" s="2546"/>
    </row>
    <row customHeight="1" ht="11.25">
      <c r="A216" s="1903"/>
      <c r="B216" s="2546"/>
      <c r="D216" s="2546"/>
      <c r="K216" s="2546"/>
      <c r="N216" s="2546"/>
      <c r="O216" s="2546"/>
      <c r="P216" s="2546"/>
      <c r="Q216" s="2546"/>
      <c r="S216" s="2546"/>
      <c r="T216" s="2546"/>
      <c r="U216" s="2546"/>
      <c r="V216" s="2546"/>
      <c r="W216" s="2546"/>
      <c r="X216" s="2546"/>
      <c r="Y216" s="2546"/>
      <c r="Z216" s="2546"/>
      <c r="AA216" s="2546"/>
      <c r="AB216" s="2546"/>
      <c r="AC216" s="2546"/>
      <c r="AD216" s="2546"/>
      <c r="AE216" s="2546"/>
    </row>
    <row customHeight="1" ht="11.25">
      <c r="A217" s="1903"/>
      <c r="B217" s="2546"/>
      <c r="D217" s="2546"/>
      <c r="K217" s="2546"/>
      <c r="N217" s="2546"/>
      <c r="O217" s="2546"/>
      <c r="P217" s="2546"/>
      <c r="Q217" s="2546"/>
      <c r="S217" s="2546"/>
      <c r="T217" s="2546"/>
      <c r="U217" s="2546"/>
      <c r="V217" s="2546"/>
      <c r="W217" s="2546"/>
      <c r="X217" s="2546"/>
      <c r="Y217" s="2546"/>
      <c r="Z217" s="2546"/>
      <c r="AA217" s="2546"/>
      <c r="AB217" s="2546"/>
      <c r="AC217" s="2546"/>
      <c r="AD217" s="2546"/>
      <c r="AE217" s="2546"/>
    </row>
    <row customHeight="1" ht="11.25">
      <c r="A218" s="1903"/>
      <c r="B218" s="2546"/>
      <c r="D218" s="2546"/>
      <c r="K218" s="2546"/>
      <c r="N218" s="2546"/>
      <c r="O218" s="2546"/>
      <c r="P218" s="2546"/>
      <c r="Q218" s="2546"/>
      <c r="S218" s="2546"/>
      <c r="T218" s="2546"/>
      <c r="U218" s="2546"/>
      <c r="V218" s="2546"/>
      <c r="W218" s="2546"/>
      <c r="X218" s="2546"/>
      <c r="Y218" s="2546"/>
      <c r="Z218" s="2546"/>
      <c r="AA218" s="2546"/>
      <c r="AB218" s="2546"/>
      <c r="AC218" s="2546"/>
      <c r="AD218" s="2546"/>
      <c r="AE218" s="2546"/>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317B5E-F14C-90B9-D987-A96DA99086FB}"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40614" width="10.7109375" hidden="1" customWidth="1"/>
    <col min="2" max="2" style="40129" width="16.8515625" hidden="1" customWidth="1"/>
    <col min="3" max="3" style="40255" width="5.57421875" hidden="1" customWidth="1"/>
    <col min="4" max="4" style="40615" width="3.7109375" customWidth="1"/>
    <col min="5" max="5" style="40257" width="7.7109375" customWidth="1"/>
    <col min="6" max="6" style="40257" width="54.57421875" customWidth="1"/>
    <col min="7" max="7" style="40257" width="10.421875" customWidth="1"/>
    <col min="8" max="8" style="40257" width="40.7109375" hidden="1" customWidth="1"/>
    <col min="9" max="9" style="40257" width="40.7109375" customWidth="1"/>
    <col min="10" max="10" style="40257" width="102.8515625" customWidth="1"/>
    <col min="11" max="11" style="40129" width="9.7109375" customWidth="1"/>
    <col min="12" max="12" style="40255" width="5.28125" customWidth="1"/>
    <col min="13" max="13" style="40255" width="3.7109375" customWidth="1"/>
    <col min="14" max="17" style="40129" width="3.7109375" customWidth="1"/>
    <col min="18" max="18" style="40255" width="10.57421875" customWidth="1"/>
    <col min="19" max="19" style="40129" width="34.7109375" customWidth="1"/>
    <col min="20" max="20" style="40129" width="9.421875" customWidth="1"/>
    <col min="21" max="21" style="40616" width="9.140625"/>
    <col min="22" max="26" style="40129" width="9.140625"/>
    <col min="27" max="31" style="40518" width="9.140625"/>
  </cols>
  <sheetData>
    <row s="40129" customFormat="1" customHeight="1" ht="11.25" hidden="1">
      <c r="A1" s="1900"/>
      <c r="C1" s="2551"/>
      <c r="D1" s="1449"/>
      <c r="H1" s="2074">
        <v>4</v>
      </c>
      <c r="I1" s="2074">
        <v>4</v>
      </c>
      <c r="L1" s="2551"/>
      <c r="M1" s="2551"/>
      <c r="R1" s="2551"/>
    </row>
    <row s="40129" customFormat="1" customHeight="1" ht="22.5" hidden="1">
      <c r="A2" s="1900"/>
      <c r="C2" s="2551"/>
      <c r="D2" s="1450"/>
      <c r="E2" s="2573"/>
      <c r="F2" s="1452"/>
      <c r="G2" s="2572" t="s">
        <v>544</v>
      </c>
      <c r="H2" s="1453"/>
      <c r="I2" s="1453"/>
      <c r="J2" s="1454" t="s">
        <v>547</v>
      </c>
      <c r="K2" s="1455"/>
      <c r="L2" s="2551"/>
      <c r="M2" s="2551"/>
      <c r="R2" s="2551"/>
      <c r="U2" s="1456"/>
      <c r="AA2" s="2547"/>
      <c r="AB2" s="2547"/>
      <c r="AC2" s="2547"/>
      <c r="AD2" s="2547"/>
      <c r="AE2" s="2547"/>
    </row>
    <row customHeight="1" ht="11.25" hidden="1"/>
    <row s="40518" customFormat="1" customHeight="1" ht="11.25" hidden="1">
      <c r="A4" s="1900"/>
      <c r="B4" s="2074"/>
      <c r="C4" s="2551"/>
      <c r="D4" s="1274"/>
      <c r="J4" s="2547">
        <v>4</v>
      </c>
      <c r="K4" s="2074"/>
      <c r="L4" s="2551"/>
      <c r="M4" s="2551"/>
      <c r="N4" s="2074"/>
      <c r="O4" s="2074"/>
      <c r="P4" s="2074"/>
      <c r="Q4" s="2074"/>
      <c r="R4" s="2551"/>
      <c r="S4" s="2074"/>
      <c r="T4" s="2074"/>
      <c r="U4" s="1456"/>
      <c r="V4" s="2074"/>
      <c r="W4" s="2074"/>
      <c r="X4" s="2074"/>
      <c r="Y4" s="2074"/>
      <c r="Z4" s="2074"/>
    </row>
    <row r="6" customHeight="1" ht="32.25">
      <c r="E6" s="3072" t="s">
        <v>681</v>
      </c>
      <c r="F6" s="3072"/>
      <c r="G6" s="3072"/>
      <c r="H6" s="3072"/>
      <c r="I6" s="3072"/>
      <c r="J6" s="1468"/>
    </row>
    <row customHeight="1" ht="24">
      <c r="E7" s="3073" t="str">
        <f>IF(org=0,"Не определено",org)</f>
        <v>ПАО "ТГК-1" филиал "Невский"</v>
      </c>
      <c r="F7" s="3073"/>
      <c r="G7" s="3073"/>
      <c r="H7" s="3073"/>
      <c r="I7" s="3073"/>
    </row>
    <row customHeight="1" ht="11.25">
      <c r="E8" s="2049"/>
      <c r="F8" s="2049"/>
      <c r="G8" s="2049"/>
      <c r="H8" s="2049"/>
      <c r="I8" s="2049"/>
    </row>
    <row s="40255" customFormat="1" customHeight="1" ht="0.75">
      <c r="A9" s="2081"/>
      <c r="D9" s="2557"/>
      <c r="H9" s="1801"/>
      <c r="I9" s="1801" t="s">
        <v>110</v>
      </c>
    </row>
    <row customHeight="1" ht="11.25">
      <c r="E10" s="1623"/>
      <c r="F10" s="3184" t="s">
        <v>98</v>
      </c>
      <c r="G10" s="3185"/>
      <c r="H10" s="2574" t="str">
        <f>IF(H9="","",INDEX(DIFFERENTIATION_UNMERGE_VD,MATCH(H9,DIFFERENTIATION_ID_DIFF,0)))</f>
        <v/>
      </c>
      <c r="I10" s="2574">
        <f>IF(I9="","",INDEX(DIFFERENTIATION_UNMERGE_VD,MATCH(I9,DIFFERENTIATION_ID_DIFF,0)))</f>
        <v>0</v>
      </c>
      <c r="J10" s="2953"/>
    </row>
    <row customHeight="1" ht="11.25">
      <c r="E11" s="1623"/>
      <c r="F11" s="3184" t="s">
        <v>556</v>
      </c>
      <c r="G11" s="3185"/>
      <c r="H11" s="2574" t="str">
        <f>IF(H9="","",INDEX(DIFFERENTIATION_UNMERGE_AREA,MATCH(H9,DIFFERENTIATION_ID_DIFF,0)))</f>
        <v/>
      </c>
      <c r="I11" s="2574" t="str">
        <f>IF(I9="","",INDEX(DIFFERENTIATION_UNMERGE_AREA,MATCH(I9,DIFFERENTIATION_ID_DIFF,0)))</f>
        <v/>
      </c>
      <c r="J11" s="2953"/>
    </row>
    <row customHeight="1" ht="11.25" hidden="1">
      <c r="E12" s="2577"/>
      <c r="F12" s="3202" t="s">
        <v>557</v>
      </c>
      <c r="G12" s="3203"/>
      <c r="H12" s="2578" t="str">
        <f>IF(H9="","",INDEX(DIFFERENTIATION_UNMERGE_SYSTEM,MATCH(H9,DIFFERENTIATION_ID_DIFF,0)))</f>
        <v/>
      </c>
      <c r="I12" s="2578" t="str">
        <f>IF(I9="","",INDEX(DIFFERENTIATION_UNMERGE_SYSTEM,MATCH(I9,DIFFERENTIATION_ID_DIFF,0)))</f>
        <v>без дифференциации</v>
      </c>
      <c r="J12" s="2953"/>
    </row>
    <row customHeight="1" ht="11.25">
      <c r="E13" s="3186" t="s">
        <v>291</v>
      </c>
      <c r="F13" s="3187"/>
      <c r="G13" s="3187"/>
      <c r="H13" s="2571"/>
      <c r="I13" s="2571"/>
      <c r="J13" s="2953"/>
    </row>
    <row customHeight="1" ht="22.5">
      <c r="E14" s="2572" t="s">
        <v>84</v>
      </c>
      <c r="F14" s="2575" t="s">
        <v>293</v>
      </c>
      <c r="G14" s="2575" t="s">
        <v>558</v>
      </c>
      <c r="H14" s="2575" t="s">
        <v>294</v>
      </c>
      <c r="I14" s="2575" t="s">
        <v>294</v>
      </c>
      <c r="J14" s="2953"/>
    </row>
    <row customHeight="1" ht="18.75">
      <c r="D15" s="2553"/>
      <c r="E15" s="2545" t="s">
        <v>102</v>
      </c>
      <c r="F15" s="1619" t="s">
        <v>682</v>
      </c>
      <c r="G15" s="2572" t="s">
        <v>544</v>
      </c>
      <c r="H15" s="1469"/>
      <c r="I15" s="1469"/>
      <c r="J15" s="1201" t="s">
        <v>683</v>
      </c>
      <c r="K15" s="1455" t="s">
        <v>611</v>
      </c>
    </row>
    <row customHeight="1" ht="22.5">
      <c r="D16" s="2553"/>
      <c r="E16" s="2545" t="s">
        <v>103</v>
      </c>
      <c r="F16" s="2580" t="s">
        <v>684</v>
      </c>
      <c r="G16" s="2572" t="s">
        <v>544</v>
      </c>
      <c r="H16" s="1470">
        <f>SUM(H17,H20:H27)</f>
        <v>0</v>
      </c>
      <c r="I16" s="1470">
        <f>SUM(I17,I20:I27)</f>
        <v>0</v>
      </c>
      <c r="J16" s="1201" t="s">
        <v>685</v>
      </c>
      <c r="K16" s="1455" t="s">
        <v>611</v>
      </c>
    </row>
    <row customHeight="1" ht="33.75">
      <c r="D17" s="2553"/>
      <c r="E17" s="2579" t="s">
        <v>614</v>
      </c>
      <c r="F17" s="2582" t="s">
        <v>686</v>
      </c>
      <c r="G17" s="2569" t="s">
        <v>544</v>
      </c>
      <c r="H17" s="1469"/>
      <c r="I17" s="1469"/>
      <c r="J17" s="1201" t="s">
        <v>687</v>
      </c>
      <c r="K17" s="1455"/>
    </row>
    <row customHeight="1" ht="18.75">
      <c r="D18" s="2553"/>
      <c r="E18" s="2579" t="s">
        <v>617</v>
      </c>
      <c r="F18" s="2583" t="s">
        <v>688</v>
      </c>
      <c r="G18" s="2569" t="s">
        <v>544</v>
      </c>
      <c r="H18" s="1469"/>
      <c r="I18" s="1469"/>
      <c r="J18" s="1201"/>
      <c r="K18" s="1455"/>
    </row>
    <row customHeight="1" ht="22.5">
      <c r="D19" s="2553"/>
      <c r="E19" s="2579" t="s">
        <v>620</v>
      </c>
      <c r="F19" s="2583" t="s">
        <v>689</v>
      </c>
      <c r="G19" s="2569" t="s">
        <v>544</v>
      </c>
      <c r="H19" s="1469"/>
      <c r="I19" s="1469"/>
      <c r="J19" s="1201"/>
      <c r="K19" s="1455"/>
    </row>
    <row customHeight="1" ht="33.75">
      <c r="D20" s="2553"/>
      <c r="E20" s="2579" t="s">
        <v>298</v>
      </c>
      <c r="F20" s="2582" t="s">
        <v>690</v>
      </c>
      <c r="G20" s="2569" t="s">
        <v>544</v>
      </c>
      <c r="H20" s="1469"/>
      <c r="I20" s="1469"/>
      <c r="J20" s="1201"/>
      <c r="K20" s="1455"/>
    </row>
    <row customHeight="1" ht="33.75">
      <c r="D21" s="2553"/>
      <c r="E21" s="2579" t="s">
        <v>301</v>
      </c>
      <c r="F21" s="2582" t="s">
        <v>691</v>
      </c>
      <c r="G21" s="2569" t="s">
        <v>544</v>
      </c>
      <c r="H21" s="1469"/>
      <c r="I21" s="1469"/>
      <c r="J21" s="1201"/>
      <c r="K21" s="1455"/>
    </row>
    <row customHeight="1" ht="56.25">
      <c r="D22" s="2553"/>
      <c r="E22" s="2579" t="s">
        <v>634</v>
      </c>
      <c r="F22" s="2582" t="s">
        <v>692</v>
      </c>
      <c r="G22" s="2569" t="s">
        <v>544</v>
      </c>
      <c r="H22" s="1469"/>
      <c r="I22" s="1469"/>
      <c r="J22" s="1201"/>
      <c r="K22" s="1455"/>
    </row>
    <row customHeight="1" ht="33.75">
      <c r="D23" s="2553"/>
      <c r="E23" s="2579" t="s">
        <v>641</v>
      </c>
      <c r="F23" s="2582" t="s">
        <v>693</v>
      </c>
      <c r="G23" s="2569" t="s">
        <v>544</v>
      </c>
      <c r="H23" s="1469"/>
      <c r="I23" s="1469"/>
      <c r="J23" s="1201"/>
      <c r="K23" s="1455"/>
    </row>
    <row customHeight="1" ht="33.75">
      <c r="D24" s="2553"/>
      <c r="E24" s="2579" t="s">
        <v>643</v>
      </c>
      <c r="F24" s="2582" t="s">
        <v>694</v>
      </c>
      <c r="G24" s="2569" t="s">
        <v>544</v>
      </c>
      <c r="H24" s="1469"/>
      <c r="I24" s="1469"/>
      <c r="J24" s="1201"/>
      <c r="K24" s="1455"/>
    </row>
    <row customHeight="1" ht="22.5">
      <c r="D25" s="2553"/>
      <c r="E25" s="2579" t="s">
        <v>645</v>
      </c>
      <c r="F25" s="2582" t="s">
        <v>695</v>
      </c>
      <c r="G25" s="2569" t="s">
        <v>544</v>
      </c>
      <c r="H25" s="1469"/>
      <c r="I25" s="1469"/>
      <c r="J25" s="1201"/>
      <c r="K25" s="1455"/>
    </row>
    <row customHeight="1" ht="67.5">
      <c r="D26" s="2553"/>
      <c r="E26" s="2579" t="s">
        <v>647</v>
      </c>
      <c r="F26" s="2582" t="s">
        <v>696</v>
      </c>
      <c r="G26" s="2569" t="s">
        <v>544</v>
      </c>
      <c r="H26" s="1469"/>
      <c r="I26" s="1469"/>
      <c r="J26" s="1201"/>
      <c r="K26" s="1455"/>
    </row>
    <row s="40129" customFormat="1" customHeight="1" ht="22.5">
      <c r="A27" s="1900"/>
      <c r="C27" s="2551"/>
      <c r="D27" s="2553"/>
      <c r="E27" s="2544" t="s">
        <v>651</v>
      </c>
      <c r="F27" s="2543" t="s">
        <v>697</v>
      </c>
      <c r="G27" s="2570" t="s">
        <v>544</v>
      </c>
      <c r="H27" s="1491">
        <f>SUM(H28:H29)</f>
        <v>0</v>
      </c>
      <c r="I27" s="1491">
        <f>SUM(I28:I29)</f>
        <v>0</v>
      </c>
      <c r="J27" s="1201" t="s">
        <v>649</v>
      </c>
      <c r="K27" s="1455"/>
      <c r="L27" s="2551"/>
      <c r="M27" s="2551"/>
      <c r="R27" s="2551"/>
      <c r="U27" s="1456"/>
      <c r="AA27" s="2547"/>
      <c r="AB27" s="2547"/>
      <c r="AC27" s="2547"/>
      <c r="AD27" s="2547"/>
      <c r="AE27" s="2547"/>
    </row>
    <row s="40255" customFormat="1" customHeight="1" ht="0.75">
      <c r="A28" s="2081"/>
      <c r="D28" s="1460"/>
      <c r="E28" s="1714" t="str">
        <f>E27&amp;".0"</f>
        <v>2.9.0</v>
      </c>
      <c r="F28" s="1904"/>
      <c r="G28" s="1463"/>
      <c r="H28" s="1905"/>
      <c r="I28" s="1905"/>
      <c r="J28" s="1906"/>
    </row>
    <row s="40129" customFormat="1" customHeight="1" ht="18.75">
      <c r="A29" s="1900"/>
      <c r="C29" s="2551"/>
      <c r="D29" s="2548"/>
      <c r="E29" s="1482"/>
      <c r="F29" s="2581" t="s">
        <v>569</v>
      </c>
      <c r="G29" s="1484"/>
      <c r="H29" s="1485"/>
      <c r="I29" s="1485"/>
      <c r="J29" s="1213" t="s">
        <v>650</v>
      </c>
      <c r="K29" s="1455"/>
      <c r="L29" s="2551"/>
      <c r="M29" s="2551"/>
      <c r="R29" s="2551"/>
      <c r="U29" s="1456"/>
      <c r="AA29" s="2547"/>
      <c r="AB29" s="2547"/>
      <c r="AC29" s="2547"/>
      <c r="AD29" s="2547"/>
      <c r="AE29" s="2547"/>
    </row>
    <row s="40129" customFormat="1" customHeight="1" ht="22.5">
      <c r="A30" s="1900"/>
      <c r="C30" s="2551"/>
      <c r="D30" s="2553"/>
      <c r="E30" s="2579" t="s">
        <v>86</v>
      </c>
      <c r="F30" s="2576" t="s">
        <v>698</v>
      </c>
      <c r="G30" s="2569" t="s">
        <v>544</v>
      </c>
      <c r="H30" s="1469"/>
      <c r="I30" s="1469"/>
      <c r="J30" s="1201"/>
      <c r="K30" s="1455"/>
      <c r="L30" s="2551"/>
      <c r="M30" s="2551"/>
      <c r="R30" s="2551"/>
      <c r="U30" s="1456"/>
      <c r="AA30" s="2547"/>
      <c r="AB30" s="2547"/>
      <c r="AC30" s="2547"/>
      <c r="AD30" s="2547"/>
      <c r="AE30" s="2547"/>
    </row>
    <row s="40129" customFormat="1" customHeight="1" ht="33.75">
      <c r="A31" s="1900"/>
      <c r="C31" s="2551"/>
      <c r="D31" s="1487"/>
      <c r="E31" s="2579" t="s">
        <v>87</v>
      </c>
      <c r="F31" s="2576" t="s">
        <v>699</v>
      </c>
      <c r="G31" s="2569" t="s">
        <v>544</v>
      </c>
      <c r="H31" s="1469"/>
      <c r="I31" s="1469"/>
      <c r="J31" s="1201" t="s">
        <v>700</v>
      </c>
      <c r="K31" s="1455"/>
      <c r="L31" s="2551"/>
      <c r="M31" s="2551"/>
      <c r="R31" s="2551"/>
      <c r="U31" s="1456"/>
      <c r="AA31" s="2547"/>
      <c r="AB31" s="2547"/>
      <c r="AC31" s="2547"/>
      <c r="AD31" s="2547"/>
      <c r="AE31" s="2547"/>
    </row>
    <row s="40129" customFormat="1" customHeight="1" ht="22.5">
      <c r="A32" s="1900"/>
      <c r="C32" s="2551"/>
      <c r="D32" s="2553"/>
      <c r="E32" s="2579" t="s">
        <v>659</v>
      </c>
      <c r="F32" s="1602" t="s">
        <v>663</v>
      </c>
      <c r="G32" s="2569" t="s">
        <v>544</v>
      </c>
      <c r="H32" s="1469"/>
      <c r="I32" s="1469"/>
      <c r="J32" s="1201" t="s">
        <v>701</v>
      </c>
      <c r="K32" s="1455"/>
      <c r="L32" s="2551"/>
      <c r="M32" s="2551"/>
      <c r="R32" s="2551"/>
      <c r="U32" s="1456"/>
      <c r="AA32" s="2547"/>
      <c r="AB32" s="2547"/>
      <c r="AC32" s="2547"/>
      <c r="AD32" s="2547"/>
      <c r="AE32" s="2547"/>
    </row>
    <row s="40129" customFormat="1" customHeight="1" ht="22.5">
      <c r="A33" s="1900"/>
      <c r="C33" s="2551"/>
      <c r="D33" s="2553"/>
      <c r="E33" s="2579" t="s">
        <v>702</v>
      </c>
      <c r="F33" s="1602" t="s">
        <v>703</v>
      </c>
      <c r="G33" s="2569" t="s">
        <v>544</v>
      </c>
      <c r="H33" s="1469"/>
      <c r="I33" s="1469"/>
      <c r="J33" s="1201" t="s">
        <v>704</v>
      </c>
      <c r="K33" s="1455"/>
      <c r="L33" s="2551"/>
      <c r="M33" s="2551"/>
      <c r="R33" s="2551"/>
      <c r="U33" s="1456"/>
      <c r="AA33" s="2547"/>
      <c r="AB33" s="2547"/>
      <c r="AC33" s="2547"/>
      <c r="AD33" s="2547"/>
      <c r="AE33" s="2547"/>
    </row>
    <row s="40129" customFormat="1" customHeight="1" ht="22.5">
      <c r="A34" s="1900"/>
      <c r="C34" s="2551"/>
      <c r="D34" s="2553"/>
      <c r="E34" s="2579" t="s">
        <v>705</v>
      </c>
      <c r="F34" s="1602" t="s">
        <v>669</v>
      </c>
      <c r="G34" s="2569" t="s">
        <v>544</v>
      </c>
      <c r="H34" s="1469"/>
      <c r="I34" s="1469"/>
      <c r="J34" s="1201" t="s">
        <v>706</v>
      </c>
      <c r="K34" s="1455"/>
      <c r="L34" s="2551"/>
      <c r="M34" s="2551"/>
      <c r="R34" s="2551"/>
      <c r="U34" s="1456"/>
      <c r="AA34" s="2547"/>
      <c r="AB34" s="2547"/>
      <c r="AC34" s="2547"/>
      <c r="AD34" s="2547"/>
      <c r="AE34" s="2547"/>
    </row>
    <row s="40129" customFormat="1" customHeight="1" ht="33.75">
      <c r="A35" s="1900"/>
      <c r="C35" s="2551" t="s">
        <v>580</v>
      </c>
      <c r="D35" s="2553"/>
      <c r="E35" s="2579" t="s">
        <v>104</v>
      </c>
      <c r="F35" s="2576" t="s">
        <v>671</v>
      </c>
      <c r="G35" s="2572" t="s">
        <v>297</v>
      </c>
      <c r="H35" s="1313"/>
      <c r="I35" s="1313"/>
      <c r="J35" s="1201" t="s">
        <v>707</v>
      </c>
      <c r="K35" s="1455"/>
      <c r="L35" s="2551"/>
      <c r="M35" s="2551"/>
      <c r="R35" s="2551"/>
      <c r="U35" s="1456"/>
      <c r="AA35" s="2547"/>
      <c r="AB35" s="2547"/>
      <c r="AC35" s="2547"/>
      <c r="AD35" s="2547"/>
      <c r="AE35" s="2547"/>
    </row>
    <row s="40129" customFormat="1" customHeight="1" ht="22.5">
      <c r="A36" s="1900"/>
      <c r="C36" s="2551"/>
      <c r="D36" s="2553"/>
      <c r="E36" s="2579" t="s">
        <v>88</v>
      </c>
      <c r="F36" s="2576" t="s">
        <v>708</v>
      </c>
      <c r="G36" s="2569" t="s">
        <v>675</v>
      </c>
      <c r="H36" s="1457"/>
      <c r="I36" s="1457"/>
      <c r="J36" s="1201" t="s">
        <v>676</v>
      </c>
      <c r="K36" s="1455"/>
      <c r="L36" s="2551"/>
      <c r="M36" s="2551"/>
      <c r="R36" s="2551"/>
      <c r="U36" s="1456"/>
      <c r="AA36" s="2547"/>
      <c r="AB36" s="2547"/>
      <c r="AC36" s="2547"/>
      <c r="AD36" s="2547"/>
      <c r="AE36" s="2547"/>
    </row>
    <row s="40129" customFormat="1" customHeight="1" ht="22.5">
      <c r="A37" s="1900"/>
      <c r="C37" s="2551"/>
      <c r="D37" s="2553"/>
      <c r="E37" s="2579" t="s">
        <v>89</v>
      </c>
      <c r="F37" s="2576" t="s">
        <v>709</v>
      </c>
      <c r="G37" s="2569" t="s">
        <v>678</v>
      </c>
      <c r="H37" s="1457"/>
      <c r="I37" s="1457"/>
      <c r="J37" s="1201" t="s">
        <v>679</v>
      </c>
      <c r="K37" s="1455"/>
      <c r="L37" s="2551"/>
      <c r="M37" s="2551"/>
      <c r="R37" s="2551"/>
      <c r="U37" s="1456"/>
      <c r="AA37" s="2547"/>
      <c r="AB37" s="2547"/>
      <c r="AC37" s="2547"/>
      <c r="AD37" s="2547"/>
      <c r="AE37" s="2547"/>
    </row>
    <row customHeight="1" ht="11.25">
      <c r="D38" s="2553"/>
    </row>
    <row customHeight="1" ht="26.25">
      <c r="D39" s="2553"/>
      <c r="E39" s="2167" t="s">
        <v>710</v>
      </c>
      <c r="F39" s="3109" t="s">
        <v>711</v>
      </c>
      <c r="G39" s="3109"/>
      <c r="H39" s="3109"/>
      <c r="I39" s="3109"/>
      <c r="J39" s="3109"/>
    </row>
    <row s="40252" customFormat="1" customHeight="1" ht="37.5">
      <c r="A40" s="1900"/>
      <c r="B40" s="2551"/>
      <c r="C40" s="2551"/>
      <c r="D40" s="1263"/>
      <c r="F40" s="3109" t="s">
        <v>712</v>
      </c>
      <c r="G40" s="3109"/>
      <c r="H40" s="3109"/>
      <c r="I40" s="3109"/>
      <c r="J40" s="3109"/>
      <c r="K40" s="2074"/>
      <c r="L40" s="2551"/>
      <c r="M40" s="2551"/>
      <c r="N40" s="2074"/>
      <c r="O40" s="2074"/>
      <c r="P40" s="2074"/>
      <c r="Q40" s="2074"/>
      <c r="R40" s="2551"/>
      <c r="S40" s="2074"/>
      <c r="T40" s="2074"/>
      <c r="U40" s="1456"/>
      <c r="V40" s="2074"/>
      <c r="W40" s="2074"/>
      <c r="X40" s="2074"/>
      <c r="Y40" s="2074"/>
      <c r="Z40" s="2074"/>
      <c r="AA40" s="2547"/>
      <c r="AB40" s="1478"/>
      <c r="AC40" s="1478"/>
      <c r="AD40" s="1478"/>
      <c r="AE40" s="1478"/>
    </row>
    <row s="40252" customFormat="1" customHeight="1" ht="11.25">
      <c r="A41" s="1900"/>
      <c r="B41" s="2551"/>
      <c r="C41" s="2551"/>
      <c r="D41" s="1263"/>
      <c r="K41" s="2074"/>
      <c r="L41" s="2551"/>
      <c r="M41" s="2551"/>
      <c r="N41" s="2074"/>
      <c r="O41" s="2074"/>
      <c r="P41" s="2074"/>
      <c r="Q41" s="2074"/>
      <c r="R41" s="2551"/>
      <c r="S41" s="2074"/>
      <c r="T41" s="2074"/>
      <c r="U41" s="1456"/>
      <c r="V41" s="2074"/>
      <c r="W41" s="2074"/>
      <c r="X41" s="2074"/>
      <c r="Y41" s="2074"/>
      <c r="Z41" s="2074"/>
      <c r="AA41" s="2547"/>
      <c r="AB41" s="1478"/>
      <c r="AC41" s="1478"/>
      <c r="AD41" s="1478"/>
      <c r="AE41" s="1478"/>
    </row>
    <row s="40252" customFormat="1" customHeight="1" ht="11.25">
      <c r="A42" s="1900"/>
      <c r="B42" s="2551"/>
      <c r="C42" s="2551"/>
      <c r="D42" s="1263"/>
      <c r="K42" s="2074"/>
      <c r="L42" s="2551"/>
      <c r="M42" s="2551"/>
      <c r="N42" s="2074"/>
      <c r="O42" s="2074"/>
      <c r="P42" s="2074"/>
      <c r="Q42" s="2074"/>
      <c r="R42" s="2551"/>
      <c r="S42" s="2074"/>
      <c r="T42" s="2074"/>
      <c r="U42" s="1456"/>
      <c r="V42" s="2074"/>
      <c r="W42" s="2074"/>
      <c r="X42" s="2074"/>
      <c r="Y42" s="2074"/>
      <c r="Z42" s="2074"/>
      <c r="AA42" s="2547"/>
      <c r="AB42" s="1478"/>
      <c r="AC42" s="1478"/>
      <c r="AD42" s="1478"/>
      <c r="AE42" s="1478"/>
    </row>
    <row s="40252" customFormat="1" customHeight="1" ht="11.25">
      <c r="A43" s="1900"/>
      <c r="B43" s="2551"/>
      <c r="C43" s="2551"/>
      <c r="D43" s="1263"/>
      <c r="H43" s="1478"/>
      <c r="I43" s="1478"/>
      <c r="K43" s="2074"/>
      <c r="L43" s="2551"/>
      <c r="M43" s="2551"/>
      <c r="N43" s="2074"/>
      <c r="O43" s="2074"/>
      <c r="P43" s="2074"/>
      <c r="Q43" s="2074"/>
      <c r="R43" s="2551"/>
      <c r="S43" s="2074"/>
      <c r="T43" s="2074"/>
      <c r="U43" s="1456"/>
      <c r="V43" s="2074"/>
      <c r="W43" s="2074"/>
      <c r="X43" s="2074"/>
      <c r="Y43" s="2074"/>
      <c r="Z43" s="2074"/>
      <c r="AA43" s="2547"/>
      <c r="AB43" s="1478"/>
      <c r="AC43" s="1478"/>
      <c r="AD43" s="1478"/>
      <c r="AE43" s="1478"/>
    </row>
    <row s="40252" customFormat="1" customHeight="1" ht="11.25">
      <c r="A44" s="1900"/>
      <c r="B44" s="2551"/>
      <c r="C44" s="2551"/>
      <c r="D44" s="1263"/>
      <c r="K44" s="2074"/>
      <c r="L44" s="2551"/>
      <c r="M44" s="2551"/>
      <c r="N44" s="2074"/>
      <c r="O44" s="2074"/>
      <c r="P44" s="2074"/>
      <c r="Q44" s="2074"/>
      <c r="R44" s="2551"/>
      <c r="S44" s="2074"/>
      <c r="T44" s="2074"/>
      <c r="U44" s="1456"/>
      <c r="V44" s="2074"/>
      <c r="W44" s="2074"/>
      <c r="X44" s="2074"/>
      <c r="Y44" s="2074"/>
      <c r="Z44" s="2074"/>
      <c r="AA44" s="2547"/>
      <c r="AB44" s="1478"/>
      <c r="AC44" s="1478"/>
      <c r="AD44" s="1478"/>
      <c r="AE44" s="1478"/>
    </row>
    <row s="40252" customFormat="1" customHeight="1" ht="11.25">
      <c r="A45" s="1900"/>
      <c r="B45" s="2551"/>
      <c r="C45" s="2551"/>
      <c r="D45" s="1263"/>
      <c r="K45" s="2074"/>
      <c r="L45" s="2551"/>
      <c r="M45" s="2551"/>
      <c r="N45" s="2074"/>
      <c r="O45" s="2074"/>
      <c r="P45" s="2074"/>
      <c r="Q45" s="2074"/>
      <c r="R45" s="2551"/>
      <c r="S45" s="2074"/>
      <c r="T45" s="2074"/>
      <c r="U45" s="1456"/>
      <c r="V45" s="2074"/>
      <c r="W45" s="2074"/>
      <c r="X45" s="2074"/>
      <c r="Y45" s="2074"/>
      <c r="Z45" s="2074"/>
      <c r="AA45" s="2547"/>
      <c r="AB45" s="1478"/>
      <c r="AC45" s="1478"/>
      <c r="AD45" s="1478"/>
      <c r="AE45" s="1478"/>
    </row>
    <row s="40252" customFormat="1" customHeight="1" ht="11.25">
      <c r="A46" s="1900"/>
      <c r="B46" s="2551"/>
      <c r="C46" s="2551"/>
      <c r="D46" s="1263"/>
      <c r="K46" s="2074"/>
      <c r="L46" s="2551"/>
      <c r="M46" s="2551"/>
      <c r="N46" s="2074"/>
      <c r="O46" s="2074"/>
      <c r="P46" s="2074"/>
      <c r="Q46" s="2074"/>
      <c r="R46" s="2551"/>
      <c r="S46" s="2074"/>
      <c r="T46" s="2074"/>
      <c r="U46" s="1456"/>
      <c r="V46" s="2074"/>
      <c r="W46" s="2074"/>
      <c r="X46" s="2074"/>
      <c r="Y46" s="2074"/>
      <c r="Z46" s="2074"/>
      <c r="AA46" s="2547"/>
      <c r="AB46" s="1478"/>
      <c r="AC46" s="1478"/>
      <c r="AD46" s="1478"/>
      <c r="AE46" s="1478"/>
    </row>
    <row s="40252" customFormat="1" customHeight="1" ht="11.25">
      <c r="A47" s="1900"/>
      <c r="B47" s="2551"/>
      <c r="C47" s="2551"/>
      <c r="D47" s="1263"/>
      <c r="K47" s="2074"/>
      <c r="L47" s="2551"/>
      <c r="M47" s="2551"/>
      <c r="N47" s="2074"/>
      <c r="O47" s="2074"/>
      <c r="P47" s="2074"/>
      <c r="Q47" s="2074"/>
      <c r="R47" s="2551"/>
      <c r="S47" s="2074"/>
      <c r="T47" s="2074"/>
      <c r="U47" s="1456"/>
      <c r="V47" s="2074"/>
      <c r="W47" s="2074"/>
      <c r="X47" s="2074"/>
      <c r="Y47" s="2074"/>
      <c r="Z47" s="2074"/>
      <c r="AA47" s="2547"/>
      <c r="AB47" s="1478"/>
      <c r="AC47" s="1478"/>
      <c r="AD47" s="1478"/>
      <c r="AE47" s="1478"/>
    </row>
    <row s="40252" customFormat="1" customHeight="1" ht="11.25">
      <c r="A48" s="1900"/>
      <c r="B48" s="2551"/>
      <c r="C48" s="2551"/>
      <c r="D48" s="1263"/>
      <c r="K48" s="2074"/>
      <c r="L48" s="2551"/>
      <c r="M48" s="2551"/>
      <c r="N48" s="2074"/>
      <c r="O48" s="2074"/>
      <c r="P48" s="2074"/>
      <c r="Q48" s="2074"/>
      <c r="R48" s="2551"/>
      <c r="S48" s="2074"/>
      <c r="T48" s="2074"/>
      <c r="U48" s="1456"/>
      <c r="V48" s="2074"/>
      <c r="W48" s="2074"/>
      <c r="X48" s="2074"/>
      <c r="Y48" s="2074"/>
      <c r="Z48" s="2074"/>
      <c r="AA48" s="2547"/>
      <c r="AB48" s="1478"/>
      <c r="AC48" s="1478"/>
      <c r="AD48" s="1478"/>
      <c r="AE48" s="1478"/>
    </row>
    <row s="40252" customFormat="1" customHeight="1" ht="11.25">
      <c r="A49" s="1900"/>
      <c r="B49" s="2551"/>
      <c r="C49" s="2551"/>
      <c r="D49" s="1263"/>
      <c r="K49" s="2074"/>
      <c r="L49" s="2551"/>
      <c r="M49" s="2551"/>
      <c r="N49" s="2074"/>
      <c r="O49" s="2074"/>
      <c r="P49" s="2074"/>
      <c r="Q49" s="2074"/>
      <c r="R49" s="2551"/>
      <c r="S49" s="2074"/>
      <c r="T49" s="2074"/>
      <c r="U49" s="1456"/>
      <c r="V49" s="2074"/>
      <c r="W49" s="2074"/>
      <c r="X49" s="2074"/>
      <c r="Y49" s="2074"/>
      <c r="Z49" s="2074"/>
      <c r="AA49" s="2547"/>
      <c r="AB49" s="1478"/>
      <c r="AC49" s="1478"/>
      <c r="AD49" s="1478"/>
      <c r="AE49" s="1478"/>
    </row>
    <row s="40252" customFormat="1" customHeight="1" ht="11.25">
      <c r="A50" s="1900"/>
      <c r="B50" s="2551"/>
      <c r="C50" s="2551"/>
      <c r="D50" s="1263"/>
      <c r="K50" s="2074"/>
      <c r="L50" s="2551"/>
      <c r="M50" s="2551"/>
      <c r="N50" s="2074"/>
      <c r="O50" s="2074"/>
      <c r="P50" s="2074"/>
      <c r="Q50" s="2074"/>
      <c r="R50" s="2551"/>
      <c r="S50" s="2074"/>
      <c r="T50" s="2074"/>
      <c r="U50" s="1456"/>
      <c r="V50" s="2074"/>
      <c r="W50" s="2074"/>
      <c r="X50" s="2074"/>
      <c r="Y50" s="2074"/>
      <c r="Z50" s="2074"/>
      <c r="AA50" s="2547"/>
      <c r="AB50" s="1478"/>
      <c r="AC50" s="1478"/>
      <c r="AD50" s="1478"/>
      <c r="AE50" s="1478"/>
    </row>
    <row s="40252" customFormat="1" customHeight="1" ht="11.25">
      <c r="A51" s="1900"/>
      <c r="B51" s="2551"/>
      <c r="C51" s="2551"/>
      <c r="D51" s="1263"/>
      <c r="K51" s="2074"/>
      <c r="L51" s="2551"/>
      <c r="M51" s="2551"/>
      <c r="N51" s="2074"/>
      <c r="O51" s="2074"/>
      <c r="P51" s="2074"/>
      <c r="Q51" s="2074"/>
      <c r="R51" s="2551"/>
      <c r="S51" s="2074"/>
      <c r="T51" s="2074"/>
      <c r="U51" s="1456"/>
      <c r="V51" s="2074"/>
      <c r="W51" s="2074"/>
      <c r="X51" s="2074"/>
      <c r="Y51" s="2074"/>
      <c r="Z51" s="2074"/>
      <c r="AA51" s="2547"/>
      <c r="AB51" s="1478"/>
      <c r="AC51" s="1478"/>
      <c r="AD51" s="1478"/>
      <c r="AE51" s="1478"/>
    </row>
    <row s="40252" customFormat="1" customHeight="1" ht="11.25">
      <c r="A52" s="1900"/>
      <c r="B52" s="2551"/>
      <c r="C52" s="2551"/>
      <c r="D52" s="1263"/>
      <c r="K52" s="2074"/>
      <c r="L52" s="2551"/>
      <c r="M52" s="2551"/>
      <c r="N52" s="2074"/>
      <c r="O52" s="2074"/>
      <c r="P52" s="2074"/>
      <c r="Q52" s="2074"/>
      <c r="R52" s="2551"/>
      <c r="S52" s="2074"/>
      <c r="T52" s="2074"/>
      <c r="U52" s="1456"/>
      <c r="V52" s="2074"/>
      <c r="W52" s="2074"/>
      <c r="X52" s="2074"/>
      <c r="Y52" s="2074"/>
      <c r="Z52" s="2074"/>
      <c r="AA52" s="2547"/>
      <c r="AB52" s="1478"/>
      <c r="AC52" s="1478"/>
      <c r="AD52" s="1478"/>
      <c r="AE52" s="1478"/>
    </row>
    <row s="40252" customFormat="1" customHeight="1" ht="11.25">
      <c r="A53" s="1900"/>
      <c r="B53" s="2551"/>
      <c r="C53" s="2551"/>
      <c r="D53" s="1263"/>
      <c r="K53" s="2074"/>
      <c r="L53" s="2551"/>
      <c r="M53" s="2551"/>
      <c r="N53" s="2074"/>
      <c r="O53" s="2074"/>
      <c r="P53" s="2074"/>
      <c r="Q53" s="2074"/>
      <c r="R53" s="2551"/>
      <c r="S53" s="2074"/>
      <c r="T53" s="2074"/>
      <c r="U53" s="1456"/>
      <c r="V53" s="2074"/>
      <c r="W53" s="2074"/>
      <c r="X53" s="2074"/>
      <c r="Y53" s="2074"/>
      <c r="Z53" s="2074"/>
      <c r="AA53" s="2547"/>
      <c r="AB53" s="1478"/>
      <c r="AC53" s="1478"/>
      <c r="AD53" s="1478"/>
      <c r="AE53" s="1478"/>
    </row>
    <row s="40252" customFormat="1" customHeight="1" ht="11.25">
      <c r="A54" s="1900"/>
      <c r="B54" s="2551"/>
      <c r="C54" s="2551"/>
      <c r="D54" s="1263"/>
      <c r="K54" s="2074"/>
      <c r="L54" s="2551"/>
      <c r="M54" s="2551"/>
      <c r="N54" s="2074"/>
      <c r="O54" s="2074"/>
      <c r="P54" s="2074"/>
      <c r="Q54" s="2074"/>
      <c r="R54" s="2551"/>
      <c r="S54" s="2074"/>
      <c r="T54" s="2074"/>
      <c r="U54" s="1456"/>
      <c r="V54" s="2074"/>
      <c r="W54" s="2074"/>
      <c r="X54" s="2074"/>
      <c r="Y54" s="2074"/>
      <c r="Z54" s="2074"/>
      <c r="AA54" s="2547"/>
      <c r="AB54" s="1478"/>
      <c r="AC54" s="1478"/>
      <c r="AD54" s="1478"/>
      <c r="AE54" s="1478"/>
    </row>
    <row s="40252" customFormat="1" customHeight="1" ht="11.25">
      <c r="A55" s="1900"/>
      <c r="B55" s="2551"/>
      <c r="C55" s="2551"/>
      <c r="D55" s="1263"/>
      <c r="K55" s="2074"/>
      <c r="L55" s="2551"/>
      <c r="M55" s="2551"/>
      <c r="N55" s="2074"/>
      <c r="O55" s="2074"/>
      <c r="P55" s="2074"/>
      <c r="Q55" s="2074"/>
      <c r="R55" s="2551"/>
      <c r="S55" s="2074"/>
      <c r="T55" s="2074"/>
      <c r="U55" s="1456"/>
      <c r="V55" s="2074"/>
      <c r="W55" s="2074"/>
      <c r="X55" s="2074"/>
      <c r="Y55" s="2074"/>
      <c r="Z55" s="2074"/>
      <c r="AA55" s="2547"/>
      <c r="AB55" s="1478"/>
      <c r="AC55" s="1478"/>
      <c r="AD55" s="1478"/>
      <c r="AE55" s="1478"/>
    </row>
    <row s="40252" customFormat="1" customHeight="1" ht="11.25">
      <c r="A56" s="1900"/>
      <c r="B56" s="2551"/>
      <c r="C56" s="2551"/>
      <c r="D56" s="1263"/>
      <c r="K56" s="2074"/>
      <c r="L56" s="2551"/>
      <c r="M56" s="2551"/>
      <c r="N56" s="2074"/>
      <c r="O56" s="2074"/>
      <c r="P56" s="2074"/>
      <c r="Q56" s="2074"/>
      <c r="R56" s="2551"/>
      <c r="S56" s="2074"/>
      <c r="T56" s="2074"/>
      <c r="U56" s="1456"/>
      <c r="V56" s="2074"/>
      <c r="W56" s="2074"/>
      <c r="X56" s="2074"/>
      <c r="Y56" s="2074"/>
      <c r="Z56" s="2074"/>
      <c r="AA56" s="2547"/>
      <c r="AB56" s="1478"/>
      <c r="AC56" s="1478"/>
      <c r="AD56" s="1478"/>
      <c r="AE56" s="1478"/>
    </row>
    <row s="40252" customFormat="1" customHeight="1" ht="11.25">
      <c r="A57" s="1900"/>
      <c r="B57" s="2551"/>
      <c r="C57" s="2551"/>
      <c r="D57" s="1263"/>
      <c r="K57" s="2074"/>
      <c r="L57" s="2551"/>
      <c r="M57" s="2551"/>
      <c r="N57" s="2074"/>
      <c r="O57" s="2074"/>
      <c r="P57" s="2074"/>
      <c r="Q57" s="2074"/>
      <c r="R57" s="2551"/>
      <c r="S57" s="2074"/>
      <c r="T57" s="2074"/>
      <c r="U57" s="1456"/>
      <c r="V57" s="2074"/>
      <c r="W57" s="2074"/>
      <c r="X57" s="2074"/>
      <c r="Y57" s="2074"/>
      <c r="Z57" s="2074"/>
      <c r="AA57" s="2547"/>
      <c r="AB57" s="1478"/>
      <c r="AC57" s="1478"/>
      <c r="AD57" s="1478"/>
      <c r="AE57" s="1478"/>
    </row>
    <row s="40252" customFormat="1" customHeight="1" ht="11.25">
      <c r="A58" s="1900"/>
      <c r="B58" s="2551"/>
      <c r="C58" s="2551"/>
      <c r="D58" s="1263"/>
      <c r="K58" s="2074"/>
      <c r="L58" s="2551"/>
      <c r="M58" s="2551"/>
      <c r="N58" s="2074"/>
      <c r="O58" s="2074"/>
      <c r="P58" s="2074"/>
      <c r="Q58" s="2074"/>
      <c r="R58" s="2551"/>
      <c r="S58" s="2074"/>
      <c r="T58" s="2074"/>
      <c r="U58" s="1456"/>
      <c r="V58" s="2074"/>
      <c r="W58" s="2074"/>
      <c r="X58" s="2074"/>
      <c r="Y58" s="2074"/>
      <c r="Z58" s="2074"/>
      <c r="AA58" s="2547"/>
      <c r="AB58" s="1478"/>
      <c r="AC58" s="1478"/>
      <c r="AD58" s="1478"/>
      <c r="AE58" s="1478"/>
    </row>
    <row s="40252" customFormat="1" customHeight="1" ht="11.25">
      <c r="A59" s="1900"/>
      <c r="B59" s="2551"/>
      <c r="C59" s="2551"/>
      <c r="D59" s="1263"/>
      <c r="K59" s="2074"/>
      <c r="L59" s="2551"/>
      <c r="M59" s="2551"/>
      <c r="N59" s="2074"/>
      <c r="O59" s="2074"/>
      <c r="P59" s="2074"/>
      <c r="Q59" s="2074"/>
      <c r="R59" s="2551"/>
      <c r="S59" s="2074"/>
      <c r="T59" s="2074"/>
      <c r="U59" s="1456"/>
      <c r="V59" s="2074"/>
      <c r="W59" s="2074"/>
      <c r="X59" s="2074"/>
      <c r="Y59" s="2074"/>
      <c r="Z59" s="2074"/>
      <c r="AA59" s="2547"/>
      <c r="AB59" s="1478"/>
      <c r="AC59" s="1478"/>
      <c r="AD59" s="1478"/>
      <c r="AE59" s="1478"/>
    </row>
    <row s="40252" customFormat="1" customHeight="1" ht="11.25">
      <c r="A60" s="1900"/>
      <c r="B60" s="2551"/>
      <c r="C60" s="2551"/>
      <c r="D60" s="1263"/>
      <c r="K60" s="2074"/>
      <c r="L60" s="2551"/>
      <c r="M60" s="2551"/>
      <c r="N60" s="2074"/>
      <c r="O60" s="2074"/>
      <c r="P60" s="2074"/>
      <c r="Q60" s="2074"/>
      <c r="R60" s="2551"/>
      <c r="S60" s="2074"/>
      <c r="T60" s="2074"/>
      <c r="U60" s="1456"/>
      <c r="V60" s="2074"/>
      <c r="W60" s="2074"/>
      <c r="X60" s="2074"/>
      <c r="Y60" s="2074"/>
      <c r="Z60" s="2074"/>
      <c r="AA60" s="2547"/>
      <c r="AB60" s="1478"/>
      <c r="AC60" s="1478"/>
      <c r="AD60" s="1478"/>
      <c r="AE60" s="1478"/>
    </row>
    <row s="40252" customFormat="1" customHeight="1" ht="11.25">
      <c r="A61" s="1900"/>
      <c r="B61" s="2551"/>
      <c r="C61" s="2551"/>
      <c r="D61" s="1263"/>
      <c r="K61" s="2074"/>
      <c r="L61" s="2551"/>
      <c r="M61" s="2551"/>
      <c r="N61" s="2074"/>
      <c r="O61" s="2074"/>
      <c r="P61" s="2074"/>
      <c r="Q61" s="2074"/>
      <c r="R61" s="2551"/>
      <c r="S61" s="2074"/>
      <c r="T61" s="2074"/>
      <c r="U61" s="1456"/>
      <c r="V61" s="2074"/>
      <c r="W61" s="2074"/>
      <c r="X61" s="2074"/>
      <c r="Y61" s="2074"/>
      <c r="Z61" s="2074"/>
      <c r="AA61" s="2547"/>
      <c r="AB61" s="1478"/>
      <c r="AC61" s="1478"/>
      <c r="AD61" s="1478"/>
      <c r="AE61" s="1478"/>
    </row>
    <row s="40252" customFormat="1" customHeight="1" ht="11.25">
      <c r="A62" s="1900"/>
      <c r="B62" s="2551"/>
      <c r="C62" s="2551"/>
      <c r="D62" s="1263"/>
      <c r="K62" s="2074"/>
      <c r="L62" s="2551"/>
      <c r="M62" s="2551"/>
      <c r="N62" s="2074"/>
      <c r="O62" s="2074"/>
      <c r="P62" s="2074"/>
      <c r="Q62" s="2074"/>
      <c r="R62" s="2551"/>
      <c r="S62" s="2074"/>
      <c r="T62" s="2074"/>
      <c r="U62" s="1456"/>
      <c r="V62" s="2074"/>
      <c r="W62" s="2074"/>
      <c r="X62" s="2074"/>
      <c r="Y62" s="2074"/>
      <c r="Z62" s="2074"/>
      <c r="AA62" s="2547"/>
      <c r="AB62" s="1478"/>
      <c r="AC62" s="1478"/>
      <c r="AD62" s="1478"/>
      <c r="AE62" s="1478"/>
    </row>
    <row s="40252" customFormat="1" customHeight="1" ht="11.25">
      <c r="A63" s="1900"/>
      <c r="B63" s="2551"/>
      <c r="C63" s="2551"/>
      <c r="D63" s="1263"/>
      <c r="K63" s="2074"/>
      <c r="L63" s="2551"/>
      <c r="M63" s="2551"/>
      <c r="N63" s="2074"/>
      <c r="O63" s="2074"/>
      <c r="P63" s="2074"/>
      <c r="Q63" s="2074"/>
      <c r="R63" s="2551"/>
      <c r="S63" s="2074"/>
      <c r="T63" s="2074"/>
      <c r="U63" s="1456"/>
      <c r="V63" s="2074"/>
      <c r="W63" s="2074"/>
      <c r="X63" s="2074"/>
      <c r="Y63" s="2074"/>
      <c r="Z63" s="2074"/>
      <c r="AA63" s="2547"/>
      <c r="AB63" s="1478"/>
      <c r="AC63" s="1478"/>
      <c r="AD63" s="1478"/>
      <c r="AE63" s="1478"/>
    </row>
    <row s="40252" customFormat="1" customHeight="1" ht="11.25">
      <c r="A64" s="1900"/>
      <c r="B64" s="2551"/>
      <c r="C64" s="2551"/>
      <c r="D64" s="1263"/>
      <c r="K64" s="2074"/>
      <c r="L64" s="2551"/>
      <c r="M64" s="2551"/>
      <c r="N64" s="2074"/>
      <c r="O64" s="2074"/>
      <c r="P64" s="2074"/>
      <c r="Q64" s="2074"/>
      <c r="R64" s="2551"/>
      <c r="S64" s="2074"/>
      <c r="T64" s="2074"/>
      <c r="U64" s="1456"/>
      <c r="V64" s="2074"/>
      <c r="W64" s="2074"/>
      <c r="X64" s="2074"/>
      <c r="Y64" s="2074"/>
      <c r="Z64" s="2074"/>
      <c r="AA64" s="2547"/>
      <c r="AB64" s="1478"/>
      <c r="AC64" s="1478"/>
      <c r="AD64" s="1478"/>
      <c r="AE64" s="1478"/>
    </row>
    <row s="40252" customFormat="1" customHeight="1" ht="11.25">
      <c r="A65" s="1900"/>
      <c r="B65" s="2551"/>
      <c r="C65" s="2551"/>
      <c r="D65" s="1263"/>
      <c r="K65" s="2074"/>
      <c r="L65" s="2551"/>
      <c r="M65" s="2551"/>
      <c r="N65" s="2074"/>
      <c r="O65" s="2074"/>
      <c r="P65" s="2074"/>
      <c r="Q65" s="2074"/>
      <c r="R65" s="2551"/>
      <c r="S65" s="2074"/>
      <c r="T65" s="2074"/>
      <c r="U65" s="1456"/>
      <c r="V65" s="2074"/>
      <c r="W65" s="2074"/>
      <c r="X65" s="2074"/>
      <c r="Y65" s="2074"/>
      <c r="Z65" s="2074"/>
      <c r="AA65" s="2547"/>
      <c r="AB65" s="1478"/>
      <c r="AC65" s="1478"/>
      <c r="AD65" s="1478"/>
      <c r="AE65" s="1478"/>
    </row>
    <row s="40252" customFormat="1" customHeight="1" ht="11.25">
      <c r="A66" s="1900"/>
      <c r="B66" s="2551"/>
      <c r="C66" s="2551"/>
      <c r="D66" s="1263"/>
      <c r="K66" s="2074"/>
      <c r="L66" s="2551"/>
      <c r="M66" s="2551"/>
      <c r="N66" s="2074"/>
      <c r="O66" s="2074"/>
      <c r="P66" s="2074"/>
      <c r="Q66" s="2074"/>
      <c r="R66" s="2551"/>
      <c r="S66" s="2074"/>
      <c r="T66" s="2074"/>
      <c r="U66" s="1456"/>
      <c r="V66" s="2074"/>
      <c r="W66" s="2074"/>
      <c r="X66" s="2074"/>
      <c r="Y66" s="2074"/>
      <c r="Z66" s="2074"/>
      <c r="AA66" s="2547"/>
      <c r="AB66" s="1478"/>
      <c r="AC66" s="1478"/>
      <c r="AD66" s="1478"/>
      <c r="AE66" s="1478"/>
    </row>
    <row s="40252" customFormat="1" customHeight="1" ht="11.25">
      <c r="A67" s="1900"/>
      <c r="B67" s="2551"/>
      <c r="C67" s="2551"/>
      <c r="D67" s="1263"/>
      <c r="K67" s="2074"/>
      <c r="L67" s="2551"/>
      <c r="M67" s="2551"/>
      <c r="N67" s="2074"/>
      <c r="O67" s="2074"/>
      <c r="P67" s="2074"/>
      <c r="Q67" s="2074"/>
      <c r="R67" s="2551"/>
      <c r="S67" s="2074"/>
      <c r="T67" s="2074"/>
      <c r="U67" s="1456"/>
      <c r="V67" s="2074"/>
      <c r="W67" s="2074"/>
      <c r="X67" s="2074"/>
      <c r="Y67" s="2074"/>
      <c r="Z67" s="2074"/>
      <c r="AA67" s="2547"/>
      <c r="AB67" s="1478"/>
      <c r="AC67" s="1478"/>
      <c r="AD67" s="1478"/>
      <c r="AE67" s="1478"/>
    </row>
    <row s="40252" customFormat="1" customHeight="1" ht="11.25">
      <c r="A68" s="1900"/>
      <c r="B68" s="2551"/>
      <c r="C68" s="2551"/>
      <c r="D68" s="1263"/>
      <c r="K68" s="2074"/>
      <c r="L68" s="2551"/>
      <c r="M68" s="2551"/>
      <c r="N68" s="2074"/>
      <c r="O68" s="2074"/>
      <c r="P68" s="2074"/>
      <c r="Q68" s="2074"/>
      <c r="R68" s="2551"/>
      <c r="S68" s="2074"/>
      <c r="T68" s="2074"/>
      <c r="U68" s="1456"/>
      <c r="V68" s="2074"/>
      <c r="W68" s="2074"/>
      <c r="X68" s="2074"/>
      <c r="Y68" s="2074"/>
      <c r="Z68" s="2074"/>
      <c r="AA68" s="2547"/>
      <c r="AB68" s="1478"/>
      <c r="AC68" s="1478"/>
      <c r="AD68" s="1478"/>
      <c r="AE68" s="1478"/>
    </row>
    <row s="40252" customFormat="1" customHeight="1" ht="11.25">
      <c r="A69" s="1900"/>
      <c r="B69" s="2551"/>
      <c r="C69" s="2551"/>
      <c r="D69" s="1263"/>
      <c r="K69" s="2074"/>
      <c r="L69" s="2551"/>
      <c r="M69" s="2551"/>
      <c r="N69" s="2074"/>
      <c r="O69" s="2074"/>
      <c r="P69" s="2074"/>
      <c r="Q69" s="2074"/>
      <c r="R69" s="2551"/>
      <c r="S69" s="2074"/>
      <c r="T69" s="2074"/>
      <c r="U69" s="1456"/>
      <c r="V69" s="2074"/>
      <c r="W69" s="2074"/>
      <c r="X69" s="2074"/>
      <c r="Y69" s="2074"/>
      <c r="Z69" s="2074"/>
      <c r="AA69" s="2547"/>
      <c r="AB69" s="1478"/>
      <c r="AC69" s="1478"/>
      <c r="AD69" s="1478"/>
      <c r="AE69" s="1478"/>
    </row>
    <row s="40252" customFormat="1" customHeight="1" ht="11.25">
      <c r="A70" s="1900"/>
      <c r="B70" s="2551"/>
      <c r="C70" s="2551"/>
      <c r="D70" s="1263"/>
      <c r="K70" s="2074"/>
      <c r="L70" s="2551"/>
      <c r="M70" s="2551"/>
      <c r="N70" s="2074"/>
      <c r="O70" s="2074"/>
      <c r="P70" s="2074"/>
      <c r="Q70" s="2074"/>
      <c r="R70" s="2551"/>
      <c r="S70" s="2074"/>
      <c r="T70" s="2074"/>
      <c r="U70" s="1456"/>
      <c r="V70" s="2074"/>
      <c r="W70" s="2074"/>
      <c r="X70" s="2074"/>
      <c r="Y70" s="2074"/>
      <c r="Z70" s="2074"/>
      <c r="AA70" s="2547"/>
      <c r="AB70" s="1478"/>
      <c r="AC70" s="1478"/>
      <c r="AD70" s="1478"/>
      <c r="AE70" s="1478"/>
    </row>
    <row s="40252" customFormat="1" customHeight="1" ht="11.25">
      <c r="A71" s="1900"/>
      <c r="B71" s="2551"/>
      <c r="C71" s="2551"/>
      <c r="D71" s="1263"/>
      <c r="K71" s="2074"/>
      <c r="L71" s="2551"/>
      <c r="M71" s="2551"/>
      <c r="N71" s="2074"/>
      <c r="O71" s="2074"/>
      <c r="P71" s="2074"/>
      <c r="Q71" s="2074"/>
      <c r="R71" s="2551"/>
      <c r="S71" s="2074"/>
      <c r="T71" s="2074"/>
      <c r="U71" s="1456"/>
      <c r="V71" s="2074"/>
      <c r="W71" s="2074"/>
      <c r="X71" s="2074"/>
      <c r="Y71" s="2074"/>
      <c r="Z71" s="2074"/>
      <c r="AA71" s="2547"/>
      <c r="AB71" s="1478"/>
      <c r="AC71" s="1478"/>
      <c r="AD71" s="1478"/>
      <c r="AE71" s="1478"/>
    </row>
    <row s="40252" customFormat="1" customHeight="1" ht="11.25">
      <c r="A72" s="1900"/>
      <c r="B72" s="2551"/>
      <c r="C72" s="2551"/>
      <c r="D72" s="1263"/>
      <c r="K72" s="2074"/>
      <c r="L72" s="2551"/>
      <c r="M72" s="2551"/>
      <c r="N72" s="2074"/>
      <c r="O72" s="2074"/>
      <c r="P72" s="2074"/>
      <c r="Q72" s="2074"/>
      <c r="R72" s="2551"/>
      <c r="S72" s="2074"/>
      <c r="T72" s="2074"/>
      <c r="U72" s="1456"/>
      <c r="V72" s="2074"/>
      <c r="W72" s="2074"/>
      <c r="X72" s="2074"/>
      <c r="Y72" s="2074"/>
      <c r="Z72" s="2074"/>
      <c r="AA72" s="2547"/>
      <c r="AB72" s="1478"/>
      <c r="AC72" s="1478"/>
      <c r="AD72" s="1478"/>
      <c r="AE72" s="1478"/>
    </row>
    <row s="40252" customFormat="1" customHeight="1" ht="11.25">
      <c r="A73" s="1900"/>
      <c r="B73" s="2551"/>
      <c r="C73" s="2551"/>
      <c r="D73" s="1263"/>
      <c r="K73" s="2074"/>
      <c r="L73" s="2551"/>
      <c r="M73" s="2551"/>
      <c r="N73" s="2074"/>
      <c r="O73" s="2074"/>
      <c r="P73" s="2074"/>
      <c r="Q73" s="2074"/>
      <c r="R73" s="2551"/>
      <c r="S73" s="2074"/>
      <c r="T73" s="2074"/>
      <c r="U73" s="1456"/>
      <c r="V73" s="2074"/>
      <c r="W73" s="2074"/>
      <c r="X73" s="2074"/>
      <c r="Y73" s="2074"/>
      <c r="Z73" s="2074"/>
      <c r="AA73" s="2547"/>
      <c r="AB73" s="1478"/>
      <c r="AC73" s="1478"/>
      <c r="AD73" s="1478"/>
      <c r="AE73" s="1478"/>
    </row>
    <row s="40252" customFormat="1" customHeight="1" ht="11.25">
      <c r="A74" s="1900"/>
      <c r="B74" s="2551"/>
      <c r="C74" s="2551"/>
      <c r="D74" s="1263"/>
      <c r="K74" s="2074"/>
      <c r="L74" s="2551"/>
      <c r="M74" s="2551"/>
      <c r="N74" s="2074"/>
      <c r="O74" s="2074"/>
      <c r="P74" s="2074"/>
      <c r="Q74" s="2074"/>
      <c r="R74" s="2551"/>
      <c r="S74" s="2074"/>
      <c r="T74" s="2074"/>
      <c r="U74" s="1456"/>
      <c r="V74" s="2074"/>
      <c r="W74" s="2074"/>
      <c r="X74" s="2074"/>
      <c r="Y74" s="2074"/>
      <c r="Z74" s="2074"/>
      <c r="AA74" s="2547"/>
      <c r="AB74" s="1478"/>
      <c r="AC74" s="1478"/>
      <c r="AD74" s="1478"/>
      <c r="AE74" s="1478"/>
    </row>
    <row s="40252" customFormat="1" customHeight="1" ht="11.25">
      <c r="A75" s="1900"/>
      <c r="B75" s="2551"/>
      <c r="C75" s="2551"/>
      <c r="D75" s="1263"/>
      <c r="K75" s="2074"/>
      <c r="L75" s="2551"/>
      <c r="M75" s="2551"/>
      <c r="N75" s="2074"/>
      <c r="O75" s="2074"/>
      <c r="P75" s="2074"/>
      <c r="Q75" s="2074"/>
      <c r="R75" s="2551"/>
      <c r="S75" s="2074"/>
      <c r="T75" s="2074"/>
      <c r="U75" s="1456"/>
      <c r="V75" s="2074"/>
      <c r="W75" s="2074"/>
      <c r="X75" s="2074"/>
      <c r="Y75" s="2074"/>
      <c r="Z75" s="2074"/>
      <c r="AA75" s="2547"/>
      <c r="AB75" s="1478"/>
      <c r="AC75" s="1478"/>
      <c r="AD75" s="1478"/>
      <c r="AE75" s="1478"/>
    </row>
    <row s="40252" customFormat="1" customHeight="1" ht="11.25">
      <c r="A76" s="1900"/>
      <c r="B76" s="2551"/>
      <c r="C76" s="2551"/>
      <c r="D76" s="1263"/>
      <c r="K76" s="2074"/>
      <c r="L76" s="2551"/>
      <c r="M76" s="2551"/>
      <c r="N76" s="2074"/>
      <c r="O76" s="2074"/>
      <c r="P76" s="2074"/>
      <c r="Q76" s="2074"/>
      <c r="R76" s="2551"/>
      <c r="S76" s="2074"/>
      <c r="T76" s="2074"/>
      <c r="U76" s="1456"/>
      <c r="V76" s="2074"/>
      <c r="W76" s="2074"/>
      <c r="X76" s="2074"/>
      <c r="Y76" s="2074"/>
      <c r="Z76" s="2074"/>
      <c r="AA76" s="2547"/>
      <c r="AB76" s="1478"/>
      <c r="AC76" s="1478"/>
      <c r="AD76" s="1478"/>
      <c r="AE76" s="1478"/>
    </row>
    <row s="40252" customFormat="1" customHeight="1" ht="11.25">
      <c r="A77" s="1900"/>
      <c r="B77" s="2551"/>
      <c r="C77" s="2551"/>
      <c r="D77" s="1263"/>
      <c r="K77" s="2074"/>
      <c r="L77" s="2551"/>
      <c r="M77" s="2551"/>
      <c r="N77" s="2074"/>
      <c r="O77" s="2074"/>
      <c r="P77" s="2074"/>
      <c r="Q77" s="2074"/>
      <c r="R77" s="2551"/>
      <c r="S77" s="2074"/>
      <c r="T77" s="2074"/>
      <c r="U77" s="1456"/>
      <c r="V77" s="2074"/>
      <c r="W77" s="2074"/>
      <c r="X77" s="2074"/>
      <c r="Y77" s="2074"/>
      <c r="Z77" s="2074"/>
      <c r="AA77" s="2547"/>
      <c r="AB77" s="1478"/>
      <c r="AC77" s="1478"/>
      <c r="AD77" s="1478"/>
      <c r="AE77" s="1478"/>
    </row>
    <row s="40252" customFormat="1" customHeight="1" ht="11.25">
      <c r="A78" s="1900"/>
      <c r="B78" s="2551"/>
      <c r="C78" s="2551"/>
      <c r="D78" s="1263"/>
      <c r="K78" s="2074"/>
      <c r="L78" s="2551"/>
      <c r="M78" s="2551"/>
      <c r="N78" s="2074"/>
      <c r="O78" s="2074"/>
      <c r="P78" s="2074"/>
      <c r="Q78" s="2074"/>
      <c r="R78" s="2551"/>
      <c r="S78" s="2074"/>
      <c r="T78" s="2074"/>
      <c r="U78" s="1456"/>
      <c r="V78" s="2074"/>
      <c r="W78" s="2074"/>
      <c r="X78" s="2074"/>
      <c r="Y78" s="2074"/>
      <c r="Z78" s="2074"/>
      <c r="AA78" s="2547"/>
      <c r="AB78" s="1478"/>
      <c r="AC78" s="1478"/>
      <c r="AD78" s="1478"/>
      <c r="AE78" s="1478"/>
    </row>
    <row s="40252" customFormat="1" customHeight="1" ht="11.25">
      <c r="A79" s="1900"/>
      <c r="B79" s="2551"/>
      <c r="C79" s="2551"/>
      <c r="D79" s="1263"/>
      <c r="K79" s="2074"/>
      <c r="L79" s="2551"/>
      <c r="M79" s="2551"/>
      <c r="N79" s="2074"/>
      <c r="O79" s="2074"/>
      <c r="P79" s="2074"/>
      <c r="Q79" s="2074"/>
      <c r="R79" s="2551"/>
      <c r="S79" s="2074"/>
      <c r="T79" s="2074"/>
      <c r="U79" s="1456"/>
      <c r="V79" s="2074"/>
      <c r="W79" s="2074"/>
      <c r="X79" s="2074"/>
      <c r="Y79" s="2074"/>
      <c r="Z79" s="2074"/>
      <c r="AA79" s="2547"/>
      <c r="AB79" s="1478"/>
      <c r="AC79" s="1478"/>
      <c r="AD79" s="1478"/>
      <c r="AE79" s="1478"/>
    </row>
    <row s="40252" customFormat="1" customHeight="1" ht="11.25">
      <c r="A80" s="1900"/>
      <c r="B80" s="2551"/>
      <c r="C80" s="2551"/>
      <c r="D80" s="1263"/>
      <c r="K80" s="2074"/>
      <c r="L80" s="2551"/>
      <c r="M80" s="2551"/>
      <c r="N80" s="2074"/>
      <c r="O80" s="2074"/>
      <c r="P80" s="2074"/>
      <c r="Q80" s="2074"/>
      <c r="R80" s="2551"/>
      <c r="S80" s="2074"/>
      <c r="T80" s="2074"/>
      <c r="U80" s="1456"/>
      <c r="V80" s="2074"/>
      <c r="W80" s="2074"/>
      <c r="X80" s="2074"/>
      <c r="Y80" s="2074"/>
      <c r="Z80" s="2074"/>
      <c r="AA80" s="2547"/>
      <c r="AB80" s="1478"/>
      <c r="AC80" s="1478"/>
      <c r="AD80" s="1478"/>
      <c r="AE80" s="1478"/>
    </row>
    <row s="40252" customFormat="1" customHeight="1" ht="11.25">
      <c r="A81" s="1900"/>
      <c r="B81" s="2551"/>
      <c r="C81" s="2551"/>
      <c r="D81" s="1263"/>
      <c r="K81" s="2074"/>
      <c r="L81" s="2551"/>
      <c r="M81" s="2551"/>
      <c r="N81" s="2074"/>
      <c r="O81" s="2074"/>
      <c r="P81" s="2074"/>
      <c r="Q81" s="2074"/>
      <c r="R81" s="2551"/>
      <c r="S81" s="2074"/>
      <c r="T81" s="2074"/>
      <c r="U81" s="1456"/>
      <c r="V81" s="2074"/>
      <c r="W81" s="2074"/>
      <c r="X81" s="2074"/>
      <c r="Y81" s="2074"/>
      <c r="Z81" s="2074"/>
      <c r="AA81" s="2547"/>
      <c r="AB81" s="1478"/>
      <c r="AC81" s="1478"/>
      <c r="AD81" s="1478"/>
      <c r="AE81" s="1478"/>
    </row>
    <row s="40252" customFormat="1" customHeight="1" ht="11.25">
      <c r="A82" s="1900"/>
      <c r="B82" s="2551"/>
      <c r="C82" s="2551"/>
      <c r="D82" s="1263"/>
      <c r="K82" s="2074"/>
      <c r="L82" s="2551"/>
      <c r="M82" s="2551"/>
      <c r="N82" s="2074"/>
      <c r="O82" s="2074"/>
      <c r="P82" s="2074"/>
      <c r="Q82" s="2074"/>
      <c r="R82" s="2551"/>
      <c r="S82" s="2074"/>
      <c r="T82" s="2074"/>
      <c r="U82" s="1456"/>
      <c r="V82" s="2074"/>
      <c r="W82" s="2074"/>
      <c r="X82" s="2074"/>
      <c r="Y82" s="2074"/>
      <c r="Z82" s="2074"/>
      <c r="AA82" s="2547"/>
      <c r="AB82" s="1478"/>
      <c r="AC82" s="1478"/>
      <c r="AD82" s="1478"/>
      <c r="AE82" s="1478"/>
    </row>
    <row s="40252" customFormat="1" customHeight="1" ht="11.25">
      <c r="A83" s="1900"/>
      <c r="B83" s="2551"/>
      <c r="C83" s="2551"/>
      <c r="D83" s="1263"/>
      <c r="K83" s="2074"/>
      <c r="L83" s="2551"/>
      <c r="M83" s="2551"/>
      <c r="N83" s="2074"/>
      <c r="O83" s="2074"/>
      <c r="P83" s="2074"/>
      <c r="Q83" s="2074"/>
      <c r="R83" s="2551"/>
      <c r="S83" s="2074"/>
      <c r="T83" s="2074"/>
      <c r="U83" s="1456"/>
      <c r="V83" s="2074"/>
      <c r="W83" s="2074"/>
      <c r="X83" s="2074"/>
      <c r="Y83" s="2074"/>
      <c r="Z83" s="2074"/>
      <c r="AA83" s="2547"/>
      <c r="AB83" s="1478"/>
      <c r="AC83" s="1478"/>
      <c r="AD83" s="1478"/>
      <c r="AE83" s="1478"/>
    </row>
    <row s="40252" customFormat="1" customHeight="1" ht="11.25">
      <c r="A84" s="1900"/>
      <c r="B84" s="2551"/>
      <c r="C84" s="2551"/>
      <c r="D84" s="1263"/>
      <c r="K84" s="2074"/>
      <c r="L84" s="2551"/>
      <c r="M84" s="2551"/>
      <c r="N84" s="2074"/>
      <c r="O84" s="2074"/>
      <c r="P84" s="2074"/>
      <c r="Q84" s="2074"/>
      <c r="R84" s="2551"/>
      <c r="S84" s="2074"/>
      <c r="T84" s="2074"/>
      <c r="U84" s="1456"/>
      <c r="V84" s="2074"/>
      <c r="W84" s="2074"/>
      <c r="X84" s="2074"/>
      <c r="Y84" s="2074"/>
      <c r="Z84" s="2074"/>
      <c r="AA84" s="2547"/>
      <c r="AB84" s="1478"/>
      <c r="AC84" s="1478"/>
      <c r="AD84" s="1478"/>
      <c r="AE84" s="1478"/>
    </row>
    <row s="40252" customFormat="1" customHeight="1" ht="11.25">
      <c r="A85" s="1900"/>
      <c r="B85" s="2551"/>
      <c r="C85" s="2551"/>
      <c r="D85" s="1263"/>
      <c r="K85" s="2074"/>
      <c r="L85" s="2551"/>
      <c r="M85" s="2551"/>
      <c r="N85" s="2074"/>
      <c r="O85" s="2074"/>
      <c r="P85" s="2074"/>
      <c r="Q85" s="2074"/>
      <c r="R85" s="2551"/>
      <c r="S85" s="2074"/>
      <c r="T85" s="2074"/>
      <c r="U85" s="1456"/>
      <c r="V85" s="2074"/>
      <c r="W85" s="2074"/>
      <c r="X85" s="2074"/>
      <c r="Y85" s="2074"/>
      <c r="Z85" s="2074"/>
      <c r="AA85" s="2547"/>
      <c r="AB85" s="1478"/>
      <c r="AC85" s="1478"/>
      <c r="AD85" s="1478"/>
      <c r="AE85" s="1478"/>
    </row>
    <row s="40252" customFormat="1" customHeight="1" ht="11.25">
      <c r="A86" s="1900"/>
      <c r="B86" s="2551"/>
      <c r="C86" s="2551"/>
      <c r="D86" s="1263"/>
      <c r="K86" s="2074"/>
      <c r="L86" s="2551"/>
      <c r="M86" s="2551"/>
      <c r="N86" s="2074"/>
      <c r="O86" s="2074"/>
      <c r="P86" s="2074"/>
      <c r="Q86" s="2074"/>
      <c r="R86" s="2551"/>
      <c r="S86" s="2074"/>
      <c r="T86" s="2074"/>
      <c r="U86" s="1456"/>
      <c r="V86" s="2074"/>
      <c r="W86" s="2074"/>
      <c r="X86" s="2074"/>
      <c r="Y86" s="2074"/>
      <c r="Z86" s="2074"/>
      <c r="AA86" s="2547"/>
      <c r="AB86" s="1478"/>
      <c r="AC86" s="1478"/>
      <c r="AD86" s="1478"/>
      <c r="AE86" s="1478"/>
    </row>
    <row s="40252" customFormat="1" customHeight="1" ht="11.25">
      <c r="A87" s="1900"/>
      <c r="B87" s="2551"/>
      <c r="C87" s="2551"/>
      <c r="D87" s="1263"/>
      <c r="K87" s="2074"/>
      <c r="L87" s="2551"/>
      <c r="M87" s="2551"/>
      <c r="N87" s="2074"/>
      <c r="O87" s="2074"/>
      <c r="P87" s="2074"/>
      <c r="Q87" s="2074"/>
      <c r="R87" s="2551"/>
      <c r="S87" s="2074"/>
      <c r="T87" s="2074"/>
      <c r="U87" s="1456"/>
      <c r="V87" s="2074"/>
      <c r="W87" s="2074"/>
      <c r="X87" s="2074"/>
      <c r="Y87" s="2074"/>
      <c r="Z87" s="2074"/>
      <c r="AA87" s="2547"/>
      <c r="AB87" s="1478"/>
      <c r="AC87" s="1478"/>
      <c r="AD87" s="1478"/>
      <c r="AE87" s="1478"/>
    </row>
    <row s="40252" customFormat="1" customHeight="1" ht="11.25">
      <c r="A88" s="1900"/>
      <c r="B88" s="2551"/>
      <c r="C88" s="2551"/>
      <c r="D88" s="1263"/>
      <c r="K88" s="2074"/>
      <c r="L88" s="2551"/>
      <c r="M88" s="2551"/>
      <c r="N88" s="2074"/>
      <c r="O88" s="2074"/>
      <c r="P88" s="2074"/>
      <c r="Q88" s="2074"/>
      <c r="R88" s="2551"/>
      <c r="S88" s="2074"/>
      <c r="T88" s="2074"/>
      <c r="U88" s="1456"/>
      <c r="V88" s="2074"/>
      <c r="W88" s="2074"/>
      <c r="X88" s="2074"/>
      <c r="Y88" s="2074"/>
      <c r="Z88" s="2074"/>
      <c r="AA88" s="2547"/>
      <c r="AB88" s="1478"/>
      <c r="AC88" s="1478"/>
      <c r="AD88" s="1478"/>
      <c r="AE88" s="1478"/>
    </row>
    <row s="40252" customFormat="1" customHeight="1" ht="11.25">
      <c r="A89" s="1900"/>
      <c r="B89" s="2551"/>
      <c r="C89" s="2551"/>
      <c r="D89" s="1263"/>
      <c r="K89" s="2074"/>
      <c r="L89" s="2551"/>
      <c r="M89" s="2551"/>
      <c r="N89" s="2074"/>
      <c r="O89" s="2074"/>
      <c r="P89" s="2074"/>
      <c r="Q89" s="2074"/>
      <c r="R89" s="2551"/>
      <c r="S89" s="2074"/>
      <c r="T89" s="2074"/>
      <c r="U89" s="1456"/>
      <c r="V89" s="2074"/>
      <c r="W89" s="2074"/>
      <c r="X89" s="2074"/>
      <c r="Y89" s="2074"/>
      <c r="Z89" s="2074"/>
      <c r="AA89" s="2547"/>
      <c r="AB89" s="1478"/>
      <c r="AC89" s="1478"/>
      <c r="AD89" s="1478"/>
      <c r="AE89" s="1478"/>
    </row>
    <row s="40252" customFormat="1" customHeight="1" ht="11.25">
      <c r="A90" s="1900"/>
      <c r="B90" s="2551"/>
      <c r="C90" s="2551"/>
      <c r="D90" s="1263"/>
      <c r="K90" s="2074"/>
      <c r="L90" s="2551"/>
      <c r="M90" s="2551"/>
      <c r="N90" s="2074"/>
      <c r="O90" s="2074"/>
      <c r="P90" s="2074"/>
      <c r="Q90" s="2074"/>
      <c r="R90" s="2551"/>
      <c r="S90" s="2074"/>
      <c r="T90" s="2074"/>
      <c r="U90" s="1456"/>
      <c r="V90" s="2074"/>
      <c r="W90" s="2074"/>
      <c r="X90" s="2074"/>
      <c r="Y90" s="2074"/>
      <c r="Z90" s="2074"/>
      <c r="AA90" s="2547"/>
      <c r="AB90" s="1478"/>
      <c r="AC90" s="1478"/>
      <c r="AD90" s="1478"/>
      <c r="AE90" s="1478"/>
    </row>
    <row s="40252" customFormat="1" customHeight="1" ht="11.25">
      <c r="A91" s="1900"/>
      <c r="B91" s="2551"/>
      <c r="C91" s="2551"/>
      <c r="D91" s="1263"/>
      <c r="K91" s="2074"/>
      <c r="L91" s="2551"/>
      <c r="M91" s="2551"/>
      <c r="N91" s="2074"/>
      <c r="O91" s="2074"/>
      <c r="P91" s="2074"/>
      <c r="Q91" s="2074"/>
      <c r="R91" s="2551"/>
      <c r="S91" s="2074"/>
      <c r="T91" s="2074"/>
      <c r="U91" s="1456"/>
      <c r="V91" s="2074"/>
      <c r="W91" s="2074"/>
      <c r="X91" s="2074"/>
      <c r="Y91" s="2074"/>
      <c r="Z91" s="2074"/>
      <c r="AA91" s="2547"/>
      <c r="AB91" s="1478"/>
      <c r="AC91" s="1478"/>
      <c r="AD91" s="1478"/>
      <c r="AE91" s="1478"/>
    </row>
    <row s="40252" customFormat="1" customHeight="1" ht="11.25">
      <c r="A92" s="1900"/>
      <c r="B92" s="2551"/>
      <c r="C92" s="2551"/>
      <c r="D92" s="1263"/>
      <c r="K92" s="2074"/>
      <c r="L92" s="2551"/>
      <c r="M92" s="2551"/>
      <c r="N92" s="2074"/>
      <c r="O92" s="2074"/>
      <c r="P92" s="2074"/>
      <c r="Q92" s="2074"/>
      <c r="R92" s="2551"/>
      <c r="S92" s="2074"/>
      <c r="T92" s="2074"/>
      <c r="U92" s="1456"/>
      <c r="V92" s="2074"/>
      <c r="W92" s="2074"/>
      <c r="X92" s="2074"/>
      <c r="Y92" s="2074"/>
      <c r="Z92" s="2074"/>
      <c r="AA92" s="2547"/>
      <c r="AB92" s="1478"/>
      <c r="AC92" s="1478"/>
      <c r="AD92" s="1478"/>
      <c r="AE92" s="1478"/>
    </row>
    <row s="40252" customFormat="1" customHeight="1" ht="11.25">
      <c r="A93" s="1900"/>
      <c r="B93" s="2551"/>
      <c r="C93" s="2551"/>
      <c r="D93" s="1263"/>
      <c r="K93" s="2074"/>
      <c r="L93" s="2551"/>
      <c r="M93" s="2551"/>
      <c r="N93" s="2074"/>
      <c r="O93" s="2074"/>
      <c r="P93" s="2074"/>
      <c r="Q93" s="2074"/>
      <c r="R93" s="2551"/>
      <c r="S93" s="2074"/>
      <c r="T93" s="2074"/>
      <c r="U93" s="1456"/>
      <c r="V93" s="2074"/>
      <c r="W93" s="2074"/>
      <c r="X93" s="2074"/>
      <c r="Y93" s="2074"/>
      <c r="Z93" s="2074"/>
      <c r="AA93" s="2547"/>
      <c r="AB93" s="1478"/>
      <c r="AC93" s="1478"/>
      <c r="AD93" s="1478"/>
      <c r="AE93" s="1478"/>
    </row>
    <row s="40252" customFormat="1" customHeight="1" ht="11.25">
      <c r="A94" s="1900"/>
      <c r="B94" s="2551"/>
      <c r="C94" s="2551"/>
      <c r="D94" s="1263"/>
      <c r="K94" s="2074"/>
      <c r="L94" s="2551"/>
      <c r="M94" s="2551"/>
      <c r="N94" s="2074"/>
      <c r="O94" s="2074"/>
      <c r="P94" s="2074"/>
      <c r="Q94" s="2074"/>
      <c r="R94" s="2551"/>
      <c r="S94" s="2074"/>
      <c r="T94" s="2074"/>
      <c r="U94" s="1456"/>
      <c r="V94" s="2074"/>
      <c r="W94" s="2074"/>
      <c r="X94" s="2074"/>
      <c r="Y94" s="2074"/>
      <c r="Z94" s="2074"/>
      <c r="AA94" s="2547"/>
      <c r="AB94" s="1478"/>
      <c r="AC94" s="1478"/>
      <c r="AD94" s="1478"/>
      <c r="AE94" s="1478"/>
    </row>
    <row s="40252" customFormat="1" customHeight="1" ht="11.25">
      <c r="A95" s="1900"/>
      <c r="B95" s="2551"/>
      <c r="C95" s="2551"/>
      <c r="D95" s="1263"/>
      <c r="K95" s="2074"/>
      <c r="L95" s="2551"/>
      <c r="M95" s="2551"/>
      <c r="N95" s="2074"/>
      <c r="O95" s="2074"/>
      <c r="P95" s="2074"/>
      <c r="Q95" s="2074"/>
      <c r="R95" s="2551"/>
      <c r="S95" s="2074"/>
      <c r="T95" s="2074"/>
      <c r="U95" s="1456"/>
      <c r="V95" s="2074"/>
      <c r="W95" s="2074"/>
      <c r="X95" s="2074"/>
      <c r="Y95" s="2074"/>
      <c r="Z95" s="2074"/>
      <c r="AA95" s="2547"/>
      <c r="AB95" s="1478"/>
      <c r="AC95" s="1478"/>
      <c r="AD95" s="1478"/>
      <c r="AE95" s="1478"/>
    </row>
    <row s="40252" customFormat="1" customHeight="1" ht="11.25">
      <c r="A96" s="1900"/>
      <c r="B96" s="2551"/>
      <c r="C96" s="2551"/>
      <c r="D96" s="1263"/>
      <c r="K96" s="2074"/>
      <c r="L96" s="2551"/>
      <c r="M96" s="2551"/>
      <c r="N96" s="2074"/>
      <c r="O96" s="2074"/>
      <c r="P96" s="2074"/>
      <c r="Q96" s="2074"/>
      <c r="R96" s="2551"/>
      <c r="S96" s="2074"/>
      <c r="T96" s="2074"/>
      <c r="U96" s="1456"/>
      <c r="V96" s="2074"/>
      <c r="W96" s="2074"/>
      <c r="X96" s="2074"/>
      <c r="Y96" s="2074"/>
      <c r="Z96" s="2074"/>
      <c r="AA96" s="2547"/>
      <c r="AB96" s="1478"/>
      <c r="AC96" s="1478"/>
      <c r="AD96" s="1478"/>
      <c r="AE96" s="1478"/>
    </row>
    <row s="40252" customFormat="1" customHeight="1" ht="11.25">
      <c r="A97" s="1900"/>
      <c r="B97" s="2551"/>
      <c r="C97" s="2551"/>
      <c r="D97" s="1263"/>
      <c r="K97" s="2074"/>
      <c r="L97" s="2551"/>
      <c r="M97" s="2551"/>
      <c r="N97" s="2074"/>
      <c r="O97" s="2074"/>
      <c r="P97" s="2074"/>
      <c r="Q97" s="2074"/>
      <c r="R97" s="2551"/>
      <c r="S97" s="2074"/>
      <c r="T97" s="2074"/>
      <c r="U97" s="1456"/>
      <c r="V97" s="2074"/>
      <c r="W97" s="2074"/>
      <c r="X97" s="2074"/>
      <c r="Y97" s="2074"/>
      <c r="Z97" s="2074"/>
      <c r="AA97" s="2547"/>
      <c r="AB97" s="1478"/>
      <c r="AC97" s="1478"/>
      <c r="AD97" s="1478"/>
      <c r="AE97" s="1478"/>
    </row>
    <row s="40252" customFormat="1" customHeight="1" ht="11.25">
      <c r="A98" s="1900"/>
      <c r="B98" s="2551"/>
      <c r="C98" s="2551"/>
      <c r="D98" s="1263"/>
      <c r="K98" s="2074"/>
      <c r="L98" s="2551"/>
      <c r="M98" s="2551"/>
      <c r="N98" s="2074"/>
      <c r="O98" s="2074"/>
      <c r="P98" s="2074"/>
      <c r="Q98" s="2074"/>
      <c r="R98" s="2551"/>
      <c r="S98" s="2074"/>
      <c r="T98" s="2074"/>
      <c r="U98" s="1456"/>
      <c r="V98" s="2074"/>
      <c r="W98" s="2074"/>
      <c r="X98" s="2074"/>
      <c r="Y98" s="2074"/>
      <c r="Z98" s="2074"/>
      <c r="AA98" s="2547"/>
      <c r="AB98" s="1478"/>
      <c r="AC98" s="1478"/>
      <c r="AD98" s="1478"/>
      <c r="AE98" s="1478"/>
    </row>
    <row s="40252" customFormat="1" customHeight="1" ht="11.25">
      <c r="A99" s="1900"/>
      <c r="B99" s="2551"/>
      <c r="C99" s="2551"/>
      <c r="D99" s="1263"/>
      <c r="K99" s="2074"/>
      <c r="L99" s="2551"/>
      <c r="M99" s="2551"/>
      <c r="N99" s="2074"/>
      <c r="O99" s="2074"/>
      <c r="P99" s="2074"/>
      <c r="Q99" s="2074"/>
      <c r="R99" s="2551"/>
      <c r="S99" s="2074"/>
      <c r="T99" s="2074"/>
      <c r="U99" s="1456"/>
      <c r="V99" s="2074"/>
      <c r="W99" s="2074"/>
      <c r="X99" s="2074"/>
      <c r="Y99" s="2074"/>
      <c r="Z99" s="2074"/>
      <c r="AA99" s="2547"/>
      <c r="AB99" s="1478"/>
      <c r="AC99" s="1478"/>
      <c r="AD99" s="1478"/>
      <c r="AE99" s="1478"/>
    </row>
    <row s="40252" customFormat="1" customHeight="1" ht="11.25">
      <c r="A100" s="1900"/>
      <c r="B100" s="2551"/>
      <c r="C100" s="2551"/>
      <c r="D100" s="1263"/>
      <c r="K100" s="2074"/>
      <c r="L100" s="2551"/>
      <c r="M100" s="2551"/>
      <c r="N100" s="2074"/>
      <c r="O100" s="2074"/>
      <c r="P100" s="2074"/>
      <c r="Q100" s="2074"/>
      <c r="R100" s="2551"/>
      <c r="S100" s="2074"/>
      <c r="T100" s="2074"/>
      <c r="U100" s="1456"/>
      <c r="V100" s="2074"/>
      <c r="W100" s="2074"/>
      <c r="X100" s="2074"/>
      <c r="Y100" s="2074"/>
      <c r="Z100" s="2074"/>
      <c r="AA100" s="2547"/>
      <c r="AB100" s="1478"/>
      <c r="AC100" s="1478"/>
      <c r="AD100" s="1478"/>
      <c r="AE100" s="1478"/>
    </row>
    <row s="40252" customFormat="1" customHeight="1" ht="11.25">
      <c r="A101" s="1900"/>
      <c r="B101" s="2551"/>
      <c r="C101" s="2551"/>
      <c r="D101" s="1263"/>
      <c r="K101" s="2074"/>
      <c r="L101" s="2551"/>
      <c r="M101" s="2551"/>
      <c r="N101" s="2074"/>
      <c r="O101" s="2074"/>
      <c r="P101" s="2074"/>
      <c r="Q101" s="2074"/>
      <c r="R101" s="2551"/>
      <c r="S101" s="2074"/>
      <c r="T101" s="2074"/>
      <c r="U101" s="1456"/>
      <c r="V101" s="2074"/>
      <c r="W101" s="2074"/>
      <c r="X101" s="2074"/>
      <c r="Y101" s="2074"/>
      <c r="Z101" s="2074"/>
      <c r="AA101" s="2547"/>
      <c r="AB101" s="1478"/>
      <c r="AC101" s="1478"/>
      <c r="AD101" s="1478"/>
      <c r="AE101" s="1478"/>
    </row>
    <row s="40252" customFormat="1" customHeight="1" ht="11.25">
      <c r="A102" s="1900"/>
      <c r="B102" s="2551"/>
      <c r="C102" s="2551"/>
      <c r="D102" s="1263"/>
      <c r="K102" s="2074"/>
      <c r="L102" s="2551"/>
      <c r="M102" s="2551"/>
      <c r="N102" s="2074"/>
      <c r="O102" s="2074"/>
      <c r="P102" s="2074"/>
      <c r="Q102" s="2074"/>
      <c r="R102" s="2551"/>
      <c r="S102" s="2074"/>
      <c r="T102" s="2074"/>
      <c r="U102" s="1456"/>
      <c r="V102" s="2074"/>
      <c r="W102" s="2074"/>
      <c r="X102" s="2074"/>
      <c r="Y102" s="2074"/>
      <c r="Z102" s="2074"/>
      <c r="AA102" s="2547"/>
      <c r="AB102" s="1478"/>
      <c r="AC102" s="1478"/>
      <c r="AD102" s="1478"/>
      <c r="AE102" s="1478"/>
    </row>
    <row s="40252" customFormat="1" customHeight="1" ht="11.25">
      <c r="A103" s="1900"/>
      <c r="B103" s="2551"/>
      <c r="C103" s="2551"/>
      <c r="D103" s="1263"/>
      <c r="K103" s="2074"/>
      <c r="L103" s="2551"/>
      <c r="M103" s="2551"/>
      <c r="N103" s="2074"/>
      <c r="O103" s="2074"/>
      <c r="P103" s="2074"/>
      <c r="Q103" s="2074"/>
      <c r="R103" s="2551"/>
      <c r="S103" s="2074"/>
      <c r="T103" s="2074"/>
      <c r="U103" s="1456"/>
      <c r="V103" s="2074"/>
      <c r="W103" s="2074"/>
      <c r="X103" s="2074"/>
      <c r="Y103" s="2074"/>
      <c r="Z103" s="2074"/>
      <c r="AA103" s="2547"/>
      <c r="AB103" s="1478"/>
      <c r="AC103" s="1478"/>
      <c r="AD103" s="1478"/>
      <c r="AE103" s="1478"/>
    </row>
    <row s="40252" customFormat="1" customHeight="1" ht="11.25">
      <c r="A104" s="1900"/>
      <c r="B104" s="2551"/>
      <c r="C104" s="2551"/>
      <c r="D104" s="1263"/>
      <c r="K104" s="2074"/>
      <c r="L104" s="2551"/>
      <c r="M104" s="2551"/>
      <c r="N104" s="2074"/>
      <c r="O104" s="2074"/>
      <c r="P104" s="2074"/>
      <c r="Q104" s="2074"/>
      <c r="R104" s="2551"/>
      <c r="S104" s="2074"/>
      <c r="T104" s="2074"/>
      <c r="U104" s="1456"/>
      <c r="V104" s="2074"/>
      <c r="W104" s="2074"/>
      <c r="X104" s="2074"/>
      <c r="Y104" s="2074"/>
      <c r="Z104" s="2074"/>
      <c r="AA104" s="2547"/>
      <c r="AB104" s="1478"/>
      <c r="AC104" s="1478"/>
      <c r="AD104" s="1478"/>
      <c r="AE104" s="1478"/>
    </row>
    <row s="40252" customFormat="1" customHeight="1" ht="11.25">
      <c r="A105" s="1900"/>
      <c r="B105" s="2551"/>
      <c r="C105" s="2551"/>
      <c r="D105" s="1263"/>
      <c r="K105" s="2074"/>
      <c r="L105" s="2551"/>
      <c r="M105" s="2551"/>
      <c r="N105" s="2074"/>
      <c r="O105" s="2074"/>
      <c r="P105" s="2074"/>
      <c r="Q105" s="2074"/>
      <c r="R105" s="2551"/>
      <c r="S105" s="2074"/>
      <c r="T105" s="2074"/>
      <c r="U105" s="1456"/>
      <c r="V105" s="2074"/>
      <c r="W105" s="2074"/>
      <c r="X105" s="2074"/>
      <c r="Y105" s="2074"/>
      <c r="Z105" s="2074"/>
      <c r="AA105" s="2547"/>
      <c r="AB105" s="1478"/>
      <c r="AC105" s="1478"/>
      <c r="AD105" s="1478"/>
      <c r="AE105" s="1478"/>
    </row>
    <row s="40252" customFormat="1" customHeight="1" ht="11.25">
      <c r="A106" s="1900"/>
      <c r="B106" s="2551"/>
      <c r="C106" s="2551"/>
      <c r="D106" s="1263"/>
      <c r="K106" s="2074"/>
      <c r="L106" s="2551"/>
      <c r="M106" s="2551"/>
      <c r="N106" s="2074"/>
      <c r="O106" s="2074"/>
      <c r="P106" s="2074"/>
      <c r="Q106" s="2074"/>
      <c r="R106" s="2551"/>
      <c r="S106" s="2074"/>
      <c r="T106" s="2074"/>
      <c r="U106" s="1456"/>
      <c r="V106" s="2074"/>
      <c r="W106" s="2074"/>
      <c r="X106" s="2074"/>
      <c r="Y106" s="2074"/>
      <c r="Z106" s="2074"/>
      <c r="AA106" s="2547"/>
      <c r="AB106" s="1478"/>
      <c r="AC106" s="1478"/>
      <c r="AD106" s="1478"/>
      <c r="AE106" s="1478"/>
    </row>
    <row s="40252" customFormat="1" customHeight="1" ht="11.25">
      <c r="A107" s="1900"/>
      <c r="B107" s="2551"/>
      <c r="C107" s="2551"/>
      <c r="D107" s="1263"/>
      <c r="K107" s="2074"/>
      <c r="L107" s="2551"/>
      <c r="M107" s="2551"/>
      <c r="N107" s="2074"/>
      <c r="O107" s="2074"/>
      <c r="P107" s="2074"/>
      <c r="Q107" s="2074"/>
      <c r="R107" s="2551"/>
      <c r="S107" s="2074"/>
      <c r="T107" s="2074"/>
      <c r="U107" s="1456"/>
      <c r="V107" s="2074"/>
      <c r="W107" s="2074"/>
      <c r="X107" s="2074"/>
      <c r="Y107" s="2074"/>
      <c r="Z107" s="2074"/>
      <c r="AA107" s="2547"/>
      <c r="AB107" s="1478"/>
      <c r="AC107" s="1478"/>
      <c r="AD107" s="1478"/>
      <c r="AE107" s="1478"/>
    </row>
    <row s="40252" customFormat="1" customHeight="1" ht="11.25">
      <c r="A108" s="1900"/>
      <c r="B108" s="2551"/>
      <c r="C108" s="2551"/>
      <c r="D108" s="1263"/>
      <c r="K108" s="2074"/>
      <c r="L108" s="2551"/>
      <c r="M108" s="2551"/>
      <c r="N108" s="2074"/>
      <c r="O108" s="2074"/>
      <c r="P108" s="2074"/>
      <c r="Q108" s="2074"/>
      <c r="R108" s="2551"/>
      <c r="S108" s="2074"/>
      <c r="T108" s="2074"/>
      <c r="U108" s="1456"/>
      <c r="V108" s="2074"/>
      <c r="W108" s="2074"/>
      <c r="X108" s="2074"/>
      <c r="Y108" s="2074"/>
      <c r="Z108" s="2074"/>
      <c r="AA108" s="2547"/>
      <c r="AB108" s="1478"/>
      <c r="AC108" s="1478"/>
      <c r="AD108" s="1478"/>
      <c r="AE108" s="1478"/>
    </row>
    <row s="40252" customFormat="1" customHeight="1" ht="11.25">
      <c r="A109" s="1900"/>
      <c r="B109" s="2551"/>
      <c r="C109" s="2551"/>
      <c r="D109" s="1263"/>
      <c r="K109" s="2074"/>
      <c r="L109" s="2551"/>
      <c r="M109" s="2551"/>
      <c r="N109" s="2074"/>
      <c r="O109" s="2074"/>
      <c r="P109" s="2074"/>
      <c r="Q109" s="2074"/>
      <c r="R109" s="2551"/>
      <c r="S109" s="2074"/>
      <c r="T109" s="2074"/>
      <c r="U109" s="1456"/>
      <c r="V109" s="2074"/>
      <c r="W109" s="2074"/>
      <c r="X109" s="2074"/>
      <c r="Y109" s="2074"/>
      <c r="Z109" s="2074"/>
      <c r="AA109" s="2547"/>
      <c r="AB109" s="1478"/>
      <c r="AC109" s="1478"/>
      <c r="AD109" s="1478"/>
      <c r="AE109" s="1478"/>
    </row>
    <row s="40252" customFormat="1" customHeight="1" ht="11.25">
      <c r="A110" s="1900"/>
      <c r="B110" s="2551"/>
      <c r="C110" s="2551"/>
      <c r="D110" s="1263"/>
      <c r="K110" s="2074"/>
      <c r="L110" s="2551"/>
      <c r="M110" s="2551"/>
      <c r="N110" s="2074"/>
      <c r="O110" s="2074"/>
      <c r="P110" s="2074"/>
      <c r="Q110" s="2074"/>
      <c r="R110" s="2551"/>
      <c r="S110" s="2074"/>
      <c r="T110" s="2074"/>
      <c r="U110" s="1456"/>
      <c r="V110" s="2074"/>
      <c r="W110" s="2074"/>
      <c r="X110" s="2074"/>
      <c r="Y110" s="2074"/>
      <c r="Z110" s="2074"/>
      <c r="AA110" s="2547"/>
      <c r="AB110" s="1478"/>
      <c r="AC110" s="1478"/>
      <c r="AD110" s="1478"/>
      <c r="AE110" s="1478"/>
    </row>
    <row s="40252" customFormat="1" customHeight="1" ht="11.25">
      <c r="A111" s="1900"/>
      <c r="B111" s="2551"/>
      <c r="C111" s="2551"/>
      <c r="D111" s="1263"/>
      <c r="K111" s="2074"/>
      <c r="L111" s="2551"/>
      <c r="M111" s="2551"/>
      <c r="N111" s="2074"/>
      <c r="O111" s="2074"/>
      <c r="P111" s="2074"/>
      <c r="Q111" s="2074"/>
      <c r="R111" s="2551"/>
      <c r="S111" s="2074"/>
      <c r="T111" s="2074"/>
      <c r="U111" s="1456"/>
      <c r="V111" s="2074"/>
      <c r="W111" s="2074"/>
      <c r="X111" s="2074"/>
      <c r="Y111" s="2074"/>
      <c r="Z111" s="2074"/>
      <c r="AA111" s="2547"/>
      <c r="AB111" s="1478"/>
      <c r="AC111" s="1478"/>
      <c r="AD111" s="1478"/>
      <c r="AE111" s="1478"/>
    </row>
    <row s="40252" customFormat="1" customHeight="1" ht="11.25">
      <c r="A112" s="1900"/>
      <c r="B112" s="2551"/>
      <c r="C112" s="2551"/>
      <c r="D112" s="1263"/>
      <c r="K112" s="2074"/>
      <c r="L112" s="2551"/>
      <c r="M112" s="2551"/>
      <c r="N112" s="2074"/>
      <c r="O112" s="2074"/>
      <c r="P112" s="2074"/>
      <c r="Q112" s="2074"/>
      <c r="R112" s="2551"/>
      <c r="S112" s="2074"/>
      <c r="T112" s="2074"/>
      <c r="U112" s="1456"/>
      <c r="V112" s="2074"/>
      <c r="W112" s="2074"/>
      <c r="X112" s="2074"/>
      <c r="Y112" s="2074"/>
      <c r="Z112" s="2074"/>
      <c r="AA112" s="2547"/>
      <c r="AB112" s="1478"/>
      <c r="AC112" s="1478"/>
      <c r="AD112" s="1478"/>
      <c r="AE112" s="1478"/>
    </row>
    <row s="40252" customFormat="1" customHeight="1" ht="11.25">
      <c r="A113" s="1900"/>
      <c r="B113" s="2551"/>
      <c r="C113" s="2551"/>
      <c r="D113" s="1263"/>
      <c r="K113" s="2074"/>
      <c r="L113" s="2551"/>
      <c r="M113" s="2551"/>
      <c r="N113" s="2074"/>
      <c r="O113" s="2074"/>
      <c r="P113" s="2074"/>
      <c r="Q113" s="2074"/>
      <c r="R113" s="2551"/>
      <c r="S113" s="2074"/>
      <c r="T113" s="2074"/>
      <c r="U113" s="1456"/>
      <c r="V113" s="2074"/>
      <c r="W113" s="2074"/>
      <c r="X113" s="2074"/>
      <c r="Y113" s="2074"/>
      <c r="Z113" s="2074"/>
      <c r="AA113" s="2547"/>
      <c r="AB113" s="1478"/>
      <c r="AC113" s="1478"/>
      <c r="AD113" s="1478"/>
      <c r="AE113" s="1478"/>
    </row>
    <row s="40252" customFormat="1" customHeight="1" ht="11.25">
      <c r="A114" s="1900"/>
      <c r="B114" s="2551"/>
      <c r="C114" s="2551"/>
      <c r="D114" s="1263"/>
      <c r="K114" s="2074"/>
      <c r="L114" s="2551"/>
      <c r="M114" s="2551"/>
      <c r="N114" s="2074"/>
      <c r="O114" s="2074"/>
      <c r="P114" s="2074"/>
      <c r="Q114" s="2074"/>
      <c r="R114" s="2551"/>
      <c r="S114" s="2074"/>
      <c r="T114" s="2074"/>
      <c r="U114" s="1456"/>
      <c r="V114" s="2074"/>
      <c r="W114" s="2074"/>
      <c r="X114" s="2074"/>
      <c r="Y114" s="2074"/>
      <c r="Z114" s="2074"/>
      <c r="AA114" s="2547"/>
      <c r="AB114" s="1478"/>
      <c r="AC114" s="1478"/>
      <c r="AD114" s="1478"/>
      <c r="AE114" s="1478"/>
    </row>
    <row s="40252" customFormat="1" customHeight="1" ht="11.25">
      <c r="A115" s="1900"/>
      <c r="B115" s="2551"/>
      <c r="C115" s="2551"/>
      <c r="D115" s="1263"/>
      <c r="K115" s="2074"/>
      <c r="L115" s="2551"/>
      <c r="M115" s="2551"/>
      <c r="N115" s="2074"/>
      <c r="O115" s="2074"/>
      <c r="P115" s="2074"/>
      <c r="Q115" s="2074"/>
      <c r="R115" s="2551"/>
      <c r="S115" s="2074"/>
      <c r="T115" s="2074"/>
      <c r="U115" s="1456"/>
      <c r="V115" s="2074"/>
      <c r="W115" s="2074"/>
      <c r="X115" s="2074"/>
      <c r="Y115" s="2074"/>
      <c r="Z115" s="2074"/>
      <c r="AA115" s="2547"/>
      <c r="AB115" s="1478"/>
      <c r="AC115" s="1478"/>
      <c r="AD115" s="1478"/>
      <c r="AE115" s="1478"/>
    </row>
    <row s="40252" customFormat="1" customHeight="1" ht="11.25">
      <c r="A116" s="1900"/>
      <c r="B116" s="2551"/>
      <c r="C116" s="2551"/>
      <c r="D116" s="1263"/>
      <c r="K116" s="2074"/>
      <c r="L116" s="2551"/>
      <c r="M116" s="2551"/>
      <c r="N116" s="2074"/>
      <c r="O116" s="2074"/>
      <c r="P116" s="2074"/>
      <c r="Q116" s="2074"/>
      <c r="R116" s="2551"/>
      <c r="S116" s="2074"/>
      <c r="T116" s="2074"/>
      <c r="U116" s="1456"/>
      <c r="V116" s="2074"/>
      <c r="W116" s="2074"/>
      <c r="X116" s="2074"/>
      <c r="Y116" s="2074"/>
      <c r="Z116" s="2074"/>
      <c r="AA116" s="2547"/>
      <c r="AB116" s="1478"/>
      <c r="AC116" s="1478"/>
      <c r="AD116" s="1478"/>
      <c r="AE116" s="1478"/>
    </row>
    <row s="40252" customFormat="1" customHeight="1" ht="11.25">
      <c r="A117" s="1900"/>
      <c r="B117" s="2551"/>
      <c r="C117" s="2551"/>
      <c r="D117" s="1263"/>
      <c r="K117" s="2074"/>
      <c r="L117" s="2551"/>
      <c r="M117" s="2551"/>
      <c r="N117" s="2074"/>
      <c r="O117" s="2074"/>
      <c r="P117" s="2074"/>
      <c r="Q117" s="2074"/>
      <c r="R117" s="2551"/>
      <c r="S117" s="2074"/>
      <c r="T117" s="2074"/>
      <c r="U117" s="1456"/>
      <c r="V117" s="2074"/>
      <c r="W117" s="2074"/>
      <c r="X117" s="2074"/>
      <c r="Y117" s="2074"/>
      <c r="Z117" s="2074"/>
      <c r="AA117" s="2547"/>
      <c r="AB117" s="1478"/>
      <c r="AC117" s="1478"/>
      <c r="AD117" s="1478"/>
      <c r="AE117" s="1478"/>
    </row>
    <row s="40252" customFormat="1" customHeight="1" ht="11.25">
      <c r="A118" s="1900"/>
      <c r="B118" s="2551"/>
      <c r="C118" s="2551"/>
      <c r="D118" s="1263"/>
      <c r="K118" s="2074"/>
      <c r="L118" s="2551"/>
      <c r="M118" s="2551"/>
      <c r="N118" s="2074"/>
      <c r="O118" s="2074"/>
      <c r="P118" s="2074"/>
      <c r="Q118" s="2074"/>
      <c r="R118" s="2551"/>
      <c r="S118" s="2074"/>
      <c r="T118" s="2074"/>
      <c r="U118" s="1456"/>
      <c r="V118" s="2074"/>
      <c r="W118" s="2074"/>
      <c r="X118" s="2074"/>
      <c r="Y118" s="2074"/>
      <c r="Z118" s="2074"/>
      <c r="AA118" s="2547"/>
      <c r="AB118" s="1478"/>
      <c r="AC118" s="1478"/>
      <c r="AD118" s="1478"/>
      <c r="AE118" s="1478"/>
    </row>
    <row s="40252" customFormat="1" customHeight="1" ht="11.25">
      <c r="A119" s="1900"/>
      <c r="B119" s="2551"/>
      <c r="C119" s="2551"/>
      <c r="D119" s="1263"/>
      <c r="K119" s="2074"/>
      <c r="L119" s="2551"/>
      <c r="M119" s="2551"/>
      <c r="N119" s="2074"/>
      <c r="O119" s="2074"/>
      <c r="P119" s="2074"/>
      <c r="Q119" s="2074"/>
      <c r="R119" s="2551"/>
      <c r="S119" s="2074"/>
      <c r="T119" s="2074"/>
      <c r="U119" s="1456"/>
      <c r="V119" s="2074"/>
      <c r="W119" s="2074"/>
      <c r="X119" s="2074"/>
      <c r="Y119" s="2074"/>
      <c r="Z119" s="2074"/>
      <c r="AA119" s="2547"/>
      <c r="AB119" s="1478"/>
      <c r="AC119" s="1478"/>
      <c r="AD119" s="1478"/>
      <c r="AE119" s="1478"/>
    </row>
    <row s="40252" customFormat="1" customHeight="1" ht="11.25">
      <c r="A120" s="1900"/>
      <c r="B120" s="2551"/>
      <c r="C120" s="2551"/>
      <c r="D120" s="1263"/>
      <c r="K120" s="2074"/>
      <c r="L120" s="2551"/>
      <c r="M120" s="2551"/>
      <c r="N120" s="2074"/>
      <c r="O120" s="2074"/>
      <c r="P120" s="2074"/>
      <c r="Q120" s="2074"/>
      <c r="R120" s="2551"/>
      <c r="S120" s="2074"/>
      <c r="T120" s="2074"/>
      <c r="U120" s="1456"/>
      <c r="V120" s="2074"/>
      <c r="W120" s="2074"/>
      <c r="X120" s="2074"/>
      <c r="Y120" s="2074"/>
      <c r="Z120" s="2074"/>
      <c r="AA120" s="2547"/>
      <c r="AB120" s="1478"/>
      <c r="AC120" s="1478"/>
      <c r="AD120" s="1478"/>
      <c r="AE120" s="1478"/>
    </row>
    <row s="40252" customFormat="1" customHeight="1" ht="11.25">
      <c r="A121" s="1900"/>
      <c r="B121" s="2551"/>
      <c r="C121" s="2551"/>
      <c r="D121" s="1263"/>
      <c r="K121" s="2074"/>
      <c r="L121" s="2551"/>
      <c r="M121" s="2551"/>
      <c r="N121" s="2074"/>
      <c r="O121" s="2074"/>
      <c r="P121" s="2074"/>
      <c r="Q121" s="2074"/>
      <c r="R121" s="2551"/>
      <c r="S121" s="2074"/>
      <c r="T121" s="2074"/>
      <c r="U121" s="1456"/>
      <c r="V121" s="2074"/>
      <c r="W121" s="2074"/>
      <c r="X121" s="2074"/>
      <c r="Y121" s="2074"/>
      <c r="Z121" s="2074"/>
      <c r="AA121" s="2547"/>
      <c r="AB121" s="1478"/>
      <c r="AC121" s="1478"/>
      <c r="AD121" s="1478"/>
      <c r="AE121" s="1478"/>
    </row>
    <row s="40252" customFormat="1" customHeight="1" ht="11.25">
      <c r="A122" s="1900"/>
      <c r="B122" s="2551"/>
      <c r="C122" s="2551"/>
      <c r="D122" s="1263"/>
      <c r="K122" s="2074"/>
      <c r="L122" s="2551"/>
      <c r="M122" s="2551"/>
      <c r="N122" s="2074"/>
      <c r="O122" s="2074"/>
      <c r="P122" s="2074"/>
      <c r="Q122" s="2074"/>
      <c r="R122" s="2551"/>
      <c r="S122" s="2074"/>
      <c r="T122" s="2074"/>
      <c r="U122" s="1456"/>
      <c r="V122" s="2074"/>
      <c r="W122" s="2074"/>
      <c r="X122" s="2074"/>
      <c r="Y122" s="2074"/>
      <c r="Z122" s="2074"/>
      <c r="AA122" s="2547"/>
      <c r="AB122" s="1478"/>
      <c r="AC122" s="1478"/>
      <c r="AD122" s="1478"/>
      <c r="AE122" s="1478"/>
    </row>
    <row s="40252" customFormat="1" customHeight="1" ht="11.25">
      <c r="A123" s="1900"/>
      <c r="B123" s="2551"/>
      <c r="C123" s="2551"/>
      <c r="D123" s="1263"/>
      <c r="K123" s="2074"/>
      <c r="L123" s="2551"/>
      <c r="M123" s="2551"/>
      <c r="N123" s="2074"/>
      <c r="O123" s="2074"/>
      <c r="P123" s="2074"/>
      <c r="Q123" s="2074"/>
      <c r="R123" s="2551"/>
      <c r="S123" s="2074"/>
      <c r="T123" s="2074"/>
      <c r="U123" s="1456"/>
      <c r="V123" s="2074"/>
      <c r="W123" s="2074"/>
      <c r="X123" s="2074"/>
      <c r="Y123" s="2074"/>
      <c r="Z123" s="2074"/>
      <c r="AA123" s="2547"/>
      <c r="AB123" s="1478"/>
      <c r="AC123" s="1478"/>
      <c r="AD123" s="1478"/>
      <c r="AE123" s="1478"/>
    </row>
    <row s="40252" customFormat="1" customHeight="1" ht="11.25">
      <c r="A124" s="1900"/>
      <c r="B124" s="2551"/>
      <c r="C124" s="2551"/>
      <c r="D124" s="1263"/>
      <c r="K124" s="2074"/>
      <c r="L124" s="2551"/>
      <c r="M124" s="2551"/>
      <c r="N124" s="2074"/>
      <c r="O124" s="2074"/>
      <c r="P124" s="2074"/>
      <c r="Q124" s="2074"/>
      <c r="R124" s="2551"/>
      <c r="S124" s="2074"/>
      <c r="T124" s="2074"/>
      <c r="U124" s="1456"/>
      <c r="V124" s="2074"/>
      <c r="W124" s="2074"/>
      <c r="X124" s="2074"/>
      <c r="Y124" s="2074"/>
      <c r="Z124" s="2074"/>
      <c r="AA124" s="2547"/>
      <c r="AB124" s="1478"/>
      <c r="AC124" s="1478"/>
      <c r="AD124" s="1478"/>
      <c r="AE124" s="1478"/>
    </row>
    <row s="40252" customFormat="1" customHeight="1" ht="11.25">
      <c r="A125" s="1900"/>
      <c r="B125" s="2551"/>
      <c r="C125" s="2551"/>
      <c r="D125" s="1263"/>
      <c r="K125" s="2074"/>
      <c r="L125" s="2551"/>
      <c r="M125" s="2551"/>
      <c r="N125" s="2074"/>
      <c r="O125" s="2074"/>
      <c r="P125" s="2074"/>
      <c r="Q125" s="2074"/>
      <c r="R125" s="2551"/>
      <c r="S125" s="2074"/>
      <c r="T125" s="2074"/>
      <c r="U125" s="1456"/>
      <c r="V125" s="2074"/>
      <c r="W125" s="2074"/>
      <c r="X125" s="2074"/>
      <c r="Y125" s="2074"/>
      <c r="Z125" s="2074"/>
      <c r="AA125" s="2547"/>
      <c r="AB125" s="1478"/>
      <c r="AC125" s="1478"/>
      <c r="AD125" s="1478"/>
      <c r="AE125" s="1478"/>
    </row>
    <row s="40252" customFormat="1" customHeight="1" ht="11.25">
      <c r="A126" s="1900"/>
      <c r="B126" s="2551"/>
      <c r="C126" s="2551"/>
      <c r="D126" s="1263"/>
      <c r="K126" s="2074"/>
      <c r="L126" s="2551"/>
      <c r="M126" s="2551"/>
      <c r="N126" s="2074"/>
      <c r="O126" s="2074"/>
      <c r="P126" s="2074"/>
      <c r="Q126" s="2074"/>
      <c r="R126" s="2551"/>
      <c r="S126" s="2074"/>
      <c r="T126" s="2074"/>
      <c r="U126" s="1456"/>
      <c r="V126" s="2074"/>
      <c r="W126" s="2074"/>
      <c r="X126" s="2074"/>
      <c r="Y126" s="2074"/>
      <c r="Z126" s="2074"/>
      <c r="AA126" s="2547"/>
      <c r="AB126" s="1478"/>
      <c r="AC126" s="1478"/>
      <c r="AD126" s="1478"/>
      <c r="AE126" s="1478"/>
    </row>
    <row s="40252" customFormat="1" customHeight="1" ht="11.25">
      <c r="A127" s="1900"/>
      <c r="B127" s="2551"/>
      <c r="C127" s="2551"/>
      <c r="D127" s="1263"/>
      <c r="K127" s="2074"/>
      <c r="L127" s="2551"/>
      <c r="M127" s="2551"/>
      <c r="N127" s="2074"/>
      <c r="O127" s="2074"/>
      <c r="P127" s="2074"/>
      <c r="Q127" s="2074"/>
      <c r="R127" s="2551"/>
      <c r="S127" s="2074"/>
      <c r="T127" s="2074"/>
      <c r="U127" s="1456"/>
      <c r="V127" s="2074"/>
      <c r="W127" s="2074"/>
      <c r="X127" s="2074"/>
      <c r="Y127" s="2074"/>
      <c r="Z127" s="2074"/>
      <c r="AA127" s="2547"/>
      <c r="AB127" s="1478"/>
      <c r="AC127" s="1478"/>
      <c r="AD127" s="1478"/>
      <c r="AE127" s="1478"/>
    </row>
    <row s="40252" customFormat="1" customHeight="1" ht="11.25">
      <c r="A128" s="1900"/>
      <c r="B128" s="2551"/>
      <c r="C128" s="2551"/>
      <c r="D128" s="1263"/>
      <c r="K128" s="2074"/>
      <c r="L128" s="2551"/>
      <c r="M128" s="2551"/>
      <c r="N128" s="2074"/>
      <c r="O128" s="2074"/>
      <c r="P128" s="2074"/>
      <c r="Q128" s="2074"/>
      <c r="R128" s="2551"/>
      <c r="S128" s="2074"/>
      <c r="T128" s="2074"/>
      <c r="U128" s="1456"/>
      <c r="V128" s="2074"/>
      <c r="W128" s="2074"/>
      <c r="X128" s="2074"/>
      <c r="Y128" s="2074"/>
      <c r="Z128" s="2074"/>
      <c r="AA128" s="2547"/>
      <c r="AB128" s="1478"/>
      <c r="AC128" s="1478"/>
      <c r="AD128" s="1478"/>
      <c r="AE128" s="1478"/>
    </row>
    <row s="40252" customFormat="1" customHeight="1" ht="11.25">
      <c r="A129" s="1900"/>
      <c r="B129" s="2551"/>
      <c r="C129" s="2551"/>
      <c r="D129" s="1263"/>
      <c r="K129" s="2074"/>
      <c r="L129" s="2551"/>
      <c r="M129" s="2551"/>
      <c r="N129" s="2074"/>
      <c r="O129" s="2074"/>
      <c r="P129" s="2074"/>
      <c r="Q129" s="2074"/>
      <c r="R129" s="2551"/>
      <c r="S129" s="2074"/>
      <c r="T129" s="2074"/>
      <c r="U129" s="1456"/>
      <c r="V129" s="2074"/>
      <c r="W129" s="2074"/>
      <c r="X129" s="2074"/>
      <c r="Y129" s="2074"/>
      <c r="Z129" s="2074"/>
      <c r="AA129" s="2547"/>
      <c r="AB129" s="1478"/>
      <c r="AC129" s="1478"/>
      <c r="AD129" s="1478"/>
      <c r="AE129" s="1478"/>
    </row>
    <row s="40252" customFormat="1" customHeight="1" ht="11.25">
      <c r="A130" s="1900"/>
      <c r="B130" s="2551"/>
      <c r="C130" s="2551"/>
      <c r="D130" s="1263"/>
      <c r="K130" s="2074"/>
      <c r="L130" s="2551"/>
      <c r="M130" s="2551"/>
      <c r="N130" s="2074"/>
      <c r="O130" s="2074"/>
      <c r="P130" s="2074"/>
      <c r="Q130" s="2074"/>
      <c r="R130" s="2551"/>
      <c r="S130" s="2074"/>
      <c r="T130" s="2074"/>
      <c r="U130" s="1456"/>
      <c r="V130" s="2074"/>
      <c r="W130" s="2074"/>
      <c r="X130" s="2074"/>
      <c r="Y130" s="2074"/>
      <c r="Z130" s="2074"/>
      <c r="AA130" s="2547"/>
      <c r="AB130" s="1478"/>
      <c r="AC130" s="1478"/>
      <c r="AD130" s="1478"/>
      <c r="AE130" s="1478"/>
    </row>
    <row s="40252" customFormat="1" customHeight="1" ht="11.25">
      <c r="A131" s="1900"/>
      <c r="B131" s="2551"/>
      <c r="C131" s="2551"/>
      <c r="D131" s="1263"/>
      <c r="K131" s="2074"/>
      <c r="L131" s="2551"/>
      <c r="M131" s="2551"/>
      <c r="N131" s="2074"/>
      <c r="O131" s="2074"/>
      <c r="P131" s="2074"/>
      <c r="Q131" s="2074"/>
      <c r="R131" s="2551"/>
      <c r="S131" s="2074"/>
      <c r="T131" s="2074"/>
      <c r="U131" s="1456"/>
      <c r="V131" s="2074"/>
      <c r="W131" s="2074"/>
      <c r="X131" s="2074"/>
      <c r="Y131" s="2074"/>
      <c r="Z131" s="2074"/>
      <c r="AA131" s="2547"/>
      <c r="AB131" s="1478"/>
      <c r="AC131" s="1478"/>
      <c r="AD131" s="1478"/>
      <c r="AE131" s="1478"/>
    </row>
    <row s="40252" customFormat="1" customHeight="1" ht="11.25">
      <c r="A132" s="1900"/>
      <c r="B132" s="2551"/>
      <c r="C132" s="2551"/>
      <c r="D132" s="1263"/>
      <c r="K132" s="2074"/>
      <c r="L132" s="2551"/>
      <c r="M132" s="2551"/>
      <c r="N132" s="2074"/>
      <c r="O132" s="2074"/>
      <c r="P132" s="2074"/>
      <c r="Q132" s="2074"/>
      <c r="R132" s="2551"/>
      <c r="S132" s="2074"/>
      <c r="T132" s="2074"/>
      <c r="U132" s="1456"/>
      <c r="V132" s="2074"/>
      <c r="W132" s="2074"/>
      <c r="X132" s="2074"/>
      <c r="Y132" s="2074"/>
      <c r="Z132" s="2074"/>
      <c r="AA132" s="2547"/>
      <c r="AB132" s="1478"/>
      <c r="AC132" s="1478"/>
      <c r="AD132" s="1478"/>
      <c r="AE132" s="1478"/>
    </row>
    <row s="40252" customFormat="1" customHeight="1" ht="11.25">
      <c r="A133" s="1900"/>
      <c r="B133" s="2551"/>
      <c r="C133" s="2551"/>
      <c r="D133" s="1263"/>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252"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252"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252" customFormat="1" customHeight="1" ht="11.25">
      <c r="A136" s="1900"/>
      <c r="B136" s="2551"/>
      <c r="C136" s="2551"/>
      <c r="D136" s="1263"/>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252"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252"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252"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252"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252"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252"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252"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252"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252"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252"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252"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252"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252"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252"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252"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252"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252"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252"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252"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252"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252"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252"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252"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252"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252"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252"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252"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252"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252"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252"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252"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252"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252"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252"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252"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252"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252"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252"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252"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252"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252"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252"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252"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252"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252"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252"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252"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252"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252"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252"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252"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252"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252"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252"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252"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252"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252"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252"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252"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r="199" customHeight="1" ht="11.25">
      <c r="A199" s="1903"/>
      <c r="B199" s="2546"/>
      <c r="D199" s="2546"/>
      <c r="K199" s="2546"/>
      <c r="N199" s="2546"/>
      <c r="O199" s="2546"/>
      <c r="P199" s="2546"/>
      <c r="Q199" s="2546"/>
      <c r="S199" s="2546"/>
      <c r="T199" s="2546"/>
      <c r="U199" s="2546"/>
      <c r="V199" s="2546"/>
      <c r="W199" s="2546"/>
      <c r="X199" s="2546"/>
      <c r="Y199" s="2546"/>
      <c r="Z199" s="2546"/>
      <c r="AA199" s="2546"/>
      <c r="AB199" s="2546"/>
      <c r="AC199" s="2546"/>
      <c r="AD199" s="2546"/>
      <c r="AE199" s="2546"/>
    </row>
    <row customHeight="1" ht="11.25">
      <c r="A200" s="1903"/>
      <c r="B200" s="2546"/>
      <c r="D200" s="2546"/>
      <c r="K200" s="2546"/>
      <c r="N200" s="2546"/>
      <c r="O200" s="2546"/>
      <c r="P200" s="2546"/>
      <c r="Q200" s="2546"/>
      <c r="S200" s="2546"/>
      <c r="T200" s="2546"/>
      <c r="U200" s="2546"/>
      <c r="V200" s="2546"/>
      <c r="W200" s="2546"/>
      <c r="X200" s="2546"/>
      <c r="Y200" s="2546"/>
      <c r="Z200" s="2546"/>
      <c r="AA200" s="2546"/>
      <c r="AB200" s="2546"/>
      <c r="AC200" s="2546"/>
      <c r="AD200" s="2546"/>
      <c r="AE200" s="2546"/>
    </row>
    <row customHeight="1" ht="11.25">
      <c r="A201" s="1903"/>
      <c r="B201" s="2546"/>
      <c r="D201" s="2546"/>
      <c r="K201" s="2546"/>
      <c r="N201" s="2546"/>
      <c r="O201" s="2546"/>
      <c r="P201" s="2546"/>
      <c r="Q201" s="2546"/>
      <c r="S201" s="2546"/>
      <c r="T201" s="2546"/>
      <c r="U201" s="2546"/>
      <c r="V201" s="2546"/>
      <c r="W201" s="2546"/>
      <c r="X201" s="2546"/>
      <c r="Y201" s="2546"/>
      <c r="Z201" s="2546"/>
      <c r="AA201" s="2546"/>
      <c r="AB201" s="2546"/>
      <c r="AC201" s="2546"/>
      <c r="AD201" s="2546"/>
      <c r="AE201" s="2546"/>
    </row>
    <row customHeight="1" ht="11.25">
      <c r="A202" s="1903"/>
      <c r="B202" s="2546"/>
      <c r="D202" s="2546"/>
      <c r="K202" s="2546"/>
      <c r="N202" s="2546"/>
      <c r="O202" s="2546"/>
      <c r="P202" s="2546"/>
      <c r="Q202" s="2546"/>
      <c r="S202" s="2546"/>
      <c r="T202" s="2546"/>
      <c r="U202" s="2546"/>
      <c r="V202" s="2546"/>
      <c r="W202" s="2546"/>
      <c r="X202" s="2546"/>
      <c r="Y202" s="2546"/>
      <c r="Z202" s="2546"/>
      <c r="AA202" s="2546"/>
      <c r="AB202" s="2546"/>
      <c r="AC202" s="2546"/>
      <c r="AD202" s="2546"/>
      <c r="AE202" s="2546"/>
    </row>
    <row customHeight="1" ht="11.25">
      <c r="A203" s="1903"/>
      <c r="B203" s="2546"/>
      <c r="D203" s="2546"/>
      <c r="K203" s="2546"/>
      <c r="N203" s="2546"/>
      <c r="O203" s="2546"/>
      <c r="P203" s="2546"/>
      <c r="Q203" s="2546"/>
      <c r="S203" s="2546"/>
      <c r="T203" s="2546"/>
      <c r="U203" s="2546"/>
      <c r="V203" s="2546"/>
      <c r="W203" s="2546"/>
      <c r="X203" s="2546"/>
      <c r="Y203" s="2546"/>
      <c r="Z203" s="2546"/>
      <c r="AA203" s="2546"/>
      <c r="AB203" s="2546"/>
      <c r="AC203" s="2546"/>
      <c r="AD203" s="2546"/>
      <c r="AE203" s="2546"/>
    </row>
    <row customHeight="1" ht="11.25">
      <c r="A204" s="1903"/>
      <c r="B204" s="2546"/>
      <c r="D204" s="2546"/>
      <c r="K204" s="2546"/>
      <c r="N204" s="2546"/>
      <c r="O204" s="2546"/>
      <c r="P204" s="2546"/>
      <c r="Q204" s="2546"/>
      <c r="S204" s="2546"/>
      <c r="T204" s="2546"/>
      <c r="U204" s="2546"/>
      <c r="V204" s="2546"/>
      <c r="W204" s="2546"/>
      <c r="X204" s="2546"/>
      <c r="Y204" s="2546"/>
      <c r="Z204" s="2546"/>
      <c r="AA204" s="2546"/>
      <c r="AB204" s="2546"/>
      <c r="AC204" s="2546"/>
      <c r="AD204" s="2546"/>
      <c r="AE204" s="2546"/>
    </row>
    <row customHeight="1" ht="11.25">
      <c r="A205" s="1903"/>
      <c r="B205" s="2546"/>
      <c r="D205" s="2546"/>
      <c r="K205" s="2546"/>
      <c r="N205" s="2546"/>
      <c r="O205" s="2546"/>
      <c r="P205" s="2546"/>
      <c r="Q205" s="2546"/>
      <c r="S205" s="2546"/>
      <c r="T205" s="2546"/>
      <c r="U205" s="2546"/>
      <c r="V205" s="2546"/>
      <c r="W205" s="2546"/>
      <c r="X205" s="2546"/>
      <c r="Y205" s="2546"/>
      <c r="Z205" s="2546"/>
      <c r="AA205" s="2546"/>
      <c r="AB205" s="2546"/>
      <c r="AC205" s="2546"/>
      <c r="AD205" s="2546"/>
      <c r="AE205" s="2546"/>
    </row>
    <row customHeight="1" ht="11.25">
      <c r="A206" s="1903"/>
      <c r="B206" s="2546"/>
      <c r="D206" s="2546"/>
      <c r="K206" s="2546"/>
      <c r="N206" s="2546"/>
      <c r="O206" s="2546"/>
      <c r="P206" s="2546"/>
      <c r="Q206" s="2546"/>
      <c r="S206" s="2546"/>
      <c r="T206" s="2546"/>
      <c r="U206" s="2546"/>
      <c r="V206" s="2546"/>
      <c r="W206" s="2546"/>
      <c r="X206" s="2546"/>
      <c r="Y206" s="2546"/>
      <c r="Z206" s="2546"/>
      <c r="AA206" s="2546"/>
      <c r="AB206" s="2546"/>
      <c r="AC206" s="2546"/>
      <c r="AD206" s="2546"/>
      <c r="AE206" s="2546"/>
    </row>
    <row customHeight="1" ht="11.25">
      <c r="A207" s="1903"/>
      <c r="B207" s="2546"/>
      <c r="D207" s="2546"/>
      <c r="K207" s="2546"/>
      <c r="N207" s="2546"/>
      <c r="O207" s="2546"/>
      <c r="P207" s="2546"/>
      <c r="Q207" s="2546"/>
      <c r="S207" s="2546"/>
      <c r="T207" s="2546"/>
      <c r="U207" s="2546"/>
      <c r="V207" s="2546"/>
      <c r="W207" s="2546"/>
      <c r="X207" s="2546"/>
      <c r="Y207" s="2546"/>
      <c r="Z207" s="2546"/>
      <c r="AA207" s="2546"/>
      <c r="AB207" s="2546"/>
      <c r="AC207" s="2546"/>
      <c r="AD207" s="2546"/>
      <c r="AE207" s="2546"/>
    </row>
    <row customHeight="1" ht="11.25">
      <c r="A208" s="1903"/>
      <c r="B208" s="2546"/>
      <c r="D208" s="2546"/>
      <c r="K208" s="2546"/>
      <c r="N208" s="2546"/>
      <c r="O208" s="2546"/>
      <c r="P208" s="2546"/>
      <c r="Q208" s="2546"/>
      <c r="S208" s="2546"/>
      <c r="T208" s="2546"/>
      <c r="U208" s="2546"/>
      <c r="V208" s="2546"/>
      <c r="W208" s="2546"/>
      <c r="X208" s="2546"/>
      <c r="Y208" s="2546"/>
      <c r="Z208" s="2546"/>
      <c r="AA208" s="2546"/>
      <c r="AB208" s="2546"/>
      <c r="AC208" s="2546"/>
      <c r="AD208" s="2546"/>
      <c r="AE208" s="2546"/>
    </row>
    <row customHeight="1" ht="11.25">
      <c r="A209" s="1903"/>
      <c r="B209" s="2546"/>
      <c r="D209" s="2546"/>
      <c r="K209" s="2546"/>
      <c r="N209" s="2546"/>
      <c r="O209" s="2546"/>
      <c r="P209" s="2546"/>
      <c r="Q209" s="2546"/>
      <c r="S209" s="2546"/>
      <c r="T209" s="2546"/>
      <c r="U209" s="2546"/>
      <c r="V209" s="2546"/>
      <c r="W209" s="2546"/>
      <c r="X209" s="2546"/>
      <c r="Y209" s="2546"/>
      <c r="Z209" s="2546"/>
      <c r="AA209" s="2546"/>
      <c r="AB209" s="2546"/>
      <c r="AC209" s="2546"/>
      <c r="AD209" s="2546"/>
      <c r="AE209" s="2546"/>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2E738-8349-F2A2-8757-026BA7605C7A}" mc:Ignorable="x14ac xr xr2 xr3">
  <sheetPr>
    <tabColor theme="9" tint="-0.25"/>
  </sheetPr>
  <dimension ref="A1:W101"/>
  <sheetViews>
    <sheetView topLeftCell="C2" showGridLines="0" zoomScale="90" workbookViewId="0">
      <selection activeCell="A1" sqref="A1"/>
    </sheetView>
  </sheetViews>
  <sheetFormatPr defaultColWidth="10.57421875" customHeight="1" defaultRowHeight="11.25"/>
  <cols>
    <col min="1" max="1" style="40791" width="9.140625" hidden="1" customWidth="1"/>
    <col min="2" max="2" style="40202" width="3.57421875" hidden="1" customWidth="1"/>
    <col min="3" max="3" style="39984" width="3.7109375" customWidth="1"/>
    <col min="4" max="4" style="39984" width="7.7109375" customWidth="1"/>
    <col min="5" max="5" style="39984" width="69.8515625" customWidth="1"/>
    <col min="6" max="6" style="39984" width="11.140625" customWidth="1"/>
    <col min="7" max="8" style="39984" width="44.00390625" hidden="1" customWidth="1"/>
    <col min="9" max="10" style="39538" width="44.00390625" customWidth="1"/>
    <col min="11" max="11" style="39984" width="74.00390625" customWidth="1"/>
    <col min="12" max="12" style="39984" width="3.7109375" customWidth="1"/>
    <col min="13" max="23" style="39984" width="10.57421875"/>
  </cols>
  <sheetData>
    <row s="39539" customFormat="1" customHeight="1" ht="11.25" hidden="1">
      <c r="A1" s="1448"/>
      <c r="B1" s="1423"/>
      <c r="G1" s="1329">
        <v>4</v>
      </c>
      <c r="I1" s="1329">
        <v>4</v>
      </c>
      <c r="K1" s="1329">
        <v>5</v>
      </c>
    </row>
    <row customHeight="1" ht="3"/>
    <row customHeight="1" ht="75">
      <c r="D3" s="30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63"/>
      <c r="F3" s="3064"/>
    </row>
    <row s="39538" customFormat="1" customHeight="1" ht="20.25">
      <c r="A4" s="1864"/>
      <c r="B4" s="1423"/>
      <c r="D4" s="3038" t="str">
        <f>IF(org=0,"Не определено",org)</f>
        <v>ПАО "ТГК-1" филиал "Невский"</v>
      </c>
      <c r="E4" s="3039"/>
      <c r="F4" s="3040"/>
    </row>
    <row customHeight="1" ht="11.25">
      <c r="C5" s="1421"/>
      <c r="D5" s="1500"/>
      <c r="E5" s="1500"/>
      <c r="F5" s="1500"/>
      <c r="G5" s="1500"/>
      <c r="H5" s="1664"/>
      <c r="I5" s="1500"/>
      <c r="J5" s="1664"/>
      <c r="K5" s="1500"/>
    </row>
    <row customHeight="1" ht="0.75">
      <c r="C6" s="1421"/>
      <c r="D6" s="1421"/>
      <c r="E6" s="1434"/>
      <c r="F6" s="1526"/>
      <c r="G6" s="1935"/>
      <c r="H6" s="1935"/>
      <c r="I6" s="1935" t="s">
        <v>110</v>
      </c>
      <c r="J6" s="1935"/>
    </row>
    <row customHeight="1" ht="11.25">
      <c r="D7" s="1623"/>
      <c r="E7" s="3184" t="s">
        <v>98</v>
      </c>
      <c r="F7" s="3185"/>
      <c r="G7" s="3206" t="str">
        <f>IF(G6="","",INDEX(DIFFERENTIATION_UNMERGE_VD,MATCH(G6,DIFFERENTIATION_ID_DIFF,0)))</f>
        <v/>
      </c>
      <c r="H7" s="3207"/>
      <c r="I7" s="3206">
        <f>IF(I6="","",INDEX(DIFFERENTIATION_UNMERGE_VD,MATCH(I6,DIFFERENTIATION_ID_DIFF,0)))</f>
        <v>0</v>
      </c>
      <c r="J7" s="3207"/>
      <c r="K7" s="2999"/>
      <c r="L7" s="1421"/>
    </row>
    <row customHeight="1" ht="11.25">
      <c r="A8" s="1616"/>
      <c r="D8" s="1623"/>
      <c r="E8" s="3184" t="s">
        <v>556</v>
      </c>
      <c r="F8" s="3185"/>
      <c r="G8" s="3206" t="str">
        <f>IF(G6="","",INDEX(DIFFERENTIATION_UNMERGE_AREA,MATCH(G6,DIFFERENTIATION_ID_DIFF,0)))</f>
        <v/>
      </c>
      <c r="H8" s="3207"/>
      <c r="I8" s="3206" t="str">
        <f>IF(I6="","",INDEX(DIFFERENTIATION_UNMERGE_AREA,MATCH(I6,DIFFERENTIATION_ID_DIFF,0)))</f>
        <v/>
      </c>
      <c r="J8" s="3207"/>
      <c r="K8" s="3023"/>
      <c r="L8" s="1421"/>
    </row>
    <row customHeight="1" ht="11.25">
      <c r="A9" s="1616"/>
      <c r="D9" s="1623"/>
      <c r="E9" s="3184" t="s">
        <v>557</v>
      </c>
      <c r="F9" s="3185"/>
      <c r="G9" s="3206" t="str">
        <f>IF(G6="","",INDEX(DIFFERENTIATION_UNMERGE_SYSTEM,MATCH(G6,DIFFERENTIATION_ID_DIFF,0)))</f>
        <v/>
      </c>
      <c r="H9" s="3207"/>
      <c r="I9" s="3206" t="str">
        <f>IF(I6="","",INDEX(DIFFERENTIATION_UNMERGE_SYSTEM,MATCH(I6,DIFFERENTIATION_ID_DIFF,0)))</f>
        <v>без дифференциации</v>
      </c>
      <c r="J9" s="3207"/>
      <c r="K9" s="3023"/>
      <c r="L9" s="1421"/>
    </row>
    <row s="39538" customFormat="1" customHeight="1" ht="11.25">
      <c r="A10" s="1934"/>
      <c r="B10" s="1423"/>
      <c r="D10" s="2927" t="s">
        <v>291</v>
      </c>
      <c r="E10" s="2928"/>
      <c r="F10" s="2928"/>
      <c r="G10" s="2928"/>
      <c r="H10" s="2928"/>
      <c r="I10" s="2928"/>
      <c r="J10" s="2929"/>
      <c r="K10" s="3023"/>
      <c r="L10" s="1421"/>
    </row>
    <row s="40633" customFormat="1" customHeight="1" ht="22.5">
      <c r="A11" s="3205"/>
      <c r="B11" s="3205"/>
      <c r="C11" s="1569"/>
      <c r="D11" s="1615" t="s">
        <v>84</v>
      </c>
      <c r="E11" s="1617" t="s">
        <v>713</v>
      </c>
      <c r="F11" s="1617" t="s">
        <v>558</v>
      </c>
      <c r="G11" s="1377" t="s">
        <v>294</v>
      </c>
      <c r="H11" s="1377" t="s">
        <v>381</v>
      </c>
      <c r="I11" s="1719" t="s">
        <v>294</v>
      </c>
      <c r="J11" s="1720" t="s">
        <v>381</v>
      </c>
      <c r="K11" s="3056"/>
      <c r="L11" s="1570"/>
    </row>
    <row s="40202" customFormat="1" customHeight="1" ht="10.5">
      <c r="A12" s="1865"/>
      <c r="D12" s="1938" t="s">
        <v>102</v>
      </c>
      <c r="E12" s="1938" t="s">
        <v>103</v>
      </c>
      <c r="F12" s="1938" t="s">
        <v>86</v>
      </c>
      <c r="G12" s="1939" t="str">
        <f>G1&amp;".1"</f>
        <v>4.1</v>
      </c>
      <c r="H12" s="1939" t="str">
        <f>G1&amp;".2"</f>
        <v>4.2</v>
      </c>
      <c r="I12" s="1939" t="str">
        <f>I1&amp;".1"</f>
        <v>4.1</v>
      </c>
      <c r="J12" s="1939" t="str">
        <f>I1&amp;".2"</f>
        <v>4.2</v>
      </c>
      <c r="K12" s="1939"/>
    </row>
    <row customHeight="1" ht="22.5">
      <c r="A13" s="3204" t="s">
        <v>714</v>
      </c>
      <c r="D13" s="1866" t="s">
        <v>102</v>
      </c>
      <c r="E13" s="1191" t="s">
        <v>715</v>
      </c>
      <c r="F13" s="1572" t="s">
        <v>716</v>
      </c>
      <c r="G13" s="1469"/>
      <c r="H13" s="1573"/>
      <c r="I13" s="1469"/>
      <c r="J13" s="1573"/>
      <c r="K13" s="1201" t="s">
        <v>717</v>
      </c>
      <c r="L13" s="1632"/>
    </row>
    <row customHeight="1" ht="22.5">
      <c r="A14" s="3204"/>
      <c r="D14" s="1451" t="s">
        <v>103</v>
      </c>
      <c r="E14" s="1191" t="s">
        <v>718</v>
      </c>
      <c r="F14" s="1572" t="s">
        <v>719</v>
      </c>
      <c r="G14" s="1469"/>
      <c r="H14" s="1574"/>
      <c r="I14" s="1469"/>
      <c r="J14" s="1574"/>
      <c r="K14" s="1201" t="s">
        <v>720</v>
      </c>
      <c r="L14" s="1632"/>
    </row>
    <row s="39538" customFormat="1" customHeight="1" ht="78.75">
      <c r="A15" s="3204"/>
      <c r="B15" s="1423"/>
      <c r="D15" s="1866" t="s">
        <v>86</v>
      </c>
      <c r="E15" s="1619" t="s">
        <v>721</v>
      </c>
      <c r="F15" s="1863" t="s">
        <v>297</v>
      </c>
      <c r="G15" s="1863" t="s">
        <v>297</v>
      </c>
      <c r="H15" s="1019"/>
      <c r="I15" s="1863" t="s">
        <v>297</v>
      </c>
      <c r="J15" s="1019"/>
      <c r="K15" s="1201" t="s">
        <v>722</v>
      </c>
      <c r="L15" s="1632"/>
    </row>
    <row s="39538" customFormat="1" customHeight="1" ht="22.5">
      <c r="A16" s="3204"/>
      <c r="B16" s="1423"/>
      <c r="D16" s="1866" t="s">
        <v>315</v>
      </c>
      <c r="E16" s="1867" t="s">
        <v>723</v>
      </c>
      <c r="F16" s="1863" t="s">
        <v>724</v>
      </c>
      <c r="G16" s="1729"/>
      <c r="H16" s="1019"/>
      <c r="I16" s="1729"/>
      <c r="J16" s="1019"/>
      <c r="K16" s="1201"/>
      <c r="L16" s="1632"/>
    </row>
    <row s="39538" customFormat="1" customHeight="1" ht="22.5">
      <c r="A17" s="3204"/>
      <c r="B17" s="1423"/>
      <c r="D17" s="1866" t="s">
        <v>323</v>
      </c>
      <c r="E17" s="1867" t="s">
        <v>725</v>
      </c>
      <c r="F17" s="1863" t="s">
        <v>726</v>
      </c>
      <c r="G17" s="1729"/>
      <c r="H17" s="1019"/>
      <c r="I17" s="1729"/>
      <c r="J17" s="1019"/>
      <c r="K17" s="1201"/>
      <c r="L17" s="1632"/>
    </row>
    <row s="39538" customFormat="1" customHeight="1" ht="33.75">
      <c r="A18" s="3204"/>
      <c r="B18" s="1423"/>
      <c r="D18" s="1866" t="s">
        <v>325</v>
      </c>
      <c r="E18" s="1867" t="s">
        <v>727</v>
      </c>
      <c r="F18" s="1863" t="s">
        <v>563</v>
      </c>
      <c r="G18" s="1592"/>
      <c r="H18" s="1019"/>
      <c r="I18" s="1592"/>
      <c r="J18" s="1019"/>
      <c r="K18" s="1201"/>
      <c r="L18" s="1632"/>
    </row>
    <row customHeight="1" ht="101.25">
      <c r="A19" s="3204"/>
      <c r="D19" s="1866" t="s">
        <v>87</v>
      </c>
      <c r="E19" s="1191" t="s">
        <v>728</v>
      </c>
      <c r="F19" s="1572" t="s">
        <v>538</v>
      </c>
      <c r="G19" s="1575"/>
      <c r="H19" s="1574"/>
      <c r="I19" s="1868"/>
      <c r="J19" s="1574"/>
      <c r="K19" s="1201" t="s">
        <v>729</v>
      </c>
      <c r="L19" s="1632"/>
    </row>
    <row s="39538" customFormat="1" customHeight="1" ht="18.75">
      <c r="A20" s="3204"/>
      <c r="C20" s="1869"/>
      <c r="D20" s="1866" t="s">
        <v>659</v>
      </c>
      <c r="E20" s="1867" t="s">
        <v>730</v>
      </c>
      <c r="F20" s="1863" t="s">
        <v>297</v>
      </c>
      <c r="G20" s="1863" t="s">
        <v>297</v>
      </c>
      <c r="H20" s="1862" t="s">
        <v>297</v>
      </c>
      <c r="I20" s="1863" t="s">
        <v>297</v>
      </c>
      <c r="J20" s="1862" t="s">
        <v>297</v>
      </c>
      <c r="K20" s="1861"/>
      <c r="L20" s="1632"/>
      <c r="W20" s="1587"/>
    </row>
    <row s="39538" customFormat="1" customHeight="1" ht="33.75">
      <c r="A21" s="3204"/>
      <c r="C21" s="1869"/>
      <c r="D21" s="1866" t="s">
        <v>662</v>
      </c>
      <c r="E21" s="1488" t="s">
        <v>731</v>
      </c>
      <c r="F21" s="1863" t="s">
        <v>732</v>
      </c>
      <c r="G21" s="1855"/>
      <c r="H21" s="1019"/>
      <c r="I21" s="1855"/>
      <c r="J21" s="1019"/>
      <c r="K21" s="1861"/>
      <c r="L21" s="1632"/>
      <c r="W21" s="1587"/>
    </row>
    <row s="39538" customFormat="1" customHeight="1" ht="33.75">
      <c r="A22" s="3204"/>
      <c r="C22" s="1869"/>
      <c r="D22" s="1866" t="s">
        <v>665</v>
      </c>
      <c r="E22" s="1488" t="s">
        <v>733</v>
      </c>
      <c r="F22" s="1863" t="s">
        <v>734</v>
      </c>
      <c r="G22" s="1855"/>
      <c r="H22" s="1019"/>
      <c r="I22" s="1855"/>
      <c r="J22" s="1019"/>
      <c r="K22" s="1861"/>
      <c r="L22" s="1632"/>
      <c r="W22" s="1587"/>
    </row>
    <row s="39538" customFormat="1" customHeight="1" ht="22.5">
      <c r="A23" s="3204"/>
      <c r="C23" s="1869"/>
      <c r="D23" s="1866" t="s">
        <v>702</v>
      </c>
      <c r="E23" s="1867" t="s">
        <v>735</v>
      </c>
      <c r="F23" s="1863" t="s">
        <v>297</v>
      </c>
      <c r="G23" s="1863" t="s">
        <v>297</v>
      </c>
      <c r="H23" s="1862" t="s">
        <v>297</v>
      </c>
      <c r="I23" s="1863" t="s">
        <v>297</v>
      </c>
      <c r="J23" s="1862" t="s">
        <v>297</v>
      </c>
      <c r="K23" s="1861"/>
      <c r="L23" s="1632"/>
      <c r="W23" s="1587"/>
    </row>
    <row s="39538" customFormat="1" customHeight="1" ht="22.5">
      <c r="A24" s="3204"/>
      <c r="C24" s="1869"/>
      <c r="D24" s="1866" t="s">
        <v>736</v>
      </c>
      <c r="E24" s="1488" t="s">
        <v>737</v>
      </c>
      <c r="F24" s="1863" t="s">
        <v>738</v>
      </c>
      <c r="G24" s="1855"/>
      <c r="H24" s="1598"/>
      <c r="I24" s="1855"/>
      <c r="J24" s="1598"/>
      <c r="K24" s="1861"/>
      <c r="L24" s="1632"/>
      <c r="W24" s="1587"/>
    </row>
    <row s="39538" customFormat="1" customHeight="1" ht="22.5">
      <c r="A25" s="3204"/>
      <c r="C25" s="1869"/>
      <c r="D25" s="1866" t="s">
        <v>739</v>
      </c>
      <c r="E25" s="1488" t="s">
        <v>740</v>
      </c>
      <c r="F25" s="1863" t="s">
        <v>297</v>
      </c>
      <c r="G25" s="1863" t="s">
        <v>297</v>
      </c>
      <c r="H25" s="1862" t="s">
        <v>297</v>
      </c>
      <c r="I25" s="1863" t="s">
        <v>297</v>
      </c>
      <c r="J25" s="1862" t="s">
        <v>297</v>
      </c>
      <c r="K25" s="1861"/>
      <c r="L25" s="1632"/>
      <c r="W25" s="1587"/>
    </row>
    <row s="39538" customFormat="1" customHeight="1" ht="18.75">
      <c r="A26" s="3204"/>
      <c r="C26" s="1869"/>
      <c r="D26" s="1866" t="s">
        <v>741</v>
      </c>
      <c r="E26" s="1465" t="s">
        <v>742</v>
      </c>
      <c r="F26" s="1863" t="s">
        <v>743</v>
      </c>
      <c r="G26" s="1592"/>
      <c r="H26" s="1598"/>
      <c r="I26" s="1592"/>
      <c r="J26" s="1598"/>
      <c r="K26" s="1861"/>
      <c r="L26" s="1632"/>
      <c r="W26" s="1587"/>
    </row>
    <row s="39538" customFormat="1" customHeight="1" ht="18.75">
      <c r="A27" s="3204"/>
      <c r="C27" s="1869"/>
      <c r="D27" s="1866" t="s">
        <v>744</v>
      </c>
      <c r="E27" s="1465" t="s">
        <v>745</v>
      </c>
      <c r="F27" s="1863" t="s">
        <v>746</v>
      </c>
      <c r="G27" s="1592"/>
      <c r="H27" s="1598"/>
      <c r="I27" s="1592"/>
      <c r="J27" s="1598"/>
      <c r="K27" s="1861"/>
      <c r="L27" s="1632"/>
      <c r="W27" s="1587"/>
    </row>
    <row s="39538" customFormat="1" customHeight="1" ht="18.75">
      <c r="A28" s="3204"/>
      <c r="C28" s="1869"/>
      <c r="D28" s="1866" t="s">
        <v>747</v>
      </c>
      <c r="E28" s="1488" t="s">
        <v>748</v>
      </c>
      <c r="F28" s="1863" t="s">
        <v>297</v>
      </c>
      <c r="G28" s="1863" t="s">
        <v>297</v>
      </c>
      <c r="H28" s="1862" t="s">
        <v>297</v>
      </c>
      <c r="I28" s="1863" t="s">
        <v>297</v>
      </c>
      <c r="J28" s="1862" t="s">
        <v>297</v>
      </c>
      <c r="K28" s="1861"/>
      <c r="L28" s="1632"/>
      <c r="W28" s="1587"/>
    </row>
    <row s="39538" customFormat="1" customHeight="1" ht="18.75">
      <c r="A29" s="3204"/>
      <c r="C29" s="1869"/>
      <c r="D29" s="1866" t="s">
        <v>749</v>
      </c>
      <c r="E29" s="1465" t="s">
        <v>742</v>
      </c>
      <c r="F29" s="1863" t="s">
        <v>750</v>
      </c>
      <c r="G29" s="1592"/>
      <c r="H29" s="1598"/>
      <c r="I29" s="1592"/>
      <c r="J29" s="1598"/>
      <c r="K29" s="1861"/>
      <c r="L29" s="1632"/>
      <c r="W29" s="1587"/>
    </row>
    <row s="39538" customFormat="1" customHeight="1" ht="18.75">
      <c r="A30" s="3204"/>
      <c r="C30" s="1869"/>
      <c r="D30" s="1866" t="s">
        <v>751</v>
      </c>
      <c r="E30" s="1465" t="s">
        <v>752</v>
      </c>
      <c r="F30" s="1863" t="s">
        <v>753</v>
      </c>
      <c r="G30" s="1592"/>
      <c r="H30" s="1598"/>
      <c r="I30" s="1592"/>
      <c r="J30" s="1598"/>
      <c r="K30" s="1861"/>
      <c r="L30" s="1632"/>
      <c r="W30" s="1587"/>
    </row>
    <row customHeight="1" ht="126.75">
      <c r="A31" s="3204"/>
      <c r="D31" s="1866" t="s">
        <v>104</v>
      </c>
      <c r="E31" s="1191" t="s">
        <v>754</v>
      </c>
      <c r="F31" s="1572" t="s">
        <v>550</v>
      </c>
      <c r="G31" s="1469"/>
      <c r="H31" s="1574"/>
      <c r="I31" s="1469"/>
      <c r="J31" s="1574"/>
      <c r="K31" s="1201" t="s">
        <v>755</v>
      </c>
      <c r="L31" s="1632"/>
    </row>
    <row customHeight="1" ht="56.25">
      <c r="A32" s="3204"/>
      <c r="D32" s="1866" t="s">
        <v>88</v>
      </c>
      <c r="E32" s="1191" t="s">
        <v>756</v>
      </c>
      <c r="F32" s="1451" t="s">
        <v>726</v>
      </c>
      <c r="G32" s="1469"/>
      <c r="H32" s="1574"/>
      <c r="I32" s="1469"/>
      <c r="J32" s="1574"/>
      <c r="K32" s="1201" t="s">
        <v>757</v>
      </c>
      <c r="L32" s="1632"/>
    </row>
    <row customHeight="1" ht="11.25">
      <c r="A33" s="3204"/>
      <c r="E33" s="1576"/>
      <c r="F33" s="1094"/>
      <c r="G33" s="1094"/>
      <c r="H33" s="1094"/>
      <c r="I33" s="1094"/>
      <c r="J33" s="1094"/>
      <c r="K33" s="1094"/>
    </row>
    <row customHeight="1" ht="12.75">
      <c r="A34" s="3204"/>
      <c r="D34" s="977">
        <v>1</v>
      </c>
      <c r="E34" s="1247" t="s">
        <v>758</v>
      </c>
    </row>
    <row customHeight="1" ht="11.25">
      <c r="A35" s="3204"/>
      <c r="D35" s="1281"/>
      <c r="E35" s="1247" t="s">
        <v>759</v>
      </c>
    </row>
    <row s="40633" customFormat="1" customHeight="1" ht="11.25">
      <c r="A36" s="1946"/>
      <c r="B36" s="1430"/>
      <c r="D36" s="1947"/>
      <c r="E36" s="1948"/>
    </row>
    <row s="39538" customFormat="1" customHeight="1" ht="22.5" hidden="1">
      <c r="A37" s="3204" t="s">
        <v>760</v>
      </c>
      <c r="B37" s="1423"/>
      <c r="D37" s="1866">
        <v>1</v>
      </c>
      <c r="E37" s="1619" t="s">
        <v>761</v>
      </c>
      <c r="F37" s="1572" t="s">
        <v>716</v>
      </c>
      <c r="G37" s="1469"/>
      <c r="H37" s="1431"/>
      <c r="I37" s="1469"/>
      <c r="J37" s="1431"/>
      <c r="K37" s="1201" t="s">
        <v>762</v>
      </c>
    </row>
    <row s="39538" customFormat="1" customHeight="1" ht="22.5" hidden="1">
      <c r="A38" s="3204"/>
      <c r="B38" s="1423"/>
      <c r="D38" s="1581" t="s">
        <v>103</v>
      </c>
      <c r="E38" s="1945" t="s">
        <v>763</v>
      </c>
      <c r="F38" s="1949" t="s">
        <v>538</v>
      </c>
      <c r="G38" s="1949" t="s">
        <v>538</v>
      </c>
      <c r="H38" s="1943"/>
      <c r="I38" s="1949" t="s">
        <v>538</v>
      </c>
      <c r="J38" s="1943"/>
      <c r="K38" s="1944"/>
    </row>
    <row s="39538" customFormat="1" customHeight="1" ht="33.75" hidden="1">
      <c r="A39" s="3204"/>
      <c r="B39" s="1423"/>
      <c r="D39" s="1577" t="s">
        <v>617</v>
      </c>
      <c r="E39" s="1635" t="s">
        <v>764</v>
      </c>
      <c r="F39" s="1572" t="s">
        <v>765</v>
      </c>
      <c r="G39" s="1580"/>
      <c r="H39" s="1936"/>
      <c r="I39" s="1580"/>
      <c r="J39" s="1936"/>
      <c r="K39" s="1201" t="s">
        <v>766</v>
      </c>
    </row>
    <row s="39538" customFormat="1" customHeight="1" ht="33.75" hidden="1">
      <c r="A40" s="3204"/>
      <c r="B40" s="1423"/>
      <c r="D40" s="1577" t="s">
        <v>620</v>
      </c>
      <c r="E40" s="1635" t="s">
        <v>767</v>
      </c>
      <c r="F40" s="1940" t="s">
        <v>768</v>
      </c>
      <c r="G40" s="1653"/>
      <c r="H40" s="1936"/>
      <c r="I40" s="1653"/>
      <c r="J40" s="1936"/>
      <c r="K40" s="1201" t="s">
        <v>769</v>
      </c>
    </row>
    <row s="39538" customFormat="1" customHeight="1" ht="22.5" hidden="1">
      <c r="A41" s="3204"/>
      <c r="B41" s="1423"/>
      <c r="D41" s="1577" t="s">
        <v>86</v>
      </c>
      <c r="E41" s="1634" t="s">
        <v>770</v>
      </c>
      <c r="F41" s="1572" t="s">
        <v>538</v>
      </c>
      <c r="G41" s="1572" t="s">
        <v>538</v>
      </c>
      <c r="H41" s="1937"/>
      <c r="I41" s="1572" t="s">
        <v>538</v>
      </c>
      <c r="J41" s="1937"/>
      <c r="K41" s="1214"/>
    </row>
    <row s="39538" customFormat="1" customHeight="1" ht="45" hidden="1">
      <c r="A42" s="3204"/>
      <c r="B42" s="1423"/>
      <c r="D42" s="1577" t="s">
        <v>315</v>
      </c>
      <c r="E42" s="1635" t="s">
        <v>771</v>
      </c>
      <c r="F42" s="1572" t="s">
        <v>550</v>
      </c>
      <c r="G42" s="1469"/>
      <c r="H42" s="1937"/>
      <c r="I42" s="1469"/>
      <c r="J42" s="1937"/>
      <c r="K42" s="1214" t="s">
        <v>772</v>
      </c>
    </row>
    <row s="39538" customFormat="1" customHeight="1" ht="45" hidden="1">
      <c r="A43" s="3204"/>
      <c r="B43" s="1423"/>
      <c r="D43" s="1577" t="s">
        <v>323</v>
      </c>
      <c r="E43" s="1579" t="s">
        <v>773</v>
      </c>
      <c r="F43" s="1941" t="s">
        <v>550</v>
      </c>
      <c r="G43" s="1654"/>
      <c r="H43" s="1936"/>
      <c r="I43" s="1654"/>
      <c r="J43" s="1936"/>
      <c r="K43" s="1214" t="s">
        <v>774</v>
      </c>
    </row>
    <row s="39538" customFormat="1" customHeight="1" ht="11.25" hidden="1">
      <c r="A44" s="3204"/>
      <c r="B44" s="1423"/>
      <c r="D44" s="1577" t="s">
        <v>87</v>
      </c>
      <c r="E44" s="1578" t="s">
        <v>775</v>
      </c>
      <c r="F44" s="1572" t="s">
        <v>765</v>
      </c>
      <c r="G44" s="1580"/>
      <c r="H44" s="1936"/>
      <c r="I44" s="1580"/>
      <c r="J44" s="1936"/>
      <c r="K44" s="1201"/>
    </row>
    <row s="39538" customFormat="1" customHeight="1" ht="11.25" hidden="1">
      <c r="A45" s="3204"/>
      <c r="B45" s="1423"/>
      <c r="D45" s="1577" t="s">
        <v>659</v>
      </c>
      <c r="E45" s="1579" t="s">
        <v>776</v>
      </c>
      <c r="F45" s="1572" t="s">
        <v>765</v>
      </c>
      <c r="G45" s="1580"/>
      <c r="H45" s="1936"/>
      <c r="I45" s="1580"/>
      <c r="J45" s="1936"/>
      <c r="K45" s="1201"/>
    </row>
    <row s="39538" customFormat="1" customHeight="1" ht="11.25" hidden="1">
      <c r="A46" s="3204"/>
      <c r="B46" s="1423"/>
      <c r="D46" s="1577" t="s">
        <v>702</v>
      </c>
      <c r="E46" s="1579" t="s">
        <v>777</v>
      </c>
      <c r="F46" s="1572" t="s">
        <v>765</v>
      </c>
      <c r="G46" s="1580"/>
      <c r="H46" s="1936"/>
      <c r="I46" s="1580"/>
      <c r="J46" s="1936"/>
      <c r="K46" s="1201"/>
    </row>
    <row s="39538" customFormat="1" customHeight="1" ht="11.25" hidden="1">
      <c r="A47" s="3204"/>
      <c r="B47" s="1423"/>
      <c r="D47" s="1577" t="s">
        <v>705</v>
      </c>
      <c r="E47" s="1579" t="s">
        <v>778</v>
      </c>
      <c r="F47" s="1572" t="s">
        <v>765</v>
      </c>
      <c r="G47" s="1580"/>
      <c r="H47" s="1936"/>
      <c r="I47" s="1580"/>
      <c r="J47" s="1936"/>
      <c r="K47" s="1201"/>
    </row>
    <row s="39538" customFormat="1" customHeight="1" ht="11.25" hidden="1">
      <c r="A48" s="3204"/>
      <c r="B48" s="1423"/>
      <c r="D48" s="1577" t="s">
        <v>779</v>
      </c>
      <c r="E48" s="1583" t="s">
        <v>780</v>
      </c>
      <c r="F48" s="1572" t="s">
        <v>765</v>
      </c>
      <c r="G48" s="1580"/>
      <c r="H48" s="1936"/>
      <c r="I48" s="1580"/>
      <c r="J48" s="1936"/>
      <c r="K48" s="1201"/>
    </row>
    <row s="39538" customFormat="1" customHeight="1" ht="11.25" hidden="1">
      <c r="A49" s="3204"/>
      <c r="B49" s="1423"/>
      <c r="D49" s="1577" t="s">
        <v>781</v>
      </c>
      <c r="E49" s="1583" t="s">
        <v>782</v>
      </c>
      <c r="F49" s="1572" t="s">
        <v>765</v>
      </c>
      <c r="G49" s="1580"/>
      <c r="H49" s="1936"/>
      <c r="I49" s="1580"/>
      <c r="J49" s="1936"/>
      <c r="K49" s="1201"/>
    </row>
    <row s="39538" customFormat="1" customHeight="1" ht="11.25" hidden="1">
      <c r="A50" s="3204"/>
      <c r="B50" s="1423"/>
      <c r="D50" s="1577" t="s">
        <v>783</v>
      </c>
      <c r="E50" s="1579" t="s">
        <v>784</v>
      </c>
      <c r="F50" s="1572" t="s">
        <v>765</v>
      </c>
      <c r="G50" s="1580"/>
      <c r="H50" s="1936"/>
      <c r="I50" s="1580"/>
      <c r="J50" s="1936"/>
      <c r="K50" s="1201"/>
    </row>
    <row s="39538" customFormat="1" customHeight="1" ht="11.25" hidden="1">
      <c r="A51" s="3204"/>
      <c r="B51" s="1423"/>
      <c r="D51" s="1577" t="s">
        <v>785</v>
      </c>
      <c r="E51" s="1579" t="s">
        <v>786</v>
      </c>
      <c r="F51" s="1572" t="s">
        <v>765</v>
      </c>
      <c r="G51" s="1580"/>
      <c r="H51" s="1936"/>
      <c r="I51" s="1580"/>
      <c r="J51" s="1936"/>
      <c r="K51" s="1201"/>
    </row>
    <row s="39538" customFormat="1" customHeight="1" ht="45" hidden="1">
      <c r="A52" s="3204"/>
      <c r="B52" s="1423"/>
      <c r="D52" s="1577" t="s">
        <v>104</v>
      </c>
      <c r="E52" s="1578" t="s">
        <v>787</v>
      </c>
      <c r="F52" s="1572" t="s">
        <v>765</v>
      </c>
      <c r="G52" s="1580"/>
      <c r="H52" s="1936"/>
      <c r="I52" s="1580"/>
      <c r="J52" s="1936"/>
      <c r="K52" s="1201"/>
    </row>
    <row s="39538" customFormat="1" customHeight="1" ht="11.25" hidden="1">
      <c r="A53" s="3204"/>
      <c r="B53" s="1423"/>
      <c r="D53" s="1577" t="s">
        <v>304</v>
      </c>
      <c r="E53" s="1579" t="s">
        <v>776</v>
      </c>
      <c r="F53" s="1572" t="s">
        <v>765</v>
      </c>
      <c r="G53" s="1580"/>
      <c r="H53" s="1936"/>
      <c r="I53" s="1580"/>
      <c r="J53" s="1936"/>
      <c r="K53" s="1201"/>
    </row>
    <row s="39538" customFormat="1" customHeight="1" ht="11.25" hidden="1">
      <c r="A54" s="3204"/>
      <c r="B54" s="1423"/>
      <c r="D54" s="1577" t="s">
        <v>788</v>
      </c>
      <c r="E54" s="1579" t="s">
        <v>777</v>
      </c>
      <c r="F54" s="1572" t="s">
        <v>765</v>
      </c>
      <c r="G54" s="1580"/>
      <c r="H54" s="1936"/>
      <c r="I54" s="1580"/>
      <c r="J54" s="1936"/>
      <c r="K54" s="1201"/>
    </row>
    <row s="39538" customFormat="1" customHeight="1" ht="11.25" hidden="1">
      <c r="A55" s="3204"/>
      <c r="B55" s="1423"/>
      <c r="D55" s="1577" t="s">
        <v>789</v>
      </c>
      <c r="E55" s="1579" t="s">
        <v>778</v>
      </c>
      <c r="F55" s="1572" t="s">
        <v>765</v>
      </c>
      <c r="G55" s="1580"/>
      <c r="H55" s="1936"/>
      <c r="I55" s="1580"/>
      <c r="J55" s="1936"/>
      <c r="K55" s="1201"/>
    </row>
    <row s="39538" customFormat="1" customHeight="1" ht="11.25" hidden="1">
      <c r="A56" s="3204"/>
      <c r="B56" s="1423"/>
      <c r="D56" s="1577" t="s">
        <v>790</v>
      </c>
      <c r="E56" s="1583" t="s">
        <v>780</v>
      </c>
      <c r="F56" s="1572" t="s">
        <v>765</v>
      </c>
      <c r="G56" s="1580"/>
      <c r="H56" s="1936"/>
      <c r="I56" s="1580"/>
      <c r="J56" s="1936"/>
      <c r="K56" s="1201"/>
    </row>
    <row s="39538" customFormat="1" customHeight="1" ht="11.25" hidden="1">
      <c r="A57" s="3204"/>
      <c r="B57" s="1423"/>
      <c r="D57" s="1577" t="s">
        <v>791</v>
      </c>
      <c r="E57" s="1583" t="s">
        <v>782</v>
      </c>
      <c r="F57" s="1572" t="s">
        <v>765</v>
      </c>
      <c r="G57" s="1580"/>
      <c r="H57" s="1936"/>
      <c r="I57" s="1580"/>
      <c r="J57" s="1936"/>
      <c r="K57" s="1201"/>
    </row>
    <row s="39538" customFormat="1" customHeight="1" ht="11.25" hidden="1">
      <c r="A58" s="3204"/>
      <c r="B58" s="1423"/>
      <c r="D58" s="1577" t="s">
        <v>792</v>
      </c>
      <c r="E58" s="1579" t="s">
        <v>784</v>
      </c>
      <c r="F58" s="1572" t="s">
        <v>765</v>
      </c>
      <c r="G58" s="1580"/>
      <c r="H58" s="1936"/>
      <c r="I58" s="1580"/>
      <c r="J58" s="1936"/>
      <c r="K58" s="1201"/>
    </row>
    <row s="39538" customFormat="1" customHeight="1" ht="11.25" hidden="1">
      <c r="A59" s="3204"/>
      <c r="B59" s="1423"/>
      <c r="D59" s="1577" t="s">
        <v>793</v>
      </c>
      <c r="E59" s="1579" t="s">
        <v>786</v>
      </c>
      <c r="F59" s="1572" t="s">
        <v>765</v>
      </c>
      <c r="G59" s="1580"/>
      <c r="H59" s="1936"/>
      <c r="I59" s="1580"/>
      <c r="J59" s="1936"/>
      <c r="K59" s="1201"/>
    </row>
    <row s="39538" customFormat="1" customHeight="1" ht="33.75" hidden="1">
      <c r="A60" s="3204"/>
      <c r="B60" s="1423"/>
      <c r="D60" s="1577" t="s">
        <v>88</v>
      </c>
      <c r="E60" s="1578" t="s">
        <v>794</v>
      </c>
      <c r="F60" s="1633" t="s">
        <v>550</v>
      </c>
      <c r="G60" s="1654"/>
      <c r="H60" s="1936"/>
      <c r="I60" s="1654"/>
      <c r="J60" s="1936"/>
      <c r="K60" s="1214" t="s">
        <v>795</v>
      </c>
    </row>
    <row s="39538" customFormat="1" customHeight="1" ht="33.75" hidden="1">
      <c r="A61" s="3204"/>
      <c r="B61" s="1423"/>
      <c r="D61" s="1577" t="s">
        <v>89</v>
      </c>
      <c r="E61" s="1578" t="s">
        <v>796</v>
      </c>
      <c r="F61" s="1638" t="s">
        <v>726</v>
      </c>
      <c r="G61" s="1580"/>
      <c r="H61" s="1936"/>
      <c r="I61" s="1580"/>
      <c r="J61" s="1936"/>
      <c r="K61" s="1201"/>
    </row>
    <row s="39538" customFormat="1" customHeight="1" ht="22.5" hidden="1">
      <c r="A62" s="3204"/>
      <c r="B62" s="1423" t="s">
        <v>580</v>
      </c>
      <c r="D62" s="1577" t="s">
        <v>105</v>
      </c>
      <c r="E62" s="1578" t="s">
        <v>797</v>
      </c>
      <c r="F62" s="1638" t="s">
        <v>297</v>
      </c>
      <c r="G62" s="1294"/>
      <c r="H62" s="1936"/>
      <c r="I62" s="1294"/>
      <c r="J62" s="1936"/>
      <c r="K62" s="1201" t="s">
        <v>798</v>
      </c>
    </row>
    <row s="39538" customFormat="1" customHeight="1" ht="45" hidden="1">
      <c r="A63" s="3204"/>
      <c r="B63" s="1423" t="s">
        <v>580</v>
      </c>
      <c r="D63" s="1577" t="s">
        <v>799</v>
      </c>
      <c r="E63" s="1579" t="s">
        <v>800</v>
      </c>
      <c r="F63" s="1633" t="s">
        <v>297</v>
      </c>
      <c r="G63" s="1294"/>
      <c r="H63" s="1936"/>
      <c r="I63" s="1294"/>
      <c r="J63" s="1936"/>
      <c r="K63" s="1201" t="s">
        <v>798</v>
      </c>
    </row>
    <row s="40633" customFormat="1" customHeight="1" ht="11.25">
      <c r="A64" s="1946"/>
      <c r="B64" s="1430"/>
      <c r="D64" s="1947"/>
      <c r="E64" s="1948"/>
    </row>
    <row s="39538" customFormat="1" customHeight="1" ht="22.5" hidden="1">
      <c r="A65" s="3204" t="s">
        <v>801</v>
      </c>
      <c r="B65" s="1423"/>
      <c r="D65" s="1577">
        <v>1</v>
      </c>
      <c r="E65" s="1656" t="s">
        <v>802</v>
      </c>
      <c r="F65" s="1652" t="s">
        <v>716</v>
      </c>
      <c r="G65" s="1653"/>
      <c r="H65" s="1942"/>
      <c r="I65" s="1653"/>
      <c r="J65" s="1942"/>
      <c r="K65" s="1213" t="s">
        <v>803</v>
      </c>
    </row>
    <row s="39538" customFormat="1" customHeight="1" ht="56.25" hidden="1">
      <c r="A66" s="3204"/>
      <c r="B66" s="1423"/>
      <c r="D66" s="1655" t="s">
        <v>103</v>
      </c>
      <c r="E66" s="1619" t="s">
        <v>804</v>
      </c>
      <c r="F66" s="1572" t="s">
        <v>538</v>
      </c>
      <c r="G66" s="1572" t="s">
        <v>538</v>
      </c>
      <c r="H66" s="1431"/>
      <c r="I66" s="1572" t="s">
        <v>538</v>
      </c>
      <c r="J66" s="1431"/>
      <c r="K66" s="1201"/>
    </row>
    <row s="39538" customFormat="1" customHeight="1" ht="33.75" hidden="1">
      <c r="A67" s="3204"/>
      <c r="B67" s="1423"/>
      <c r="D67" s="1655" t="s">
        <v>614</v>
      </c>
      <c r="E67" s="1867" t="s">
        <v>805</v>
      </c>
      <c r="F67" s="1572" t="s">
        <v>768</v>
      </c>
      <c r="G67" s="1639"/>
      <c r="H67" s="1431"/>
      <c r="I67" s="1639"/>
      <c r="J67" s="1431"/>
      <c r="K67" s="1201"/>
    </row>
    <row s="39538" customFormat="1" customHeight="1" ht="22.5" hidden="1">
      <c r="A68" s="3204"/>
      <c r="B68" s="1423"/>
      <c r="D68" s="1655" t="s">
        <v>298</v>
      </c>
      <c r="E68" s="1867" t="s">
        <v>806</v>
      </c>
      <c r="F68" s="1572" t="s">
        <v>768</v>
      </c>
      <c r="G68" s="1639"/>
      <c r="H68" s="1431"/>
      <c r="I68" s="1639"/>
      <c r="J68" s="1431"/>
      <c r="K68" s="1201"/>
    </row>
    <row s="39538" customFormat="1" customHeight="1" ht="22.5" hidden="1">
      <c r="A69" s="3204"/>
      <c r="B69" s="1423"/>
      <c r="D69" s="1655" t="s">
        <v>301</v>
      </c>
      <c r="E69" s="1867" t="s">
        <v>807</v>
      </c>
      <c r="F69" s="1633" t="s">
        <v>550</v>
      </c>
      <c r="G69" s="1654"/>
      <c r="H69" s="1431"/>
      <c r="I69" s="1654"/>
      <c r="J69" s="1431"/>
      <c r="K69" s="1201"/>
    </row>
    <row s="39538" customFormat="1" customHeight="1" ht="22.5" hidden="1">
      <c r="A70" s="3204"/>
      <c r="B70" s="1423"/>
      <c r="D70" s="1655" t="s">
        <v>634</v>
      </c>
      <c r="E70" s="1867" t="s">
        <v>808</v>
      </c>
      <c r="F70" s="1633" t="s">
        <v>550</v>
      </c>
      <c r="G70" s="1654"/>
      <c r="H70" s="1431"/>
      <c r="I70" s="1654"/>
      <c r="J70" s="1431"/>
      <c r="K70" s="1201"/>
    </row>
    <row s="39538" customFormat="1" customHeight="1" ht="22.5" hidden="1">
      <c r="A71" s="3204"/>
      <c r="B71" s="1423"/>
      <c r="D71" s="1577" t="s">
        <v>86</v>
      </c>
      <c r="E71" s="1578" t="s">
        <v>809</v>
      </c>
      <c r="F71" s="1572" t="s">
        <v>768</v>
      </c>
      <c r="G71" s="1469"/>
      <c r="H71" s="1943"/>
      <c r="I71" s="1469"/>
      <c r="J71" s="1943"/>
      <c r="K71" s="1214"/>
    </row>
    <row s="39538" customFormat="1" customHeight="1" ht="56.25" hidden="1">
      <c r="A72" s="3204"/>
      <c r="B72" s="1423"/>
      <c r="D72" s="1577" t="s">
        <v>87</v>
      </c>
      <c r="E72" s="1578" t="s">
        <v>810</v>
      </c>
      <c r="F72" s="1633" t="s">
        <v>550</v>
      </c>
      <c r="G72" s="1654"/>
      <c r="H72" s="1936"/>
      <c r="I72" s="1654"/>
      <c r="J72" s="1936"/>
      <c r="K72" s="1214"/>
    </row>
    <row s="39538" customFormat="1" customHeight="1" ht="33.75" hidden="1">
      <c r="A73" s="3204"/>
      <c r="B73" s="1423"/>
      <c r="D73" s="1577" t="s">
        <v>104</v>
      </c>
      <c r="E73" s="1578" t="s">
        <v>811</v>
      </c>
      <c r="F73" s="1638" t="s">
        <v>726</v>
      </c>
      <c r="G73" s="1580"/>
      <c r="H73" s="1936"/>
      <c r="I73" s="1580"/>
      <c r="J73" s="1936"/>
      <c r="K73" s="1201"/>
    </row>
    <row s="39538" customFormat="1" customHeight="1" ht="22.5" hidden="1">
      <c r="A74" s="3204"/>
      <c r="B74" s="1423" t="s">
        <v>580</v>
      </c>
      <c r="D74" s="1577" t="s">
        <v>88</v>
      </c>
      <c r="E74" s="1578" t="s">
        <v>812</v>
      </c>
      <c r="F74" s="1638" t="s">
        <v>297</v>
      </c>
      <c r="G74" s="1294"/>
      <c r="H74" s="1936"/>
      <c r="I74" s="1294"/>
      <c r="J74" s="1936"/>
      <c r="K74" s="1201" t="s">
        <v>798</v>
      </c>
    </row>
    <row s="39538" customFormat="1" customHeight="1" ht="45" hidden="1">
      <c r="A75" s="3204"/>
      <c r="B75" s="1423" t="s">
        <v>580</v>
      </c>
      <c r="D75" s="1577" t="s">
        <v>813</v>
      </c>
      <c r="E75" s="1579" t="s">
        <v>814</v>
      </c>
      <c r="F75" s="1633" t="s">
        <v>297</v>
      </c>
      <c r="G75" s="1294"/>
      <c r="H75" s="1936"/>
      <c r="I75" s="1294"/>
      <c r="J75" s="1936"/>
      <c r="K75" s="1201" t="s">
        <v>798</v>
      </c>
    </row>
    <row s="40633" customFormat="1" customHeight="1" ht="11.25">
      <c r="A76" s="1946"/>
      <c r="B76" s="1430"/>
      <c r="D76" s="1947"/>
      <c r="E76" s="1948"/>
    </row>
    <row s="39538" customFormat="1" customHeight="1" ht="11.25" hidden="1">
      <c r="A77" s="3204" t="s">
        <v>815</v>
      </c>
      <c r="B77" s="1423"/>
      <c r="D77" s="1577">
        <v>1</v>
      </c>
      <c r="E77" s="1578" t="s">
        <v>816</v>
      </c>
      <c r="F77" s="1633" t="s">
        <v>716</v>
      </c>
      <c r="G77" s="1636"/>
      <c r="H77" s="1936"/>
      <c r="I77" s="1636"/>
      <c r="J77" s="1936"/>
      <c r="K77" s="1201" t="s">
        <v>817</v>
      </c>
    </row>
    <row s="39538" customFormat="1" customHeight="1" ht="11.25" hidden="1">
      <c r="A78" s="3204"/>
      <c r="B78" s="1423"/>
      <c r="D78" s="1577" t="s">
        <v>103</v>
      </c>
      <c r="E78" s="1578" t="s">
        <v>818</v>
      </c>
      <c r="F78" s="1633" t="s">
        <v>716</v>
      </c>
      <c r="G78" s="1636"/>
      <c r="H78" s="1936"/>
      <c r="I78" s="1636"/>
      <c r="J78" s="1936"/>
      <c r="K78" s="1201" t="s">
        <v>819</v>
      </c>
    </row>
    <row s="39538" customFormat="1" customHeight="1" ht="22.5" hidden="1">
      <c r="A79" s="3204"/>
      <c r="B79" s="1423"/>
      <c r="D79" s="1577" t="s">
        <v>86</v>
      </c>
      <c r="E79" s="1634" t="s">
        <v>820</v>
      </c>
      <c r="F79" s="1572" t="s">
        <v>765</v>
      </c>
      <c r="G79" s="1636"/>
      <c r="H79" s="1936"/>
      <c r="I79" s="1636"/>
      <c r="J79" s="1936"/>
      <c r="K79" s="1201" t="s">
        <v>821</v>
      </c>
    </row>
    <row s="39538" customFormat="1" customHeight="1" ht="11.25" hidden="1">
      <c r="A80" s="3204"/>
      <c r="B80" s="1423"/>
      <c r="D80" s="1577" t="s">
        <v>315</v>
      </c>
      <c r="E80" s="1635" t="s">
        <v>822</v>
      </c>
      <c r="F80" s="1572" t="s">
        <v>765</v>
      </c>
      <c r="G80" s="1636"/>
      <c r="H80" s="1936"/>
      <c r="I80" s="1636"/>
      <c r="J80" s="1936"/>
      <c r="K80" s="1201"/>
    </row>
    <row s="39538" customFormat="1" customHeight="1" ht="11.25" hidden="1">
      <c r="A81" s="3204"/>
      <c r="B81" s="1423"/>
      <c r="D81" s="1577" t="s">
        <v>323</v>
      </c>
      <c r="E81" s="1635" t="s">
        <v>823</v>
      </c>
      <c r="F81" s="1572" t="s">
        <v>765</v>
      </c>
      <c r="G81" s="1636"/>
      <c r="H81" s="1936"/>
      <c r="I81" s="1636"/>
      <c r="J81" s="1936"/>
      <c r="K81" s="1201"/>
    </row>
    <row s="39538" customFormat="1" customHeight="1" ht="11.25" hidden="1">
      <c r="A82" s="3204"/>
      <c r="B82" s="1423"/>
      <c r="D82" s="1577" t="s">
        <v>325</v>
      </c>
      <c r="E82" s="1635" t="s">
        <v>824</v>
      </c>
      <c r="F82" s="1572" t="s">
        <v>765</v>
      </c>
      <c r="G82" s="1636"/>
      <c r="H82" s="1936"/>
      <c r="I82" s="1636"/>
      <c r="J82" s="1936"/>
      <c r="K82" s="1201"/>
    </row>
    <row s="39538" customFormat="1" customHeight="1" ht="11.25" hidden="1">
      <c r="A83" s="3204"/>
      <c r="B83" s="1423"/>
      <c r="D83" s="1577" t="s">
        <v>327</v>
      </c>
      <c r="E83" s="1635" t="s">
        <v>825</v>
      </c>
      <c r="F83" s="1572" t="s">
        <v>765</v>
      </c>
      <c r="G83" s="1636"/>
      <c r="H83" s="1936"/>
      <c r="I83" s="1636"/>
      <c r="J83" s="1936"/>
      <c r="K83" s="1201"/>
    </row>
    <row s="39538" customFormat="1" customHeight="1" ht="11.25" hidden="1">
      <c r="A84" s="3204"/>
      <c r="B84" s="1423"/>
      <c r="D84" s="1577" t="s">
        <v>826</v>
      </c>
      <c r="E84" s="1635" t="s">
        <v>827</v>
      </c>
      <c r="F84" s="1572" t="s">
        <v>765</v>
      </c>
      <c r="G84" s="1636"/>
      <c r="H84" s="1936"/>
      <c r="I84" s="1636"/>
      <c r="J84" s="1936"/>
      <c r="K84" s="1201"/>
    </row>
    <row s="39538" customFormat="1" customHeight="1" ht="11.25" hidden="1">
      <c r="A85" s="3204"/>
      <c r="B85" s="1423"/>
      <c r="D85" s="1577" t="s">
        <v>828</v>
      </c>
      <c r="E85" s="1635" t="s">
        <v>829</v>
      </c>
      <c r="F85" s="1572" t="s">
        <v>765</v>
      </c>
      <c r="G85" s="1636"/>
      <c r="H85" s="1936"/>
      <c r="I85" s="1636"/>
      <c r="J85" s="1936"/>
      <c r="K85" s="1201"/>
    </row>
    <row s="39538" customFormat="1" customHeight="1" ht="11.25" hidden="1">
      <c r="A86" s="3204"/>
      <c r="B86" s="1423"/>
      <c r="D86" s="1577" t="s">
        <v>830</v>
      </c>
      <c r="E86" s="1635" t="s">
        <v>831</v>
      </c>
      <c r="F86" s="1572" t="s">
        <v>765</v>
      </c>
      <c r="G86" s="1636"/>
      <c r="H86" s="1936"/>
      <c r="I86" s="1636"/>
      <c r="J86" s="1936"/>
      <c r="K86" s="1201"/>
    </row>
    <row s="39538" customFormat="1" customHeight="1" ht="45" hidden="1">
      <c r="A87" s="3204"/>
      <c r="B87" s="1423"/>
      <c r="D87" s="1577" t="s">
        <v>87</v>
      </c>
      <c r="E87" s="1578" t="s">
        <v>832</v>
      </c>
      <c r="F87" s="1572" t="s">
        <v>765</v>
      </c>
      <c r="G87" s="1636"/>
      <c r="H87" s="1936"/>
      <c r="I87" s="1636"/>
      <c r="J87" s="1936"/>
      <c r="K87" s="1201" t="s">
        <v>833</v>
      </c>
    </row>
    <row s="39538" customFormat="1" customHeight="1" ht="11.25" hidden="1">
      <c r="A88" s="3204"/>
      <c r="B88" s="1423"/>
      <c r="D88" s="1577" t="s">
        <v>659</v>
      </c>
      <c r="E88" s="1635" t="s">
        <v>822</v>
      </c>
      <c r="F88" s="1572" t="s">
        <v>765</v>
      </c>
      <c r="G88" s="1636"/>
      <c r="H88" s="1936"/>
      <c r="I88" s="1636"/>
      <c r="J88" s="1936"/>
      <c r="K88" s="1201"/>
    </row>
    <row s="39538" customFormat="1" customHeight="1" ht="11.25" hidden="1">
      <c r="A89" s="3204"/>
      <c r="B89" s="1423"/>
      <c r="D89" s="1577" t="s">
        <v>702</v>
      </c>
      <c r="E89" s="1635" t="s">
        <v>823</v>
      </c>
      <c r="F89" s="1572" t="s">
        <v>765</v>
      </c>
      <c r="G89" s="1636"/>
      <c r="H89" s="1936"/>
      <c r="I89" s="1636"/>
      <c r="J89" s="1936"/>
      <c r="K89" s="1201"/>
    </row>
    <row s="39538" customFormat="1" customHeight="1" ht="11.25" hidden="1">
      <c r="A90" s="3204"/>
      <c r="B90" s="1423"/>
      <c r="D90" s="1577" t="s">
        <v>705</v>
      </c>
      <c r="E90" s="1635" t="s">
        <v>824</v>
      </c>
      <c r="F90" s="1572" t="s">
        <v>765</v>
      </c>
      <c r="G90" s="1636"/>
      <c r="H90" s="1936"/>
      <c r="I90" s="1636"/>
      <c r="J90" s="1936"/>
      <c r="K90" s="1201"/>
    </row>
    <row s="39538" customFormat="1" customHeight="1" ht="11.25" hidden="1">
      <c r="A91" s="3204"/>
      <c r="B91" s="1423"/>
      <c r="D91" s="1577" t="s">
        <v>783</v>
      </c>
      <c r="E91" s="1635" t="s">
        <v>825</v>
      </c>
      <c r="F91" s="1572" t="s">
        <v>765</v>
      </c>
      <c r="G91" s="1636"/>
      <c r="H91" s="1936"/>
      <c r="I91" s="1636"/>
      <c r="J91" s="1936"/>
      <c r="K91" s="1201"/>
    </row>
    <row s="39538" customFormat="1" customHeight="1" ht="11.25" hidden="1">
      <c r="A92" s="3204"/>
      <c r="B92" s="1423"/>
      <c r="D92" s="1577" t="s">
        <v>785</v>
      </c>
      <c r="E92" s="1635" t="s">
        <v>827</v>
      </c>
      <c r="F92" s="1572" t="s">
        <v>765</v>
      </c>
      <c r="G92" s="1636"/>
      <c r="H92" s="1936"/>
      <c r="I92" s="1636"/>
      <c r="J92" s="1936"/>
      <c r="K92" s="1201"/>
    </row>
    <row s="39538" customFormat="1" customHeight="1" ht="11.25" hidden="1">
      <c r="A93" s="3204"/>
      <c r="B93" s="1423"/>
      <c r="D93" s="1577" t="s">
        <v>834</v>
      </c>
      <c r="E93" s="1635" t="s">
        <v>829</v>
      </c>
      <c r="F93" s="1572" t="s">
        <v>765</v>
      </c>
      <c r="G93" s="1636"/>
      <c r="H93" s="1936"/>
      <c r="I93" s="1636"/>
      <c r="J93" s="1936"/>
      <c r="K93" s="1201"/>
    </row>
    <row s="39538" customFormat="1" customHeight="1" ht="11.25" hidden="1">
      <c r="A94" s="3204"/>
      <c r="B94" s="1423"/>
      <c r="D94" s="1577" t="s">
        <v>835</v>
      </c>
      <c r="E94" s="1635" t="s">
        <v>831</v>
      </c>
      <c r="F94" s="1572" t="s">
        <v>765</v>
      </c>
      <c r="G94" s="1636"/>
      <c r="H94" s="1936"/>
      <c r="I94" s="1636"/>
      <c r="J94" s="1936"/>
      <c r="K94" s="1201"/>
    </row>
    <row s="39538" customFormat="1" customHeight="1" ht="24.75" hidden="1">
      <c r="A95" s="3204"/>
      <c r="B95" s="1423"/>
      <c r="D95" s="1577" t="s">
        <v>104</v>
      </c>
      <c r="E95" s="1578" t="s">
        <v>836</v>
      </c>
      <c r="F95" s="1637" t="s">
        <v>550</v>
      </c>
      <c r="G95" s="1639"/>
      <c r="H95" s="1936"/>
      <c r="I95" s="1639"/>
      <c r="J95" s="1936"/>
      <c r="K95" s="1201" t="s">
        <v>837</v>
      </c>
    </row>
    <row s="39538" customFormat="1" customHeight="1" ht="33.75" hidden="1">
      <c r="A96" s="3204"/>
      <c r="B96" s="1423"/>
      <c r="D96" s="1577" t="s">
        <v>88</v>
      </c>
      <c r="E96" s="1578" t="s">
        <v>838</v>
      </c>
      <c r="F96" s="1638" t="s">
        <v>726</v>
      </c>
      <c r="G96" s="1640"/>
      <c r="H96" s="1936"/>
      <c r="I96" s="1640"/>
      <c r="J96" s="1936"/>
      <c r="K96" s="1201"/>
    </row>
    <row s="39538" customFormat="1" customHeight="1" ht="22.5" hidden="1">
      <c r="A97" s="3204"/>
      <c r="B97" s="1423" t="s">
        <v>580</v>
      </c>
      <c r="D97" s="1577" t="s">
        <v>89</v>
      </c>
      <c r="E97" s="1578" t="s">
        <v>839</v>
      </c>
      <c r="F97" s="1638" t="s">
        <v>297</v>
      </c>
      <c r="G97" s="1297"/>
      <c r="H97" s="1936"/>
      <c r="I97" s="1297"/>
      <c r="J97" s="1936"/>
      <c r="K97" s="1201" t="s">
        <v>798</v>
      </c>
    </row>
    <row s="39538" customFormat="1" customHeight="1" ht="45" hidden="1">
      <c r="A98" s="3204"/>
      <c r="B98" s="1423" t="s">
        <v>580</v>
      </c>
      <c r="D98" s="1577" t="s">
        <v>840</v>
      </c>
      <c r="E98" s="1579" t="s">
        <v>841</v>
      </c>
      <c r="F98" s="1633" t="s">
        <v>297</v>
      </c>
      <c r="G98" s="1297"/>
      <c r="H98" s="1936"/>
      <c r="I98" s="1297"/>
      <c r="J98" s="1936"/>
      <c r="K98" s="1201" t="s">
        <v>798</v>
      </c>
    </row>
    <row s="39538" customFormat="1" customHeight="1" ht="95.25" hidden="1">
      <c r="A99" s="3204"/>
      <c r="B99" s="1423" t="s">
        <v>580</v>
      </c>
      <c r="D99" s="1577" t="s">
        <v>105</v>
      </c>
      <c r="E99" s="1578" t="s">
        <v>842</v>
      </c>
      <c r="F99" s="1633" t="s">
        <v>297</v>
      </c>
      <c r="G99" s="1297"/>
      <c r="H99" s="1936"/>
      <c r="I99" s="1297"/>
      <c r="J99" s="1936"/>
      <c r="K99" s="1201" t="s">
        <v>798</v>
      </c>
    </row>
    <row s="39538" customFormat="1" customHeight="1" ht="22.5" hidden="1">
      <c r="A100" s="3204"/>
      <c r="B100" s="1423" t="s">
        <v>580</v>
      </c>
      <c r="D100" s="1577" t="s">
        <v>141</v>
      </c>
      <c r="E100" s="1578" t="s">
        <v>843</v>
      </c>
      <c r="F100" s="1633" t="s">
        <v>297</v>
      </c>
      <c r="G100" s="1297"/>
      <c r="H100" s="1936"/>
      <c r="I100" s="1297"/>
      <c r="J100" s="1936"/>
      <c r="K100" s="1201" t="s">
        <v>798</v>
      </c>
    </row>
    <row s="40633" customFormat="1" customHeight="1" ht="11.25">
      <c r="A101" s="1946"/>
      <c r="B101" s="1430"/>
      <c r="D101" s="1947"/>
      <c r="E101" s="1948"/>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3885B7-FA9A-E128-F057-B659AEB0D9C7}" mc:Ignorable="x14ac xr xr2 xr3">
  <sheetPr>
    <tabColor rgb="FFE26B0A"/>
  </sheetPr>
  <dimension ref="A1:U39"/>
  <sheetViews>
    <sheetView topLeftCell="C21" showGridLines="0" zoomScale="90" workbookViewId="0">
      <selection activeCell="A1" sqref="A1"/>
    </sheetView>
  </sheetViews>
  <sheetFormatPr defaultColWidth="10.57421875" customHeight="1" defaultRowHeight="15"/>
  <cols>
    <col min="1" max="1" style="39981" width="9.140625" hidden="1" customWidth="1"/>
    <col min="2" max="2" style="39984" width="9.140625" hidden="1" customWidth="1"/>
    <col min="3" max="3" style="40820" width="4.7109375" customWidth="1"/>
    <col min="4" max="4" style="39984" width="6.28125" customWidth="1"/>
    <col min="5" max="5" style="39984" width="36.7109375" customWidth="1"/>
    <col min="6" max="6" style="39984" width="9.57421875" customWidth="1"/>
    <col min="7" max="7" style="39538" width="25.7109375" hidden="1" customWidth="1"/>
    <col min="8" max="8" style="39538" width="33.7109375" hidden="1" customWidth="1"/>
    <col min="9" max="9" style="39984" width="25.7109375" customWidth="1"/>
    <col min="10" max="10" style="39984" width="33.7109375" customWidth="1"/>
    <col min="11" max="11" style="39539" width="93.421875" customWidth="1"/>
    <col min="12" max="20" style="39984" width="10.57421875"/>
    <col min="21" max="21" style="40821" width="10.57421875"/>
  </cols>
  <sheetData>
    <row s="39539" customFormat="1" customHeight="1" ht="15" hidden="1">
      <c r="C1" s="1584"/>
      <c r="G1" s="1329">
        <v>4</v>
      </c>
      <c r="I1" s="1329">
        <v>4</v>
      </c>
      <c r="U1" s="1332"/>
    </row>
    <row s="39539" customFormat="1" customHeight="1" ht="15" hidden="1">
      <c r="C2" s="1584"/>
      <c r="U2" s="1332"/>
    </row>
    <row customHeight="1" ht="22.5" hidden="1">
      <c r="A3" s="1417"/>
      <c r="B3" s="3210"/>
      <c r="C3" s="3211" t="s">
        <v>844</v>
      </c>
      <c r="D3" s="1601" t="str">
        <f>B3&amp;".1"</f>
        <v>.1</v>
      </c>
      <c r="E3" s="1602" t="s">
        <v>845</v>
      </c>
      <c r="F3" s="1603" t="s">
        <v>297</v>
      </c>
      <c r="G3" s="1598"/>
      <c r="H3" s="1313"/>
      <c r="I3" s="1598"/>
      <c r="J3" s="1313"/>
      <c r="K3" s="1201" t="s">
        <v>846</v>
      </c>
    </row>
    <row customHeight="1" ht="15" hidden="1">
      <c r="A4" s="1417"/>
      <c r="B4" s="3210"/>
      <c r="C4" s="3211"/>
      <c r="D4" s="1601" t="str">
        <f>B3&amp;".2"</f>
        <v>.2</v>
      </c>
      <c r="E4" s="1602" t="s">
        <v>847</v>
      </c>
      <c r="F4" s="1603" t="s">
        <v>297</v>
      </c>
      <c r="G4" s="2653" t="s">
        <v>18</v>
      </c>
      <c r="H4" s="1313"/>
      <c r="I4" s="2653" t="s">
        <v>18</v>
      </c>
      <c r="J4" s="1313"/>
      <c r="K4" s="1201" t="s">
        <v>848</v>
      </c>
    </row>
    <row s="39539" customFormat="1" customHeight="1" ht="15" hidden="1">
      <c r="C5" s="1584"/>
      <c r="U5" s="1332"/>
    </row>
    <row customHeight="1" ht="22.5" hidden="1">
      <c r="A6" s="1417"/>
      <c r="B6" s="3210"/>
      <c r="C6" s="3211" t="s">
        <v>844</v>
      </c>
      <c r="D6" s="1601" t="str">
        <f>B6&amp;".1"</f>
        <v>.1</v>
      </c>
      <c r="E6" s="1602" t="s">
        <v>849</v>
      </c>
      <c r="F6" s="1603" t="s">
        <v>297</v>
      </c>
      <c r="G6" s="1598"/>
      <c r="H6" s="1313"/>
      <c r="I6" s="1598"/>
      <c r="J6" s="1313"/>
      <c r="K6" s="1201" t="s">
        <v>850</v>
      </c>
    </row>
    <row customHeight="1" ht="15" hidden="1">
      <c r="A7" s="1417"/>
      <c r="B7" s="3210"/>
      <c r="C7" s="3211"/>
      <c r="D7" s="1601" t="str">
        <f>B6&amp;".2"</f>
        <v>.2</v>
      </c>
      <c r="E7" s="1602" t="s">
        <v>847</v>
      </c>
      <c r="F7" s="1603" t="s">
        <v>297</v>
      </c>
      <c r="G7" s="2653" t="s">
        <v>18</v>
      </c>
      <c r="H7" s="1313"/>
      <c r="I7" s="2653" t="s">
        <v>18</v>
      </c>
      <c r="J7" s="1313"/>
      <c r="K7" s="1201" t="s">
        <v>848</v>
      </c>
    </row>
    <row s="39539" customFormat="1" customHeight="1" ht="15" hidden="1">
      <c r="C8" s="1584"/>
      <c r="U8" s="1332"/>
    </row>
    <row customHeight="1" ht="22.5" hidden="1">
      <c r="A9" s="1417"/>
      <c r="B9" s="3210"/>
      <c r="C9" s="3211" t="s">
        <v>844</v>
      </c>
      <c r="D9" s="1601" t="str">
        <f>B9&amp;".1"</f>
        <v>.1</v>
      </c>
      <c r="E9" s="1602" t="s">
        <v>851</v>
      </c>
      <c r="F9" s="1603" t="s">
        <v>297</v>
      </c>
      <c r="G9" s="1609" t="s">
        <v>18</v>
      </c>
      <c r="H9" s="1313" t="s">
        <v>18</v>
      </c>
      <c r="I9" s="1609" t="s">
        <v>18</v>
      </c>
      <c r="J9" s="1313" t="s">
        <v>18</v>
      </c>
      <c r="K9" s="1201"/>
    </row>
    <row customHeight="1" ht="15" hidden="1">
      <c r="A10" s="1417"/>
      <c r="B10" s="3210"/>
      <c r="C10" s="3211"/>
      <c r="D10" s="1601" t="str">
        <f>B9&amp;".2"</f>
        <v>.2</v>
      </c>
      <c r="E10" s="1602" t="s">
        <v>852</v>
      </c>
      <c r="F10" s="1603" t="s">
        <v>297</v>
      </c>
      <c r="G10" s="2647" t="s">
        <v>18</v>
      </c>
      <c r="H10" s="1313" t="s">
        <v>18</v>
      </c>
      <c r="I10" s="2647" t="s">
        <v>18</v>
      </c>
      <c r="J10" s="1313" t="s">
        <v>18</v>
      </c>
      <c r="K10" s="1201" t="s">
        <v>853</v>
      </c>
    </row>
    <row customHeight="1" ht="15" hidden="1">
      <c r="A11" s="1417"/>
      <c r="B11" s="3210"/>
      <c r="C11" s="3211"/>
      <c r="D11" s="1601" t="str">
        <f>B9&amp;".3"</f>
        <v>.3</v>
      </c>
      <c r="E11" s="1602" t="s">
        <v>854</v>
      </c>
      <c r="F11" s="1603" t="s">
        <v>297</v>
      </c>
      <c r="G11" s="2647" t="s">
        <v>18</v>
      </c>
      <c r="H11" s="1313" t="s">
        <v>18</v>
      </c>
      <c r="I11" s="2647" t="s">
        <v>18</v>
      </c>
      <c r="J11" s="1313" t="s">
        <v>18</v>
      </c>
      <c r="K11" s="1201" t="s">
        <v>855</v>
      </c>
    </row>
    <row s="39539" customFormat="1" customHeight="1" ht="15" hidden="1">
      <c r="C12" s="1584"/>
      <c r="U12" s="1332"/>
    </row>
    <row customHeight="1" ht="33.75" hidden="1">
      <c r="A13" s="1417"/>
      <c r="B13" s="3210"/>
      <c r="C13" s="3211" t="s">
        <v>844</v>
      </c>
      <c r="D13" s="1601" t="str">
        <f>B13&amp;".1"</f>
        <v>.1</v>
      </c>
      <c r="E13" s="1602" t="s">
        <v>856</v>
      </c>
      <c r="F13" s="1603" t="s">
        <v>297</v>
      </c>
      <c r="G13" s="1609" t="s">
        <v>18</v>
      </c>
      <c r="H13" s="1313" t="s">
        <v>18</v>
      </c>
      <c r="I13" s="1609" t="s">
        <v>18</v>
      </c>
      <c r="J13" s="1313" t="s">
        <v>18</v>
      </c>
      <c r="K13" s="1201" t="s">
        <v>857</v>
      </c>
    </row>
    <row customHeight="1" ht="15" hidden="1">
      <c r="B14" s="3210"/>
      <c r="C14" s="3211"/>
      <c r="D14" s="1601" t="str">
        <f>B13&amp;".2"</f>
        <v>.2</v>
      </c>
      <c r="E14" s="1602" t="s">
        <v>858</v>
      </c>
      <c r="F14" s="1603" t="s">
        <v>297</v>
      </c>
      <c r="G14" s="2647" t="s">
        <v>18</v>
      </c>
      <c r="H14" s="1313" t="s">
        <v>18</v>
      </c>
      <c r="I14" s="2647" t="s">
        <v>18</v>
      </c>
      <c r="J14" s="1313" t="s">
        <v>18</v>
      </c>
      <c r="K14" s="1201" t="s">
        <v>859</v>
      </c>
    </row>
    <row s="39539" customFormat="1" customHeight="1" ht="15" hidden="1">
      <c r="C15" s="1584"/>
      <c r="U15" s="1332"/>
    </row>
    <row s="39539" customFormat="1" customHeight="1" ht="15" hidden="1">
      <c r="C16" s="1584"/>
      <c r="U16" s="1332"/>
    </row>
    <row s="39539" customFormat="1" customHeight="1" ht="15" hidden="1">
      <c r="C17" s="1584"/>
      <c r="U17" s="1332"/>
    </row>
    <row s="39539" customFormat="1" customHeight="1" ht="15" hidden="1">
      <c r="C18" s="1584"/>
      <c r="U18" s="1332"/>
    </row>
    <row s="39539" customFormat="1" customHeight="1" ht="15" hidden="1">
      <c r="C19" s="1584"/>
      <c r="U19" s="1332"/>
    </row>
    <row s="39539" customFormat="1" customHeight="1" ht="15" hidden="1">
      <c r="C20" s="1584"/>
      <c r="U20" s="1332"/>
    </row>
    <row customHeight="1" ht="15">
      <c r="C21" s="1089"/>
      <c r="D21" s="1421"/>
      <c r="E21" s="1421"/>
      <c r="F21" s="1421"/>
      <c r="G21" s="1421"/>
      <c r="H21" s="1421"/>
      <c r="I21" s="1421"/>
      <c r="J21" s="1421"/>
    </row>
    <row customHeight="1" ht="22.5">
      <c r="C22" s="1089"/>
      <c r="D22" s="3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61"/>
      <c r="F22" s="3061"/>
      <c r="G22" s="3061"/>
      <c r="H22" s="3061"/>
      <c r="I22" s="3061"/>
      <c r="J22" s="1588"/>
      <c r="K22" s="1449"/>
    </row>
    <row customHeight="1" ht="15">
      <c r="C23" s="1089"/>
      <c r="D23" s="3000" t="str">
        <f>IF(org=0,"Не определено",org)</f>
        <v>ПАО "ТГК-1" филиал "Невский"</v>
      </c>
      <c r="E23" s="3000"/>
      <c r="F23" s="3000"/>
      <c r="G23" s="3000"/>
      <c r="H23" s="3000"/>
      <c r="I23" s="3000"/>
      <c r="J23" s="1588"/>
      <c r="K23" s="1449"/>
    </row>
    <row customHeight="1" ht="15">
      <c r="C24" s="1089"/>
      <c r="D24" s="1421"/>
      <c r="E24" s="1421"/>
      <c r="F24" s="1421"/>
      <c r="G24" s="1449">
        <v>22</v>
      </c>
      <c r="H24" s="1664"/>
      <c r="I24" s="1449">
        <v>22</v>
      </c>
      <c r="J24" s="1664"/>
    </row>
    <row s="39538" customFormat="1" customHeight="1" ht="0.75">
      <c r="A25" s="1671"/>
      <c r="C25" s="1089"/>
      <c r="D25" s="1421"/>
      <c r="E25" s="1421"/>
      <c r="F25" s="1421"/>
      <c r="G25" s="1449"/>
      <c r="H25" s="1664"/>
      <c r="I25" s="1449" t="s">
        <v>110</v>
      </c>
      <c r="J25" s="1664"/>
      <c r="K25" s="1329"/>
      <c r="U25" s="1587"/>
    </row>
    <row customHeight="1" ht="15">
      <c r="C26" s="1089"/>
      <c r="D26" s="1623"/>
      <c r="E26" s="3184" t="s">
        <v>98</v>
      </c>
      <c r="F26" s="3185"/>
      <c r="G26" s="3208" t="str">
        <f>IF(G25="","",INDEX(DIFFERENTIATION_UNMERGE_VD,MATCH(G25,DIFFERENTIATION_ID_DIFF,0)))</f>
        <v/>
      </c>
      <c r="H26" s="3209"/>
      <c r="I26" s="3208">
        <f>IF(I25="","",INDEX(DIFFERENTIATION_UNMERGE_VD,MATCH(I25,DIFFERENTIATION_ID_DIFF,0)))</f>
        <v>0</v>
      </c>
      <c r="J26" s="3209"/>
      <c r="K26" s="2999" t="s">
        <v>292</v>
      </c>
    </row>
    <row s="39538" customFormat="1" customHeight="1" ht="15">
      <c r="A27" s="1671"/>
      <c r="C27" s="1089"/>
      <c r="D27" s="1623"/>
      <c r="E27" s="3184" t="s">
        <v>556</v>
      </c>
      <c r="F27" s="3185"/>
      <c r="G27" s="3208" t="str">
        <f>IF(G25="","",INDEX(DIFFERENTIATION_UNMERGE_AREA,MATCH(G25,DIFFERENTIATION_ID_DIFF,0)))</f>
        <v/>
      </c>
      <c r="H27" s="3209"/>
      <c r="I27" s="3208" t="str">
        <f>IF(I25="","",INDEX(DIFFERENTIATION_UNMERGE_AREA,MATCH(I25,DIFFERENTIATION_ID_DIFF,0)))</f>
        <v/>
      </c>
      <c r="J27" s="3209"/>
      <c r="K27" s="3019"/>
      <c r="U27" s="1587"/>
    </row>
    <row s="39538" customFormat="1" customHeight="1" ht="15">
      <c r="A28" s="1671"/>
      <c r="C28" s="1089"/>
      <c r="D28" s="1623"/>
      <c r="E28" s="3184" t="s">
        <v>557</v>
      </c>
      <c r="F28" s="3185"/>
      <c r="G28" s="3208" t="str">
        <f>IF(G25="","",INDEX(DIFFERENTIATION_UNMERGE_SYSTEM,MATCH(G25,DIFFERENTIATION_ID_DIFF,0)))</f>
        <v/>
      </c>
      <c r="H28" s="3209"/>
      <c r="I28" s="3208" t="str">
        <f>IF(I25="","",INDEX(DIFFERENTIATION_UNMERGE_SYSTEM,MATCH(I25,DIFFERENTIATION_ID_DIFF,0)))</f>
        <v>без дифференциации</v>
      </c>
      <c r="J28" s="3209"/>
      <c r="K28" s="3019"/>
      <c r="U28" s="1587"/>
    </row>
    <row s="39538" customFormat="1" customHeight="1" ht="15">
      <c r="A29" s="1671"/>
      <c r="C29" s="1089"/>
      <c r="D29" s="3186" t="s">
        <v>291</v>
      </c>
      <c r="E29" s="3187"/>
      <c r="F29" s="3187"/>
      <c r="G29" s="1799"/>
      <c r="H29" s="1799"/>
      <c r="I29" s="1799"/>
      <c r="J29" s="1800"/>
      <c r="K29" s="3019"/>
      <c r="U29" s="1587"/>
    </row>
    <row customHeight="1" ht="33.75">
      <c r="C30" s="1089"/>
      <c r="D30" s="1673" t="s">
        <v>84</v>
      </c>
      <c r="E30" s="1672" t="s">
        <v>293</v>
      </c>
      <c r="F30" s="1672" t="s">
        <v>558</v>
      </c>
      <c r="G30" s="1720" t="s">
        <v>294</v>
      </c>
      <c r="H30" s="1719" t="s">
        <v>381</v>
      </c>
      <c r="I30" s="1596" t="s">
        <v>294</v>
      </c>
      <c r="J30" s="1377" t="s">
        <v>381</v>
      </c>
      <c r="K30" s="3025"/>
    </row>
    <row customHeight="1" ht="15" hidden="1">
      <c r="C31" s="1089"/>
      <c r="D31" s="1505"/>
      <c r="E31" s="1505"/>
      <c r="F31" s="1505"/>
      <c r="G31" s="1571"/>
      <c r="H31" s="1571"/>
      <c r="I31" s="1571"/>
      <c r="J31" s="1571"/>
      <c r="K31" s="1201"/>
    </row>
    <row customHeight="1" ht="22.5">
      <c r="A32" s="1417"/>
      <c r="B32" s="1417" t="s">
        <v>860</v>
      </c>
      <c r="C32" s="1438"/>
      <c r="D32" s="1604">
        <v>1</v>
      </c>
      <c r="E32" s="1605" t="s">
        <v>861</v>
      </c>
      <c r="F32" s="1603" t="s">
        <v>297</v>
      </c>
      <c r="G32" s="1725" t="s">
        <v>297</v>
      </c>
      <c r="H32" s="1725" t="s">
        <v>297</v>
      </c>
      <c r="I32" s="1603" t="s">
        <v>297</v>
      </c>
      <c r="J32" s="1603" t="s">
        <v>297</v>
      </c>
      <c r="K32" s="1201"/>
    </row>
    <row customHeight="1" ht="11.25">
      <c r="A33" s="1417"/>
      <c r="C33" s="1417"/>
      <c r="D33" s="1259"/>
      <c r="E33" s="1492" t="s">
        <v>578</v>
      </c>
      <c r="F33" s="1484"/>
      <c r="G33" s="1484"/>
      <c r="H33" s="1484"/>
      <c r="I33" s="1484"/>
      <c r="J33" s="1484"/>
      <c r="K33" s="1485"/>
      <c r="U33" s="1417"/>
    </row>
    <row customHeight="1" ht="22.5">
      <c r="A34" s="1417"/>
      <c r="B34" s="1493" t="s">
        <v>862</v>
      </c>
      <c r="C34" s="1438"/>
      <c r="D34" s="1604">
        <v>2</v>
      </c>
      <c r="E34" s="1605" t="s">
        <v>863</v>
      </c>
      <c r="F34" s="1732" t="s">
        <v>297</v>
      </c>
      <c r="G34" s="1732" t="s">
        <v>297</v>
      </c>
      <c r="H34" s="1732" t="s">
        <v>297</v>
      </c>
      <c r="I34" s="1603"/>
      <c r="J34" s="1603"/>
      <c r="K34" s="1201"/>
    </row>
    <row customHeight="1" ht="11.25">
      <c r="A35" s="1417"/>
      <c r="C35" s="1417"/>
      <c r="D35" s="1259"/>
      <c r="E35" s="1492" t="s">
        <v>864</v>
      </c>
      <c r="F35" s="1484"/>
      <c r="G35" s="1606"/>
      <c r="H35" s="1484"/>
      <c r="I35" s="1606"/>
      <c r="J35" s="1484"/>
      <c r="K35" s="1485"/>
      <c r="U35" s="1417"/>
    </row>
    <row customHeight="1" ht="67.5">
      <c r="A36" s="1417"/>
      <c r="B36" s="1417" t="s">
        <v>865</v>
      </c>
      <c r="C36" s="1438"/>
      <c r="D36" s="1604">
        <v>3</v>
      </c>
      <c r="E36" s="1605" t="s">
        <v>866</v>
      </c>
      <c r="F36" s="1607" t="s">
        <v>297</v>
      </c>
      <c r="G36" s="1726" t="s">
        <v>867</v>
      </c>
      <c r="H36" s="1725" t="s">
        <v>297</v>
      </c>
      <c r="I36" s="1436" t="s">
        <v>867</v>
      </c>
      <c r="J36" s="1603" t="s">
        <v>297</v>
      </c>
      <c r="K36" s="1201" t="s">
        <v>868</v>
      </c>
    </row>
    <row customHeight="1" ht="11.25">
      <c r="A37" s="1417"/>
      <c r="C37" s="1417"/>
      <c r="D37" s="1259"/>
      <c r="E37" s="1492" t="s">
        <v>869</v>
      </c>
      <c r="F37" s="1484"/>
      <c r="G37" s="1606"/>
      <c r="H37" s="1606"/>
      <c r="I37" s="1606"/>
      <c r="J37" s="1606"/>
      <c r="K37" s="1485"/>
      <c r="U37" s="1417"/>
    </row>
    <row customHeight="1" ht="67.5">
      <c r="A38" s="1417"/>
      <c r="B38" s="1417" t="s">
        <v>870</v>
      </c>
      <c r="C38" s="1438"/>
      <c r="D38" s="1604">
        <v>4</v>
      </c>
      <c r="E38" s="1605" t="s">
        <v>871</v>
      </c>
      <c r="F38" s="1607" t="s">
        <v>297</v>
      </c>
      <c r="G38" s="1726" t="s">
        <v>867</v>
      </c>
      <c r="H38" s="1727" t="s">
        <v>297</v>
      </c>
      <c r="I38" s="1436" t="s">
        <v>867</v>
      </c>
      <c r="J38" s="1433" t="s">
        <v>297</v>
      </c>
      <c r="K38" s="1591" t="s">
        <v>872</v>
      </c>
    </row>
    <row customHeight="1" ht="11.25">
      <c r="A39" s="1417"/>
      <c r="C39" s="1417"/>
      <c r="D39" s="1259"/>
      <c r="E39" s="1492" t="s">
        <v>873</v>
      </c>
      <c r="F39" s="1484"/>
      <c r="G39" s="1484"/>
      <c r="H39" s="1608"/>
      <c r="I39" s="1484"/>
      <c r="J39" s="1608"/>
      <c r="K39" s="1485"/>
      <c r="U39" s="1417"/>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D56FD-C38D-CCE1-3994-EFB90C50B936}" mc:Ignorable="x14ac xr xr2 xr3">
  <sheetPr>
    <tabColor theme="9" tint="-0.25"/>
  </sheetPr>
  <dimension ref="A1:AD17"/>
  <sheetViews>
    <sheetView topLeftCell="E4" showGridLines="0" zoomScale="85" workbookViewId="0">
      <selection activeCell="U15" sqref="U15"/>
    </sheetView>
  </sheetViews>
  <sheetFormatPr defaultColWidth="9.140625" customHeight="1" defaultRowHeight="10.5"/>
  <cols>
    <col min="1" max="3" style="40869" width="6.7109375" hidden="1" customWidth="1"/>
    <col min="4" max="4" style="39539" width="6.7109375" hidden="1" customWidth="1"/>
    <col min="5" max="5" style="40633" width="3.7109375" customWidth="1"/>
    <col min="6" max="6" style="39538" width="6.28125" customWidth="1"/>
    <col min="7" max="7" style="39538" width="37.7109375" customWidth="1"/>
    <col min="8" max="8" style="40215" width="16.57421875" customWidth="1"/>
    <col min="9" max="10" style="39538" width="19.7109375" customWidth="1"/>
    <col min="11" max="11" style="39538" width="25.00390625" customWidth="1"/>
    <col min="12" max="13" style="39538" width="25.7109375" customWidth="1"/>
    <col min="14" max="16" style="39538" width="17.7109375" customWidth="1"/>
    <col min="17" max="24" style="39538" width="19.7109375" customWidth="1"/>
    <col min="25" max="25" style="39538" width="8.00390625" customWidth="1"/>
    <col min="26" max="26" style="39538" width="3.28125" customWidth="1"/>
    <col min="27" max="27" style="39538" width="6.28125" customWidth="1"/>
    <col min="28" max="28" style="39538" width="34.140625" customWidth="1"/>
    <col min="29" max="30" style="39538" width="9.140625"/>
  </cols>
  <sheetData>
    <row s="39539" customFormat="1" customHeight="1" ht="10.5" hidden="1">
      <c r="A1" s="1807"/>
      <c r="B1" s="1807"/>
      <c r="C1" s="1807"/>
      <c r="E1" s="1449"/>
      <c r="H1" s="2074"/>
    </row>
    <row customHeight="1" ht="10.5" hidden="1"/>
    <row s="40823" customFormat="1" customHeight="1" ht="10.5" hidden="1">
      <c r="A3" s="1807"/>
      <c r="B3" s="1807"/>
      <c r="C3" s="1807"/>
      <c r="D3" s="1329"/>
      <c r="E3" s="1274"/>
      <c r="H3" s="2070"/>
    </row>
    <row customHeight="1" ht="3"/>
    <row customHeight="1" ht="25.5">
      <c r="F5" s="30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72"/>
      <c r="H5" s="3072"/>
      <c r="I5" s="3072"/>
      <c r="J5" s="3072"/>
      <c r="K5" s="3072"/>
      <c r="M5" s="1494"/>
      <c r="AB5" s="1818"/>
    </row>
    <row s="40257" customFormat="1" customHeight="1" ht="15.75">
      <c r="A6" s="2080"/>
      <c r="B6" s="2080"/>
      <c r="C6" s="2080"/>
      <c r="D6" s="2074"/>
      <c r="E6" s="2550"/>
      <c r="F6" s="3073" t="str">
        <f>IF(org=0,"Не определено",org)</f>
        <v>ПАО "ТГК-1" филиал "Невский"</v>
      </c>
      <c r="G6" s="3073"/>
      <c r="H6" s="3073"/>
      <c r="I6" s="3073"/>
      <c r="J6" s="3073"/>
      <c r="K6" s="3073"/>
      <c r="M6" s="1494"/>
      <c r="AB6" s="2062"/>
    </row>
    <row r="8" customHeight="1" ht="10.5">
      <c r="A8" s="1964"/>
      <c r="B8" s="1964"/>
      <c r="C8" s="1964"/>
      <c r="F8" s="2927" t="s">
        <v>291</v>
      </c>
      <c r="G8" s="2928"/>
      <c r="H8" s="2928"/>
      <c r="I8" s="2928"/>
      <c r="J8" s="2928"/>
      <c r="K8" s="2928"/>
      <c r="L8" s="2928"/>
      <c r="M8" s="2928"/>
      <c r="N8" s="2928"/>
      <c r="O8" s="2928"/>
      <c r="P8" s="2928"/>
      <c r="Q8" s="2928"/>
      <c r="R8" s="2928"/>
      <c r="S8" s="2928"/>
      <c r="T8" s="2928"/>
      <c r="U8" s="2928"/>
      <c r="V8" s="2928"/>
      <c r="W8" s="2928"/>
      <c r="X8" s="2928"/>
      <c r="Y8" s="2928"/>
      <c r="Z8" s="2928"/>
      <c r="AA8" s="2928"/>
      <c r="AB8" s="2929"/>
    </row>
    <row customHeight="1" ht="41.25">
      <c r="A9" s="1817"/>
      <c r="B9" s="1817"/>
      <c r="C9" s="1817"/>
      <c r="F9" s="2953" t="s">
        <v>84</v>
      </c>
      <c r="G9" s="2953" t="s">
        <v>874</v>
      </c>
      <c r="H9" s="2999" t="s">
        <v>875</v>
      </c>
      <c r="I9" s="2953" t="s">
        <v>876</v>
      </c>
      <c r="J9" s="2953" t="s">
        <v>877</v>
      </c>
      <c r="K9" s="2953" t="s">
        <v>878</v>
      </c>
      <c r="L9" s="2953" t="s">
        <v>879</v>
      </c>
      <c r="M9" s="2953" t="s">
        <v>880</v>
      </c>
      <c r="N9" s="3033" t="s">
        <v>881</v>
      </c>
      <c r="O9" s="3033"/>
      <c r="P9" s="3033"/>
      <c r="Q9" s="3212" t="s">
        <v>882</v>
      </c>
      <c r="R9" s="3213"/>
      <c r="S9" s="3213"/>
      <c r="T9" s="3214"/>
      <c r="U9" s="3212" t="s">
        <v>883</v>
      </c>
      <c r="V9" s="3213"/>
      <c r="W9" s="3213"/>
      <c r="X9" s="3214"/>
      <c r="Y9" s="2927" t="s">
        <v>884</v>
      </c>
      <c r="Z9" s="2928"/>
      <c r="AA9" s="2928"/>
      <c r="AB9" s="2929"/>
    </row>
    <row customHeight="1" ht="41.25">
      <c r="A10" s="1817"/>
      <c r="B10" s="1817"/>
      <c r="C10" s="1817"/>
      <c r="F10" s="2999"/>
      <c r="G10" s="2999"/>
      <c r="H10" s="3056"/>
      <c r="I10" s="2999"/>
      <c r="J10" s="2999"/>
      <c r="K10" s="2999"/>
      <c r="L10" s="2999"/>
      <c r="M10" s="2999"/>
      <c r="N10" s="1815" t="s">
        <v>885</v>
      </c>
      <c r="O10" s="1815" t="s">
        <v>886</v>
      </c>
      <c r="P10" s="1816" t="s">
        <v>887</v>
      </c>
      <c r="Q10" s="1827" t="s">
        <v>85</v>
      </c>
      <c r="R10" s="1827" t="s">
        <v>888</v>
      </c>
      <c r="S10" s="1827" t="s">
        <v>889</v>
      </c>
      <c r="T10" s="1828" t="s">
        <v>890</v>
      </c>
      <c r="U10" s="1827" t="s">
        <v>85</v>
      </c>
      <c r="V10" s="1827" t="s">
        <v>891</v>
      </c>
      <c r="W10" s="1827" t="s">
        <v>889</v>
      </c>
      <c r="X10" s="1828" t="s">
        <v>890</v>
      </c>
      <c r="Y10" s="1213" t="s">
        <v>892</v>
      </c>
      <c r="Z10" s="2927" t="s">
        <v>84</v>
      </c>
      <c r="AA10" s="2929"/>
      <c r="AB10" s="1962" t="s">
        <v>893</v>
      </c>
    </row>
    <row s="40202" customFormat="1" customHeight="1" ht="5.25" hidden="1">
      <c r="A11" s="1965"/>
      <c r="B11" s="1965"/>
      <c r="C11" s="1965"/>
      <c r="E11" s="1963"/>
      <c r="F11" s="3219" t="s">
        <v>367</v>
      </c>
      <c r="G11" s="3216"/>
      <c r="H11" s="3215"/>
      <c r="I11" s="3215"/>
      <c r="J11" s="3215"/>
      <c r="K11" s="3217"/>
      <c r="L11" s="3217"/>
      <c r="M11" s="3217"/>
      <c r="N11" s="3215"/>
      <c r="O11" s="3215"/>
      <c r="P11" s="2953"/>
      <c r="Q11" s="3003"/>
      <c r="R11" s="3003"/>
      <c r="S11" s="3003"/>
      <c r="T11" s="3215"/>
      <c r="U11" s="3003"/>
      <c r="V11" s="3003"/>
      <c r="W11" s="3003"/>
      <c r="X11" s="3215"/>
      <c r="Y11" s="2934"/>
      <c r="Z11" s="2934"/>
      <c r="AA11" s="2934"/>
      <c r="AB11" s="2934"/>
      <c r="AD11" s="1423" t="s">
        <v>894</v>
      </c>
    </row>
    <row s="40202" customFormat="1" customHeight="1" ht="5.25" hidden="1">
      <c r="A12" s="1808"/>
      <c r="B12" s="1808"/>
      <c r="C12" s="1808"/>
      <c r="E12" s="1430"/>
      <c r="F12" s="3219"/>
      <c r="G12" s="3216"/>
      <c r="H12" s="3215"/>
      <c r="I12" s="3215"/>
      <c r="J12" s="3215"/>
      <c r="K12" s="3217"/>
      <c r="L12" s="3217"/>
      <c r="M12" s="3217"/>
      <c r="N12" s="3215"/>
      <c r="O12" s="3215"/>
      <c r="P12" s="2953"/>
      <c r="Q12" s="3003"/>
      <c r="R12" s="3003"/>
      <c r="S12" s="3003"/>
      <c r="T12" s="3215"/>
      <c r="U12" s="3003"/>
      <c r="V12" s="3003"/>
      <c r="W12" s="3003"/>
      <c r="X12" s="3215"/>
      <c r="Y12" s="3218"/>
      <c r="Z12" s="3218"/>
      <c r="AA12" s="3218"/>
      <c r="AB12" s="3218"/>
    </row>
    <row customHeight="1" ht="86.25">
      <c r="A13" s="2080"/>
      <c r="B13" s="2080"/>
      <c r="C13" s="2080"/>
      <c r="D13" s="2074"/>
      <c r="E13" s="7423" t="s">
        <v>844</v>
      </c>
      <c r="F13" s="3391" t="s">
        <v>102</v>
      </c>
      <c r="G13" s="3392" t="s">
        <v>895</v>
      </c>
      <c r="H13" s="3393" t="s">
        <v>62</v>
      </c>
      <c r="I13" s="7427">
        <v>43448.616435185184</v>
      </c>
      <c r="J13" s="7428">
        <v>45229.61686342592</v>
      </c>
      <c r="K13" s="3397" t="s">
        <v>896</v>
      </c>
      <c r="L13" s="3360" t="s">
        <v>897</v>
      </c>
      <c r="M13" s="3360" t="s">
        <v>897</v>
      </c>
      <c r="N13" s="3361" t="s">
        <v>898</v>
      </c>
      <c r="O13" s="3361" t="s">
        <v>899</v>
      </c>
      <c r="P13" s="3362" t="str">
        <f>DATEDIF(DATEVALUE(N13),DATEVALUE(O13),"y")&amp;"г. "&amp;DATEDIF(DATEVALUE(N13),DATEVALUE(O13),"ym")&amp;"мес. "&amp;DATEVALUE(O13)-DATE(YEAR(DATEVALUE(O13)),MONTH(DATEVALUE(O13)),1)&amp;"дн. "</f>
        <v>4г. 11мес. 30дн. </v>
      </c>
      <c r="Q13" s="3357" t="s">
        <v>900</v>
      </c>
      <c r="R13" s="3357" t="s">
        <v>901</v>
      </c>
      <c r="S13" s="3357" t="s">
        <v>902</v>
      </c>
      <c r="T13" s="3358" t="s">
        <v>903</v>
      </c>
      <c r="U13" s="3357" t="s">
        <v>904</v>
      </c>
      <c r="V13" s="3357" t="s">
        <v>901</v>
      </c>
      <c r="W13" s="3357" t="s">
        <v>902</v>
      </c>
      <c r="X13" s="7428">
        <v>45229</v>
      </c>
      <c r="Y13" s="3355" t="s">
        <v>52</v>
      </c>
      <c r="Z13" s="2723"/>
      <c r="AA13" s="2707">
        <v>1</v>
      </c>
      <c r="AB13" s="7438" t="s">
        <v>18</v>
      </c>
      <c r="AC13" s="7439"/>
      <c r="AD13" s="2551" t="s">
        <v>905</v>
      </c>
    </row>
    <row customHeight="1" ht="146.25">
      <c r="A14" s="2080"/>
      <c r="B14" s="2080"/>
      <c r="C14" s="2080"/>
      <c r="D14" s="2074"/>
      <c r="E14" s="1860"/>
      <c r="F14" s="3391" t="s">
        <v>367</v>
      </c>
      <c r="G14" s="3392"/>
      <c r="H14" s="3394"/>
      <c r="I14" s="3396"/>
      <c r="J14" s="3359"/>
      <c r="K14" s="3397"/>
      <c r="L14" s="3360"/>
      <c r="M14" s="3360"/>
      <c r="N14" s="3361"/>
      <c r="O14" s="3361"/>
      <c r="P14" s="3362"/>
      <c r="Q14" s="3357"/>
      <c r="R14" s="3357"/>
      <c r="S14" s="3357"/>
      <c r="T14" s="3359"/>
      <c r="U14" s="3357"/>
      <c r="V14" s="3357"/>
      <c r="W14" s="3357"/>
      <c r="X14" s="3359"/>
      <c r="Y14" s="3356"/>
      <c r="Z14" s="1259"/>
      <c r="AA14" s="1484"/>
      <c r="AB14" s="1564" t="s">
        <v>906</v>
      </c>
      <c r="AC14" s="7439"/>
      <c r="AD14" s="7439"/>
    </row>
    <row customHeight="1" ht="10.5">
      <c r="F15" s="1814"/>
      <c r="G15" s="1562" t="s">
        <v>907</v>
      </c>
      <c r="H15" s="2082"/>
      <c r="I15" s="1484"/>
      <c r="J15" s="1484"/>
      <c r="K15" s="1484"/>
      <c r="L15" s="1484"/>
      <c r="M15" s="1484"/>
      <c r="N15" s="1484"/>
      <c r="O15" s="1484"/>
      <c r="P15" s="1484"/>
      <c r="Q15" s="1484"/>
      <c r="R15" s="1484"/>
      <c r="S15" s="1484"/>
      <c r="T15" s="1484"/>
      <c r="U15" s="1484"/>
      <c r="V15" s="1484"/>
      <c r="W15" s="1484"/>
      <c r="X15" s="1484"/>
      <c r="Y15" s="1484"/>
      <c r="Z15" s="1608"/>
      <c r="AA15" s="1608"/>
      <c r="AB15" s="1829"/>
    </row>
    <row r="17" s="40202" customFormat="1" customHeight="1" ht="10.5">
      <c r="A17" s="2081"/>
      <c r="B17" s="2081"/>
      <c r="C17" s="2081"/>
      <c r="E17" s="1430"/>
      <c r="H17" s="1423">
        <f>_xlfn.IFERROR(MATCH("нет",IP_MAIN_DIFFERENTIATION_EVENTS_FLAG,0),0)</f>
        <v>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82F698-7BDE-0A03-5C9D-89EB7031AD4A}" mc:Ignorable="x14ac xr xr2 xr3">
  <sheetPr>
    <tabColor rgb="FFCCCCFF"/>
  </sheetPr>
  <dimension ref="A1:AL16"/>
  <sheetViews>
    <sheetView topLeftCell="C3" showGridLines="0" zoomScale="90" workbookViewId="0">
      <selection activeCell="A1" sqref="A1"/>
    </sheetView>
  </sheetViews>
  <sheetFormatPr defaultColWidth="9.140625" customHeight="1" defaultRowHeight="11.25"/>
  <cols>
    <col min="1" max="1" style="39628" width="6.421875" hidden="1" customWidth="1"/>
    <col min="2" max="2" style="39628" width="2.00390625" hidden="1" customWidth="1"/>
    <col min="3" max="3" style="39628" width="3.7109375" customWidth="1"/>
    <col min="4" max="4" style="39628" width="4.28125" customWidth="1"/>
    <col min="5" max="5" style="39628" width="45.00390625" customWidth="1"/>
    <col min="6" max="6" style="39628" width="6.421875" customWidth="1"/>
    <col min="7" max="7" style="39628" width="4.421875" customWidth="1"/>
    <col min="8" max="8" style="39628" width="5.57421875" customWidth="1"/>
    <col min="9" max="9" style="39628" width="52.8515625" customWidth="1"/>
    <col min="10" max="10" style="39628" width="7.00390625" customWidth="1"/>
    <col min="11" max="11" style="39628" width="3.7109375" customWidth="1"/>
    <col min="12" max="12" style="39628" width="6.28125" customWidth="1"/>
    <col min="13" max="13" style="39628" width="56.28125" customWidth="1"/>
    <col min="14" max="14" style="39629" width="9.140625"/>
    <col min="15" max="20" style="39630" width="9.140625" hidden="1"/>
    <col min="21" max="24" style="39631" width="9.140625" hidden="1"/>
    <col min="25" max="37" style="39629" width="9.140625" hidden="1"/>
    <col min="38" max="38" style="39629" width="9.140625"/>
  </cols>
  <sheetData>
    <row customHeight="1" ht="11.25" hidden="1"/>
    <row customHeight="1" ht="11.25" hidden="1"/>
    <row r="4" customHeight="1" ht="34.5">
      <c r="A4" s="1497"/>
      <c r="B4" s="1497"/>
      <c r="D4" s="2945" t="str">
        <f>Титульный!E5</f>
        <v>Информация об инвестиционных программах регулируемой организации в области теплоснабжения</v>
      </c>
      <c r="E4" s="2946"/>
      <c r="F4" s="2946"/>
      <c r="G4" s="2946"/>
      <c r="H4" s="2946"/>
      <c r="I4" s="2947"/>
      <c r="J4" s="1496"/>
      <c r="K4" s="1496"/>
      <c r="L4" s="1496"/>
      <c r="M4" s="1496"/>
    </row>
    <row s="39550" customFormat="1" customHeight="1" ht="15">
      <c r="A5" s="1497"/>
      <c r="B5" s="1497"/>
      <c r="C5" s="1497"/>
      <c r="D5" s="2948" t="str">
        <f>IF(org=0,"Не определено",org)</f>
        <v>ПАО "ТГК-1" филиал "Невский"</v>
      </c>
      <c r="E5" s="2949"/>
      <c r="F5" s="2949"/>
      <c r="G5" s="2949"/>
      <c r="H5" s="2949"/>
      <c r="I5" s="2950"/>
      <c r="J5" s="1498"/>
      <c r="K5" s="1498"/>
      <c r="L5" s="1498"/>
      <c r="M5" s="1498"/>
      <c r="N5" s="1498"/>
      <c r="O5" s="1782"/>
      <c r="P5" s="1782"/>
      <c r="Q5" s="1782"/>
      <c r="R5" s="1782"/>
      <c r="S5" s="1782"/>
      <c r="T5" s="1782"/>
      <c r="U5" s="2176"/>
      <c r="V5" s="2176"/>
      <c r="W5" s="2176"/>
      <c r="X5" s="2176"/>
      <c r="Y5" s="1498"/>
      <c r="Z5" s="1498"/>
      <c r="AA5" s="1498"/>
      <c r="AB5" s="1498"/>
      <c r="AC5" s="1498"/>
      <c r="AD5" s="1498"/>
      <c r="AE5" s="1498"/>
      <c r="AF5" s="1498"/>
      <c r="AG5" s="1498"/>
      <c r="AH5" s="1498"/>
      <c r="AI5" s="1498"/>
      <c r="AJ5" s="1498"/>
      <c r="AK5" s="1498"/>
      <c r="AL5" s="1498"/>
    </row>
    <row s="39557" customFormat="1" customHeight="1" ht="6">
      <c r="A6" s="2951"/>
      <c r="B6" s="2951"/>
      <c r="C6" s="2951"/>
      <c r="D6" s="2951"/>
      <c r="E6" s="2951"/>
      <c r="F6" s="2951"/>
      <c r="G6" s="1500"/>
      <c r="H6" s="1500"/>
      <c r="I6" s="1500"/>
      <c r="J6" s="1500"/>
      <c r="K6" s="1500"/>
      <c r="N6" s="1502"/>
      <c r="O6" s="2329"/>
      <c r="P6" s="2329"/>
      <c r="Q6" s="2329"/>
      <c r="R6" s="2329"/>
      <c r="S6" s="2329"/>
      <c r="T6" s="2329"/>
      <c r="U6" s="2179"/>
      <c r="V6" s="2179"/>
      <c r="W6" s="2179"/>
      <c r="X6" s="2179"/>
      <c r="Y6" s="1502"/>
      <c r="Z6" s="1502"/>
      <c r="AA6" s="1502"/>
      <c r="AB6" s="1502"/>
      <c r="AC6" s="1502"/>
      <c r="AD6" s="1502"/>
      <c r="AE6" s="1502"/>
      <c r="AF6" s="1502"/>
      <c r="AG6" s="1502"/>
      <c r="AH6" s="1502"/>
      <c r="AI6" s="1502"/>
      <c r="AJ6" s="1502"/>
      <c r="AK6" s="1502"/>
      <c r="AL6" s="1502"/>
    </row>
    <row customHeight="1" ht="45.75" hidden="1">
      <c r="E7" s="29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57"/>
      <c r="G7" s="2957"/>
      <c r="H7" s="2957"/>
      <c r="I7" s="2957"/>
      <c r="J7" s="2957"/>
      <c r="K7" s="2957"/>
      <c r="L7" s="2957"/>
      <c r="M7" s="2957"/>
    </row>
    <row s="39550" customFormat="1" customHeight="1" ht="6">
      <c r="A8" s="1503"/>
      <c r="B8" s="1503"/>
      <c r="C8" s="1503"/>
      <c r="D8" s="1503"/>
      <c r="E8" s="1503"/>
      <c r="F8" s="1503"/>
      <c r="G8" s="1503"/>
      <c r="H8" s="1503"/>
      <c r="I8" s="1503"/>
      <c r="J8" s="1503"/>
      <c r="K8" s="1503"/>
      <c r="L8" s="1503"/>
      <c r="M8" s="1501"/>
      <c r="N8" s="1498"/>
      <c r="O8" s="1782"/>
      <c r="P8" s="1782"/>
      <c r="Q8" s="1782"/>
      <c r="R8" s="1782"/>
      <c r="S8" s="1782"/>
      <c r="T8" s="1782"/>
      <c r="U8" s="2176"/>
      <c r="V8" s="2176"/>
      <c r="W8" s="2176"/>
      <c r="X8" s="2176"/>
      <c r="Y8" s="1498"/>
      <c r="Z8" s="1498"/>
      <c r="AA8" s="1498"/>
      <c r="AB8" s="1498"/>
      <c r="AC8" s="1498"/>
      <c r="AD8" s="1498"/>
      <c r="AE8" s="1498"/>
      <c r="AF8" s="1498"/>
      <c r="AG8" s="1498"/>
      <c r="AH8" s="1498"/>
      <c r="AI8" s="1498"/>
      <c r="AJ8" s="1498"/>
      <c r="AK8" s="1498"/>
      <c r="AL8" s="1498"/>
    </row>
    <row customHeight="1" ht="18">
      <c r="A9" s="2952"/>
      <c r="B9" s="1235"/>
      <c r="C9" s="1235"/>
      <c r="D9" s="2953" t="s">
        <v>98</v>
      </c>
      <c r="E9" s="2953"/>
      <c r="F9" s="2954" t="s">
        <v>99</v>
      </c>
      <c r="G9" s="2955"/>
      <c r="H9" s="2955"/>
      <c r="I9" s="2955"/>
      <c r="J9" s="2958" t="s">
        <v>100</v>
      </c>
      <c r="K9" s="2958"/>
      <c r="L9" s="2958"/>
      <c r="M9" s="2958"/>
    </row>
    <row customHeight="1" ht="22.5">
      <c r="A10" s="2952"/>
      <c r="B10" s="1504"/>
      <c r="C10" s="1437"/>
      <c r="D10" s="1435" t="s">
        <v>84</v>
      </c>
      <c r="E10" s="1435" t="s">
        <v>85</v>
      </c>
      <c r="F10" s="1435" t="s">
        <v>101</v>
      </c>
      <c r="G10" s="2959" t="s">
        <v>84</v>
      </c>
      <c r="H10" s="2960"/>
      <c r="I10" s="1435" t="s">
        <v>85</v>
      </c>
      <c r="J10" s="1435" t="s">
        <v>101</v>
      </c>
      <c r="K10" s="2959" t="s">
        <v>84</v>
      </c>
      <c r="L10" s="2960"/>
      <c r="M10" s="1435" t="s">
        <v>85</v>
      </c>
      <c r="N10" s="2542"/>
    </row>
    <row s="39579" customFormat="1" customHeight="1" ht="11.25" hidden="1">
      <c r="A11" s="1505"/>
      <c r="B11" s="1505"/>
      <c r="C11" s="1505"/>
      <c r="D11" s="1506" t="s">
        <v>102</v>
      </c>
      <c r="E11" s="1506" t="s">
        <v>103</v>
      </c>
      <c r="F11" s="1506" t="s">
        <v>86</v>
      </c>
      <c r="G11" s="2941" t="s">
        <v>87</v>
      </c>
      <c r="H11" s="2942"/>
      <c r="I11" s="1506" t="s">
        <v>104</v>
      </c>
      <c r="J11" s="1506" t="s">
        <v>88</v>
      </c>
      <c r="K11" s="2943" t="s">
        <v>89</v>
      </c>
      <c r="L11" s="2944"/>
      <c r="M11" s="1506" t="s">
        <v>105</v>
      </c>
      <c r="N11" s="2541"/>
      <c r="O11" s="2328"/>
      <c r="P11" s="2330"/>
      <c r="Q11" s="2330"/>
      <c r="R11" s="2330"/>
      <c r="S11" s="2330"/>
      <c r="T11" s="2330"/>
      <c r="U11" s="2180"/>
      <c r="V11" s="2180"/>
      <c r="W11" s="2180"/>
      <c r="X11" s="2180"/>
      <c r="Y11" s="1507"/>
      <c r="Z11" s="1507"/>
      <c r="AA11" s="1507"/>
      <c r="AB11" s="1507"/>
      <c r="AC11" s="1507"/>
      <c r="AD11" s="1507"/>
      <c r="AE11" s="1507"/>
      <c r="AF11" s="1507"/>
      <c r="AG11" s="1507"/>
      <c r="AH11" s="1507"/>
      <c r="AI11" s="1507"/>
      <c r="AJ11" s="1507"/>
      <c r="AK11" s="1507"/>
      <c r="AL11" s="1507"/>
    </row>
    <row customHeight="1" ht="0.75">
      <c r="A12" s="1509"/>
      <c r="B12" s="1510"/>
      <c r="C12" s="1510"/>
      <c r="D12" s="1511"/>
      <c r="E12" s="1279"/>
      <c r="F12" s="1512"/>
      <c r="G12" s="1972"/>
      <c r="H12" s="1972"/>
      <c r="I12" s="1512"/>
      <c r="J12" s="1512"/>
      <c r="K12" s="1087"/>
      <c r="L12" s="1279"/>
      <c r="M12" s="1513"/>
      <c r="N12" s="2542"/>
      <c r="O12" s="2328" t="s">
        <v>106</v>
      </c>
      <c r="P12" s="2328" t="s">
        <v>107</v>
      </c>
      <c r="Q12" s="2328" t="s">
        <v>108</v>
      </c>
      <c r="R12" s="2328" t="s">
        <v>109</v>
      </c>
    </row>
    <row s="39599" customFormat="1" customHeight="1" ht="15">
      <c r="A13" s="1205"/>
      <c r="B13" s="1205"/>
      <c r="C13" s="1438"/>
      <c r="D13" s="2934" t="s">
        <v>102</v>
      </c>
      <c r="E13" s="2935"/>
      <c r="F13" s="2938" t="s">
        <v>62</v>
      </c>
      <c r="G13" s="2939"/>
      <c r="H13" s="2940">
        <v>1</v>
      </c>
      <c r="I13" s="2931" t="str">
        <f>IF(U13="","",INDEX(TERRITORY_MR_LIST,MATCH(U13,TERRITORY_LIST_ID,0)))</f>
        <v/>
      </c>
      <c r="J13" s="2933" t="s">
        <v>52</v>
      </c>
      <c r="K13" s="1514"/>
      <c r="L13" s="1439" t="s">
        <v>102</v>
      </c>
      <c r="M13" s="1515" t="s">
        <v>18</v>
      </c>
      <c r="N13" s="1724"/>
      <c r="O13" s="2331" t="s">
        <v>110</v>
      </c>
      <c r="P13" s="2328">
        <f>$E$13</f>
        <v>0</v>
      </c>
      <c r="Q13" s="2328" t="str">
        <f>IF($F$13="нет","без дифференциации",$I$13)</f>
        <v/>
      </c>
      <c r="R13" s="2328" t="str">
        <f>IF($J$13="нет","без дифференциации",M13)</f>
        <v>без дифференциации</v>
      </c>
      <c r="S13" s="2331"/>
      <c r="T13" s="2331"/>
      <c r="U13" s="2181"/>
      <c r="V13" s="2181"/>
      <c r="W13" s="2181"/>
      <c r="X13" s="2181"/>
      <c r="Y13" s="1516" t="s">
        <v>111</v>
      </c>
      <c r="Z13" s="1516">
        <v>1705000</v>
      </c>
      <c r="AA13" s="1516"/>
      <c r="AB13" s="1516"/>
      <c r="AC13" s="1516"/>
      <c r="AD13" s="1516"/>
      <c r="AE13" s="1516"/>
      <c r="AF13" s="1516"/>
      <c r="AG13" s="1516"/>
      <c r="AH13" s="1516"/>
      <c r="AI13" s="1516"/>
      <c r="AJ13" s="1516"/>
      <c r="AK13" s="1516"/>
      <c r="AL13" s="1516"/>
    </row>
    <row s="39599" customFormat="1" customHeight="1" ht="15">
      <c r="A14" s="1205"/>
      <c r="B14" s="1205"/>
      <c r="C14" s="1089"/>
      <c r="D14" s="2934"/>
      <c r="E14" s="2936"/>
      <c r="F14" s="2933"/>
      <c r="G14" s="2939"/>
      <c r="H14" s="2940"/>
      <c r="I14" s="2932"/>
      <c r="J14" s="2933"/>
      <c r="K14" s="1333"/>
      <c r="L14" s="1090"/>
      <c r="M14" s="1519" t="s">
        <v>112</v>
      </c>
      <c r="N14" s="1724"/>
      <c r="O14" s="2331"/>
      <c r="P14" s="2328"/>
      <c r="Q14" s="2328"/>
      <c r="R14" s="2328"/>
      <c r="S14" s="2331"/>
      <c r="T14" s="2331"/>
      <c r="U14" s="2181"/>
      <c r="V14" s="2181"/>
      <c r="W14" s="2181"/>
      <c r="X14" s="2181"/>
      <c r="Y14" s="1516"/>
      <c r="Z14" s="1516"/>
      <c r="AA14" s="1516"/>
      <c r="AB14" s="1516"/>
      <c r="AC14" s="1516"/>
      <c r="AD14" s="1516"/>
      <c r="AE14" s="1516"/>
      <c r="AF14" s="1516"/>
      <c r="AG14" s="1516"/>
      <c r="AH14" s="1516"/>
      <c r="AI14" s="1516"/>
      <c r="AJ14" s="1516"/>
      <c r="AK14" s="1516"/>
      <c r="AL14" s="1516"/>
    </row>
    <row s="39599" customFormat="1" customHeight="1" ht="15">
      <c r="A15" s="1205"/>
      <c r="B15" s="1205"/>
      <c r="C15" s="1089"/>
      <c r="D15" s="2934"/>
      <c r="E15" s="2937"/>
      <c r="F15" s="2933"/>
      <c r="G15" s="1973"/>
      <c r="H15" s="1974"/>
      <c r="I15" s="1492" t="s">
        <v>113</v>
      </c>
      <c r="J15" s="1090"/>
      <c r="K15" s="1090"/>
      <c r="L15" s="1090"/>
      <c r="M15" s="1520"/>
      <c r="N15" s="1724"/>
      <c r="O15" s="2331"/>
      <c r="P15" s="2328"/>
      <c r="Q15" s="2328"/>
      <c r="R15" s="2328"/>
      <c r="S15" s="2331"/>
      <c r="T15" s="2331"/>
      <c r="U15" s="2181"/>
      <c r="V15" s="2181"/>
      <c r="W15" s="2181"/>
      <c r="X15" s="2181"/>
      <c r="Y15" s="1516"/>
      <c r="Z15" s="1516"/>
      <c r="AA15" s="1516"/>
      <c r="AB15" s="1516"/>
      <c r="AC15" s="1516"/>
      <c r="AD15" s="1516"/>
      <c r="AE15" s="1516"/>
      <c r="AF15" s="1516"/>
      <c r="AG15" s="1516"/>
      <c r="AH15" s="1516"/>
      <c r="AI15" s="1516"/>
      <c r="AJ15" s="1516"/>
      <c r="AK15" s="1516"/>
      <c r="AL15" s="1516"/>
    </row>
    <row customHeight="1" ht="15">
      <c r="A16" s="1521"/>
      <c r="B16" s="1048"/>
      <c r="C16" s="1718"/>
      <c r="D16" s="1333"/>
      <c r="E16" s="1483" t="s">
        <v>114</v>
      </c>
      <c r="F16" s="1090"/>
      <c r="G16" s="1090"/>
      <c r="H16" s="1090"/>
      <c r="I16" s="1090"/>
      <c r="J16" s="1090"/>
      <c r="K16" s="1090" t="s">
        <v>18</v>
      </c>
      <c r="L16" s="1090"/>
      <c r="M16" s="1520"/>
      <c r="N16" s="2542"/>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527366-0899-5A36-AE84-1B4FDD0CB656}" mc:Ignorable="x14ac xr xr2 xr3">
  <sheetPr>
    <tabColor theme="9" tint="-0.25"/>
  </sheetPr>
  <dimension ref="A1:BF417"/>
  <sheetViews>
    <sheetView topLeftCell="E316" showGridLines="0" zoomScale="90" workbookViewId="0" tabSelected="1">
      <selection activeCell="AB407" sqref="AB407"/>
    </sheetView>
  </sheetViews>
  <sheetFormatPr defaultColWidth="9.140625" customHeight="1" defaultRowHeight="10.5"/>
  <cols>
    <col min="1" max="3" style="40869" width="4.140625" hidden="1" customWidth="1"/>
    <col min="4" max="4" style="39539" width="4.140625" hidden="1" customWidth="1"/>
    <col min="5" max="5" style="40633" width="3.7109375" customWidth="1"/>
    <col min="6" max="6" style="39538" width="14.421875" customWidth="1"/>
    <col min="7" max="7" style="39538" width="3.7109375" customWidth="1"/>
    <col min="8" max="8" style="40215" width="7.7109375" customWidth="1"/>
    <col min="9" max="10" style="39538" width="16.7109375" customWidth="1"/>
    <col min="11" max="11" style="39538" width="25.7109375" customWidth="1"/>
    <col min="12" max="12" style="40899" width="8.00390625" customWidth="1"/>
    <col min="13" max="13" style="40899" width="15.57421875" customWidth="1"/>
    <col min="14" max="14" style="39538" width="3.28125" customWidth="1"/>
    <col min="15" max="15" style="39538" width="4.7109375" customWidth="1"/>
    <col min="16" max="16" style="39538" width="9.00390625" customWidth="1"/>
    <col min="17" max="17" style="39538" width="21.7109375" customWidth="1"/>
    <col min="18" max="18" style="39538" width="14.7109375" customWidth="1"/>
    <col min="19" max="20" style="39538" width="17.7109375" customWidth="1"/>
    <col min="21" max="21" style="39538" width="9.7109375" customWidth="1"/>
    <col min="22" max="22" style="39538" width="12.7109375" customWidth="1"/>
    <col min="23" max="23" style="39538" width="9.7109375" customWidth="1"/>
    <col min="24" max="24" style="39538" width="21.7109375" customWidth="1"/>
    <col min="25" max="25" style="39538" width="12.7109375" customWidth="1"/>
    <col min="26" max="26" style="39538" width="3.28125" customWidth="1"/>
    <col min="27" max="27" style="39538" width="7.140625" customWidth="1"/>
    <col min="28" max="28" style="39538" width="38.421875" customWidth="1"/>
    <col min="29" max="29" style="39538" width="15.7109375" customWidth="1"/>
    <col min="30" max="30" style="40899" width="37.57421875" hidden="1" customWidth="1"/>
    <col min="31" max="31" style="39538" width="15.7109375" hidden="1" customWidth="1"/>
    <col min="32" max="33" style="39538" width="16.7109375" customWidth="1"/>
    <col min="34" max="34" style="40983" width="16.7109375" customWidth="1"/>
    <col min="35" max="35" style="40984" width="16.7109375" hidden="1" customWidth="1"/>
    <col min="36" max="37" style="39538" width="16.7109375" hidden="1" customWidth="1"/>
    <col min="38" max="58" style="39538" width="9.140625"/>
  </cols>
  <sheetData>
    <row s="39539" customFormat="1" customHeight="1" ht="10.5" hidden="1">
      <c r="A1" s="1807"/>
      <c r="B1" s="1807"/>
      <c r="C1" s="1807"/>
      <c r="E1" s="1449"/>
      <c r="H1" s="2074"/>
      <c r="L1" s="2042"/>
      <c r="M1" s="2042"/>
      <c r="AD1" s="2042"/>
      <c r="AH1" s="2061"/>
      <c r="AI1" s="2054"/>
    </row>
    <row customHeight="1" ht="10.5" hidden="1"/>
    <row s="40823" customFormat="1" customHeight="1" ht="10.5" hidden="1">
      <c r="A3" s="1807"/>
      <c r="B3" s="1807"/>
      <c r="C3" s="1807"/>
      <c r="D3" s="1329"/>
      <c r="E3" s="1274"/>
      <c r="H3" s="2070"/>
      <c r="L3" s="2040"/>
      <c r="M3" s="2040"/>
      <c r="AD3" s="2040"/>
      <c r="AH3" s="2059"/>
      <c r="AI3" s="2052"/>
    </row>
    <row customHeight="1" ht="3"/>
    <row customHeight="1" ht="25.5">
      <c r="F5" s="30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72"/>
      <c r="H5" s="3072"/>
      <c r="I5" s="3072"/>
      <c r="J5" s="3072"/>
      <c r="K5" s="3072"/>
      <c r="L5" s="2049"/>
      <c r="M5" s="2049"/>
      <c r="AG5" s="1818"/>
      <c r="AH5" s="2062"/>
    </row>
    <row customHeight="1" ht="10.5">
      <c r="F6" s="3000" t="str">
        <f>IF(org=0,"Не определено",org)</f>
        <v>ПАО "ТГК-1" филиал "Невский"</v>
      </c>
      <c r="G6" s="3000"/>
      <c r="H6" s="3000"/>
      <c r="I6" s="3000"/>
      <c r="J6" s="3000"/>
      <c r="K6" s="3000"/>
      <c r="L6" s="2050"/>
      <c r="M6" s="2050"/>
    </row>
    <row customHeight="1" ht="11.25">
      <c r="E7" s="1820"/>
      <c r="F7" s="1831"/>
      <c r="G7" s="1831"/>
      <c r="H7" s="2098"/>
      <c r="I7" s="1831"/>
      <c r="J7" s="1831"/>
      <c r="K7" s="1833"/>
      <c r="L7" s="2047"/>
      <c r="M7" s="2047"/>
      <c r="N7" s="1831"/>
      <c r="O7" s="1831"/>
      <c r="P7" s="1831"/>
      <c r="Q7" s="1833"/>
      <c r="R7" s="1831"/>
      <c r="S7" s="1831"/>
      <c r="T7" s="1831"/>
      <c r="U7" s="1831"/>
      <c r="V7" s="1831"/>
      <c r="W7" s="1831"/>
      <c r="X7" s="1831"/>
      <c r="Y7" s="1831"/>
      <c r="Z7" s="1831"/>
      <c r="AA7" s="1831"/>
      <c r="AB7" s="1831"/>
      <c r="AC7" s="1832"/>
      <c r="AD7" s="2046"/>
      <c r="AE7" s="1832"/>
      <c r="AF7" s="1831"/>
      <c r="AG7" s="1831"/>
      <c r="AH7" s="2064"/>
      <c r="AI7" s="2057"/>
      <c r="AJ7" s="1831"/>
      <c r="AK7" s="1831"/>
      <c r="AL7" s="1822"/>
      <c r="AM7" s="1822"/>
      <c r="AN7" s="1822"/>
      <c r="AO7" s="1819"/>
      <c r="AP7" s="1819"/>
      <c r="AQ7" s="1819"/>
      <c r="AR7" s="1819"/>
      <c r="AS7" s="1819"/>
      <c r="AT7" s="1819"/>
      <c r="AU7" s="1819"/>
      <c r="AV7" s="1819"/>
      <c r="AW7" s="1819"/>
      <c r="AX7" s="1819"/>
      <c r="AY7" s="1819"/>
      <c r="AZ7" s="1819"/>
      <c r="BA7" s="1819"/>
      <c r="BB7" s="1819"/>
      <c r="BC7" s="1819"/>
      <c r="BD7" s="1819"/>
      <c r="BE7" s="1819"/>
      <c r="BF7" s="1819"/>
    </row>
    <row customHeight="1" ht="10.5">
      <c r="E8" s="1820"/>
      <c r="F8" s="3228" t="s">
        <v>291</v>
      </c>
      <c r="G8" s="3229"/>
      <c r="H8" s="3229"/>
      <c r="I8" s="3229"/>
      <c r="J8" s="3229"/>
      <c r="K8" s="3229"/>
      <c r="L8" s="3229"/>
      <c r="M8" s="3229"/>
      <c r="N8" s="3229"/>
      <c r="O8" s="3229"/>
      <c r="P8" s="3229"/>
      <c r="Q8" s="3229"/>
      <c r="R8" s="3229"/>
      <c r="S8" s="3229"/>
      <c r="T8" s="3229"/>
      <c r="U8" s="3229"/>
      <c r="V8" s="3229"/>
      <c r="W8" s="3229"/>
      <c r="X8" s="3229"/>
      <c r="Y8" s="3229"/>
      <c r="Z8" s="3229"/>
      <c r="AA8" s="3229"/>
      <c r="AB8" s="3229"/>
      <c r="AC8" s="3229"/>
      <c r="AD8" s="3229"/>
      <c r="AE8" s="3229"/>
      <c r="AF8" s="3229"/>
      <c r="AG8" s="3229"/>
      <c r="AH8" s="3229"/>
      <c r="AI8" s="3229"/>
      <c r="AJ8" s="3229"/>
      <c r="AK8" s="3230"/>
      <c r="AL8" s="1821"/>
      <c r="AM8" s="1819"/>
      <c r="AN8" s="1819"/>
      <c r="AO8" s="1819"/>
      <c r="AP8" s="1819"/>
      <c r="AQ8" s="1819"/>
      <c r="AR8" s="1819"/>
      <c r="AS8" s="1819"/>
      <c r="AT8" s="1819"/>
      <c r="AU8" s="1819"/>
      <c r="AV8" s="1819"/>
      <c r="AW8" s="1819"/>
      <c r="AX8" s="1819"/>
      <c r="AY8" s="1819"/>
      <c r="AZ8" s="1819"/>
      <c r="BA8" s="1819"/>
      <c r="BB8" s="1819"/>
      <c r="BC8" s="1819"/>
      <c r="BD8" s="1819"/>
      <c r="BE8" s="1819"/>
      <c r="BF8" s="1819"/>
    </row>
    <row customHeight="1" ht="23.25">
      <c r="A9" s="1817"/>
      <c r="B9" s="1817"/>
      <c r="C9" s="1817"/>
      <c r="E9" s="1820"/>
      <c r="F9" s="3221" t="s">
        <v>908</v>
      </c>
      <c r="G9" s="3222" t="s">
        <v>909</v>
      </c>
      <c r="H9" s="3223"/>
      <c r="I9" s="2953" t="s">
        <v>910</v>
      </c>
      <c r="J9" s="2953"/>
      <c r="K9" s="2953" t="s">
        <v>911</v>
      </c>
      <c r="L9" s="2953"/>
      <c r="M9" s="2953"/>
      <c r="N9" s="2953"/>
      <c r="O9" s="2953"/>
      <c r="P9" s="2953"/>
      <c r="Q9" s="2953"/>
      <c r="R9" s="2953"/>
      <c r="S9" s="2953"/>
      <c r="T9" s="2953"/>
      <c r="U9" s="2953"/>
      <c r="V9" s="2953"/>
      <c r="W9" s="2953"/>
      <c r="X9" s="2953"/>
      <c r="Y9" s="2953"/>
      <c r="Z9" s="3016" t="s">
        <v>912</v>
      </c>
      <c r="AA9" s="3017"/>
      <c r="AB9" s="2953" t="s">
        <v>913</v>
      </c>
      <c r="AC9" s="2953"/>
      <c r="AD9" s="2953"/>
      <c r="AE9" s="2953"/>
      <c r="AF9" s="2999" t="s">
        <v>914</v>
      </c>
      <c r="AG9" s="2953" t="s">
        <v>915</v>
      </c>
      <c r="AH9" s="2953"/>
      <c r="AI9" s="2999" t="s">
        <v>916</v>
      </c>
      <c r="AJ9" s="2953" t="s">
        <v>917</v>
      </c>
      <c r="AK9" s="2953"/>
      <c r="AL9" s="2056"/>
      <c r="AM9" s="1819"/>
      <c r="AN9" s="1819"/>
      <c r="AO9" s="1819"/>
      <c r="AP9" s="1819"/>
      <c r="AQ9" s="1819"/>
      <c r="AR9" s="1819"/>
      <c r="AS9" s="1819"/>
      <c r="AT9" s="1819"/>
      <c r="AU9" s="1819"/>
      <c r="AV9" s="1819"/>
      <c r="AW9" s="1819"/>
      <c r="AX9" s="1819"/>
      <c r="AY9" s="1819"/>
      <c r="AZ9" s="1819"/>
      <c r="BA9" s="1819"/>
      <c r="BB9" s="1819"/>
      <c r="BC9" s="1819"/>
      <c r="BD9" s="1819"/>
      <c r="BE9" s="1819"/>
      <c r="BF9" s="1819"/>
    </row>
    <row customHeight="1" ht="23.25">
      <c r="A10" s="1817"/>
      <c r="B10" s="1817"/>
      <c r="C10" s="1817"/>
      <c r="E10" s="1824"/>
      <c r="F10" s="3221"/>
      <c r="G10" s="3224"/>
      <c r="H10" s="3225"/>
      <c r="I10" s="2953"/>
      <c r="J10" s="2953"/>
      <c r="K10" s="2953" t="s">
        <v>918</v>
      </c>
      <c r="L10" s="2927" t="s">
        <v>919</v>
      </c>
      <c r="M10" s="2929"/>
      <c r="N10" s="2953" t="s">
        <v>920</v>
      </c>
      <c r="O10" s="2953"/>
      <c r="P10" s="2953"/>
      <c r="Q10" s="2953"/>
      <c r="R10" s="2953"/>
      <c r="S10" s="2953"/>
      <c r="T10" s="2953"/>
      <c r="U10" s="2953"/>
      <c r="V10" s="2953"/>
      <c r="W10" s="2953"/>
      <c r="X10" s="2953"/>
      <c r="Y10" s="2953"/>
      <c r="Z10" s="3018"/>
      <c r="AA10" s="3019"/>
      <c r="AB10" s="2953"/>
      <c r="AC10" s="2953"/>
      <c r="AD10" s="2953"/>
      <c r="AE10" s="2953"/>
      <c r="AF10" s="3023"/>
      <c r="AG10" s="2953"/>
      <c r="AH10" s="2953"/>
      <c r="AI10" s="3023"/>
      <c r="AJ10" s="2953"/>
      <c r="AK10" s="2953"/>
      <c r="AL10" s="2056"/>
      <c r="AM10" s="1825"/>
      <c r="AN10" s="1825"/>
      <c r="AO10" s="1825"/>
      <c r="AP10" s="1825"/>
      <c r="AQ10" s="1825"/>
      <c r="AR10" s="1825"/>
      <c r="AS10" s="1825"/>
      <c r="AT10" s="1825"/>
      <c r="AU10" s="1825"/>
      <c r="AV10" s="1825"/>
      <c r="AW10" s="1825"/>
      <c r="AX10" s="1825"/>
      <c r="AY10" s="1825"/>
      <c r="AZ10" s="1825"/>
      <c r="BA10" s="1825"/>
      <c r="BB10" s="1825"/>
      <c r="BC10" s="1825"/>
      <c r="BD10" s="1825"/>
      <c r="BE10" s="1825"/>
      <c r="BF10" s="1825"/>
    </row>
    <row s="40899" customFormat="1" customHeight="1" ht="23.25">
      <c r="A11" s="2043"/>
      <c r="B11" s="2043"/>
      <c r="C11" s="2043"/>
      <c r="D11" s="2042"/>
      <c r="E11" s="2044"/>
      <c r="F11" s="3221"/>
      <c r="G11" s="3224"/>
      <c r="H11" s="3225"/>
      <c r="I11" s="2953"/>
      <c r="J11" s="2953"/>
      <c r="K11" s="2953"/>
      <c r="L11" s="2999" t="s">
        <v>921</v>
      </c>
      <c r="M11" s="2999" t="s">
        <v>922</v>
      </c>
      <c r="N11" s="2953" t="s">
        <v>923</v>
      </c>
      <c r="O11" s="2953"/>
      <c r="P11" s="3231" t="s">
        <v>892</v>
      </c>
      <c r="Q11" s="3231" t="s">
        <v>924</v>
      </c>
      <c r="R11" s="3231" t="s">
        <v>925</v>
      </c>
      <c r="S11" s="3231" t="s">
        <v>926</v>
      </c>
      <c r="T11" s="3231"/>
      <c r="U11" s="3231"/>
      <c r="V11" s="3231"/>
      <c r="W11" s="3231"/>
      <c r="X11" s="3231"/>
      <c r="Y11" s="3231"/>
      <c r="Z11" s="3018"/>
      <c r="AA11" s="3019"/>
      <c r="AB11" s="2953" t="s">
        <v>927</v>
      </c>
      <c r="AC11" s="2953"/>
      <c r="AD11" s="2927" t="s">
        <v>928</v>
      </c>
      <c r="AE11" s="2929"/>
      <c r="AF11" s="3023"/>
      <c r="AG11" s="2953"/>
      <c r="AH11" s="2953"/>
      <c r="AI11" s="3023"/>
      <c r="AJ11" s="2953"/>
      <c r="AK11" s="2953"/>
      <c r="AL11" s="2056"/>
      <c r="AM11" s="2041"/>
      <c r="AN11" s="2041"/>
      <c r="AO11" s="2041"/>
      <c r="AP11" s="2041"/>
      <c r="AQ11" s="2041"/>
      <c r="AR11" s="2041"/>
      <c r="AS11" s="2041"/>
      <c r="AT11" s="2041"/>
      <c r="AU11" s="2041"/>
      <c r="AV11" s="2041"/>
      <c r="AW11" s="2041"/>
      <c r="AX11" s="2041"/>
      <c r="AY11" s="2041"/>
      <c r="AZ11" s="2041"/>
      <c r="BA11" s="2041"/>
      <c r="BB11" s="2041"/>
      <c r="BC11" s="2041"/>
      <c r="BD11" s="2041"/>
      <c r="BE11" s="2041"/>
      <c r="BF11" s="2041"/>
    </row>
    <row customHeight="1" ht="33.75">
      <c r="A12" s="1817"/>
      <c r="B12" s="1817"/>
      <c r="C12" s="1817"/>
      <c r="E12" s="1820"/>
      <c r="F12" s="3221"/>
      <c r="G12" s="3226"/>
      <c r="H12" s="3227"/>
      <c r="I12" s="2067" t="s">
        <v>85</v>
      </c>
      <c r="J12" s="2067" t="s">
        <v>929</v>
      </c>
      <c r="K12" s="2953"/>
      <c r="L12" s="3056"/>
      <c r="M12" s="3056"/>
      <c r="N12" s="2953"/>
      <c r="O12" s="2953"/>
      <c r="P12" s="3231"/>
      <c r="Q12" s="3231"/>
      <c r="R12" s="3231"/>
      <c r="S12" s="2048" t="s">
        <v>82</v>
      </c>
      <c r="T12" s="2048" t="s">
        <v>83</v>
      </c>
      <c r="U12" s="2048" t="s">
        <v>81</v>
      </c>
      <c r="V12" s="2048" t="s">
        <v>930</v>
      </c>
      <c r="W12" s="2048" t="s">
        <v>81</v>
      </c>
      <c r="X12" s="2048" t="s">
        <v>931</v>
      </c>
      <c r="Y12" s="2048" t="s">
        <v>932</v>
      </c>
      <c r="Z12" s="3024"/>
      <c r="AA12" s="3025"/>
      <c r="AB12" s="2055" t="s">
        <v>933</v>
      </c>
      <c r="AC12" s="2055" t="s">
        <v>934</v>
      </c>
      <c r="AD12" s="2055" t="s">
        <v>933</v>
      </c>
      <c r="AE12" s="2055" t="s">
        <v>934</v>
      </c>
      <c r="AF12" s="3056"/>
      <c r="AG12" s="2068" t="s">
        <v>935</v>
      </c>
      <c r="AH12" s="2068" t="s">
        <v>936</v>
      </c>
      <c r="AI12" s="3056"/>
      <c r="AJ12" s="2068" t="s">
        <v>935</v>
      </c>
      <c r="AK12" s="2068" t="s">
        <v>936</v>
      </c>
      <c r="AL12" s="2056"/>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customHeight="1" ht="0.75">
      <c r="E13" s="1820"/>
      <c r="F13" s="2038">
        <v>0</v>
      </c>
      <c r="G13" s="2038"/>
      <c r="H13" s="2038"/>
      <c r="I13" s="2038"/>
      <c r="J13" s="2038"/>
      <c r="K13" s="2045"/>
      <c r="L13" s="2045"/>
      <c r="M13" s="2045"/>
      <c r="N13" s="2045"/>
      <c r="O13" s="2045"/>
      <c r="P13" s="2045"/>
      <c r="Q13" s="2045"/>
      <c r="R13" s="2045"/>
      <c r="S13" s="2045"/>
      <c r="T13" s="2045"/>
      <c r="U13" s="2045"/>
      <c r="V13" s="2045"/>
      <c r="W13" s="2045"/>
      <c r="X13" s="2045"/>
      <c r="Y13" s="2045"/>
      <c r="Z13" s="2045"/>
      <c r="AA13" s="2045"/>
      <c r="AB13" s="2045"/>
      <c r="AC13" s="2045"/>
      <c r="AD13" s="2045"/>
      <c r="AE13" s="2045"/>
      <c r="AF13" s="2045"/>
      <c r="AG13" s="2045"/>
      <c r="AH13" s="2063"/>
      <c r="AI13" s="2056"/>
      <c r="AJ13" s="2045"/>
      <c r="AK13" s="2045"/>
      <c r="AL13" s="1821"/>
      <c r="AM13" s="1819"/>
      <c r="AN13" s="1819"/>
      <c r="AO13" s="1819"/>
      <c r="AP13" s="1819"/>
      <c r="AQ13" s="1819"/>
      <c r="AR13" s="1819"/>
      <c r="AS13" s="1819"/>
      <c r="AT13" s="1819"/>
      <c r="AU13" s="1819"/>
      <c r="AV13" s="1819"/>
      <c r="AW13" s="1819"/>
      <c r="AX13" s="1819"/>
      <c r="AY13" s="1819"/>
      <c r="AZ13" s="1819"/>
      <c r="BA13" s="1819"/>
      <c r="BB13" s="1819"/>
      <c r="BC13" s="1819"/>
      <c r="BD13" s="1819"/>
      <c r="BE13" s="1819"/>
      <c r="BF13" s="1819"/>
    </row>
    <row customHeight="1" ht="21">
      <c r="A14" s="2081" t="s">
        <v>905</v>
      </c>
      <c r="B14" s="2080"/>
      <c r="C14" s="2080"/>
      <c r="D14" s="2074"/>
      <c r="E14" s="2084" t="s">
        <v>18</v>
      </c>
      <c r="F14" s="2036" t="str">
        <f>INDEX(IP_MAIN_LIST_NAME_IP,MATCH(A14,IP_MAIN_LIST_IP_ID,0))&amp;" ("&amp;INDEX(IP_MAIN_START_DATE,MATCH(A14,IP_MAIN_LIST_IP_ID,0))&amp;"-"&amp;INDEX(IP_MAIN_END_DATE,MATCH(A14,IP_MAIN_LIST_IP_ID,0))&amp;")"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G14" s="2037"/>
      <c r="H14" s="2037"/>
      <c r="I14" s="2099"/>
      <c r="J14" s="2099"/>
      <c r="K14" s="2100"/>
      <c r="L14" s="2100"/>
      <c r="M14" s="2100"/>
      <c r="N14" s="2101"/>
      <c r="O14" s="2101"/>
      <c r="P14" s="2101"/>
      <c r="Q14" s="2101"/>
      <c r="R14" s="2101"/>
      <c r="S14" s="2101"/>
      <c r="T14" s="2101"/>
      <c r="U14" s="2101"/>
      <c r="V14" s="2101"/>
      <c r="W14" s="2101"/>
      <c r="X14" s="2101"/>
      <c r="Y14" s="2101"/>
      <c r="Z14" s="2101"/>
      <c r="AA14" s="2101"/>
      <c r="AB14" s="2101"/>
      <c r="AC14" s="2101"/>
      <c r="AD14" s="2101"/>
      <c r="AE14" s="2102"/>
      <c r="AF14" s="2100"/>
      <c r="AG14" s="2100"/>
      <c r="AH14" s="2100"/>
      <c r="AI14" s="2100"/>
      <c r="AJ14" s="2100"/>
      <c r="AK14" s="2100"/>
      <c r="AL14" s="3424"/>
      <c r="AM14" s="2738"/>
      <c r="AN14" s="2738"/>
      <c r="AO14" s="2738"/>
      <c r="AP14" s="2738"/>
      <c r="AQ14" s="2738"/>
      <c r="AR14" s="2738"/>
      <c r="AS14" s="2738"/>
      <c r="AT14" s="2738"/>
      <c r="AU14" s="2738"/>
      <c r="AV14" s="2738"/>
      <c r="AW14" s="2738"/>
      <c r="AX14" s="2738"/>
      <c r="AY14" s="2738"/>
      <c r="AZ14" s="2738"/>
      <c r="BA14" s="2738"/>
      <c r="BB14" s="2738"/>
      <c r="BC14" s="2738"/>
      <c r="BD14" s="2738"/>
      <c r="BE14" s="2738"/>
      <c r="BF14" s="2738"/>
    </row>
    <row customHeight="1" ht="29.25">
      <c r="A15" s="2080" t="s">
        <v>905</v>
      </c>
      <c r="B15" s="2080" t="s">
        <v>18</v>
      </c>
      <c r="C15" s="2080"/>
      <c r="D15" s="2074"/>
      <c r="E15" s="2084"/>
      <c r="F15" s="3353">
        <v>2024</v>
      </c>
      <c r="G15" s="3333"/>
      <c r="H15" s="3333" t="s">
        <v>102</v>
      </c>
      <c r="I15" s="3334" t="s">
        <v>937</v>
      </c>
      <c r="J15" s="10276" t="s">
        <v>18</v>
      </c>
      <c r="K15" s="3335" t="s">
        <v>938</v>
      </c>
      <c r="L15" s="3325" t="s">
        <v>52</v>
      </c>
      <c r="M15" s="2934"/>
      <c r="N15" s="2092"/>
      <c r="O15" s="2091" t="s">
        <v>367</v>
      </c>
      <c r="P15" s="2092"/>
      <c r="Q15" s="2092"/>
      <c r="R15" s="2092"/>
      <c r="S15" s="2092"/>
      <c r="T15" s="2092"/>
      <c r="U15" s="2092"/>
      <c r="V15" s="2092"/>
      <c r="W15" s="2092"/>
      <c r="X15" s="2092"/>
      <c r="Y15" s="2092"/>
      <c r="Z15" s="2092"/>
      <c r="AA15" s="2092"/>
      <c r="AB15" s="2092"/>
      <c r="AC15" s="2092"/>
      <c r="AD15" s="2092"/>
      <c r="AE15" s="2092"/>
      <c r="AF15" s="3324">
        <v>4</v>
      </c>
      <c r="AG15" s="3325" t="s">
        <v>939</v>
      </c>
      <c r="AH15" s="3325" t="s">
        <v>940</v>
      </c>
      <c r="AI15" s="3324"/>
      <c r="AJ15" s="3325"/>
      <c r="AK15" s="3325"/>
      <c r="AL15" s="3424"/>
      <c r="AM15" s="2738"/>
      <c r="AN15" s="2738"/>
      <c r="AO15" s="2738"/>
      <c r="AP15" s="2738"/>
      <c r="AQ15" s="2738"/>
      <c r="AR15" s="2738"/>
      <c r="AS15" s="2738"/>
      <c r="AT15" s="2738"/>
      <c r="AU15" s="2738"/>
      <c r="AV15" s="2738"/>
      <c r="AW15" s="2738"/>
      <c r="AX15" s="2738"/>
      <c r="AY15" s="2738"/>
      <c r="AZ15" s="2738"/>
      <c r="BA15" s="2738"/>
      <c r="BB15" s="2738"/>
      <c r="BC15" s="2738"/>
      <c r="BD15" s="2738"/>
      <c r="BE15" s="2738"/>
      <c r="BF15" s="2738"/>
    </row>
    <row customHeight="1" ht="23.25">
      <c r="A16" s="2080" t="s">
        <v>905</v>
      </c>
      <c r="B16" s="2080"/>
      <c r="C16" s="2080"/>
      <c r="D16" s="2074"/>
      <c r="E16" s="2084"/>
      <c r="F16" s="3353"/>
      <c r="G16" s="3333"/>
      <c r="H16" s="3333"/>
      <c r="I16" s="3334"/>
      <c r="J16" s="10276"/>
      <c r="K16" s="3335"/>
      <c r="L16" s="3325"/>
      <c r="M16" s="2934"/>
      <c r="N16" s="3326"/>
      <c r="O16" s="3327">
        <v>1</v>
      </c>
      <c r="P16" s="3328" t="s">
        <v>52</v>
      </c>
      <c r="Q16" s="3331" t="s">
        <v>18</v>
      </c>
      <c r="R16" s="3331" t="s">
        <v>18</v>
      </c>
      <c r="S16" s="3331" t="s">
        <v>18</v>
      </c>
      <c r="T16" s="3331" t="s">
        <v>18</v>
      </c>
      <c r="U16" s="3331" t="s">
        <v>18</v>
      </c>
      <c r="V16" s="3331" t="s">
        <v>18</v>
      </c>
      <c r="W16" s="3331" t="s">
        <v>18</v>
      </c>
      <c r="X16" s="3331" t="s">
        <v>18</v>
      </c>
      <c r="Y16" s="3331"/>
      <c r="Z16" s="2089"/>
      <c r="AA16" s="2090"/>
      <c r="AB16" s="2090"/>
      <c r="AC16" s="2094"/>
      <c r="AD16" s="2094"/>
      <c r="AE16" s="2095"/>
      <c r="AF16" s="3324"/>
      <c r="AG16" s="3325"/>
      <c r="AH16" s="3325"/>
      <c r="AI16" s="3324"/>
      <c r="AJ16" s="3325"/>
      <c r="AK16" s="3325"/>
      <c r="AL16" s="3424"/>
      <c r="AM16" s="2738"/>
      <c r="AN16" s="2738"/>
      <c r="AO16" s="2738"/>
      <c r="AP16" s="2738"/>
      <c r="AQ16" s="2738"/>
      <c r="AR16" s="2738"/>
      <c r="AS16" s="2738"/>
      <c r="AT16" s="2738"/>
      <c r="AU16" s="2738"/>
      <c r="AV16" s="2738"/>
      <c r="AW16" s="2738"/>
      <c r="AX16" s="2738"/>
      <c r="AY16" s="2738"/>
      <c r="AZ16" s="2738"/>
      <c r="BA16" s="2738"/>
      <c r="BB16" s="2738"/>
      <c r="BC16" s="2738"/>
      <c r="BD16" s="2738"/>
      <c r="BE16" s="2738"/>
      <c r="BF16" s="2738"/>
    </row>
    <row customHeight="1" ht="24.75">
      <c r="A17" s="2080" t="s">
        <v>905</v>
      </c>
      <c r="B17" s="2080"/>
      <c r="C17" s="2080"/>
      <c r="D17" s="2074"/>
      <c r="E17" s="2084"/>
      <c r="F17" s="3353"/>
      <c r="G17" s="3333"/>
      <c r="H17" s="3333"/>
      <c r="I17" s="3334"/>
      <c r="J17" s="10276"/>
      <c r="K17" s="3335"/>
      <c r="L17" s="3325"/>
      <c r="M17" s="2934"/>
      <c r="N17" s="3326"/>
      <c r="O17" s="3327"/>
      <c r="P17" s="3329"/>
      <c r="Q17" s="3331"/>
      <c r="R17" s="3331"/>
      <c r="S17" s="3332"/>
      <c r="T17" s="3331"/>
      <c r="U17" s="3331"/>
      <c r="V17" s="3331"/>
      <c r="W17" s="3331"/>
      <c r="X17" s="3331"/>
      <c r="Y17" s="3331"/>
      <c r="Z17" s="2743"/>
      <c r="AA17" s="2709">
        <v>1</v>
      </c>
      <c r="AB17" s="2093" t="s">
        <v>941</v>
      </c>
      <c r="AC17" s="2083">
        <v>70290</v>
      </c>
      <c r="AD17" s="2093" t="str">
        <f>AB17</f>
        <v>  Прочие</v>
      </c>
      <c r="AE17" s="2083"/>
      <c r="AF17" s="3324"/>
      <c r="AG17" s="3325"/>
      <c r="AH17" s="3325"/>
      <c r="AI17" s="3324"/>
      <c r="AJ17" s="3325"/>
      <c r="AK17" s="3325"/>
      <c r="AL17" s="3424"/>
      <c r="AM17" s="2738"/>
      <c r="AN17" s="2738"/>
      <c r="AO17" s="2738"/>
      <c r="AP17" s="2738"/>
      <c r="AQ17" s="2738"/>
      <c r="AR17" s="2738"/>
      <c r="AS17" s="2738"/>
      <c r="AT17" s="2738"/>
      <c r="AU17" s="2738"/>
      <c r="AV17" s="2738"/>
      <c r="AW17" s="2738"/>
      <c r="AX17" s="2738"/>
      <c r="AY17" s="2738"/>
      <c r="AZ17" s="2738"/>
      <c r="BA17" s="2738"/>
      <c r="BB17" s="2738"/>
      <c r="BC17" s="2738"/>
      <c r="BD17" s="2738"/>
      <c r="BE17" s="2738"/>
      <c r="BF17" s="2738"/>
    </row>
    <row customHeight="1" ht="23.25">
      <c r="A18" s="2080" t="s">
        <v>905</v>
      </c>
      <c r="B18" s="2080"/>
      <c r="C18" s="2080"/>
      <c r="D18" s="2074"/>
      <c r="E18" s="2084"/>
      <c r="F18" s="3353"/>
      <c r="G18" s="3333"/>
      <c r="H18" s="3333"/>
      <c r="I18" s="3334"/>
      <c r="J18" s="10276"/>
      <c r="K18" s="3335"/>
      <c r="L18" s="3325"/>
      <c r="M18" s="2934"/>
      <c r="N18" s="3326"/>
      <c r="O18" s="3327"/>
      <c r="P18" s="3330"/>
      <c r="Q18" s="3331"/>
      <c r="R18" s="3331"/>
      <c r="S18" s="3332"/>
      <c r="T18" s="3331"/>
      <c r="U18" s="3331"/>
      <c r="V18" s="3331"/>
      <c r="W18" s="3331"/>
      <c r="X18" s="3331"/>
      <c r="Y18" s="3331"/>
      <c r="Z18" s="2089"/>
      <c r="AA18" s="2090"/>
      <c r="AB18" s="2155" t="s">
        <v>942</v>
      </c>
      <c r="AC18" s="2094"/>
      <c r="AD18" s="2094"/>
      <c r="AE18" s="2096"/>
      <c r="AF18" s="3324"/>
      <c r="AG18" s="3325"/>
      <c r="AH18" s="3325"/>
      <c r="AI18" s="3324"/>
      <c r="AJ18" s="3325"/>
      <c r="AK18" s="3325"/>
      <c r="AL18" s="3424"/>
      <c r="AM18" s="2738"/>
      <c r="AN18" s="2738"/>
      <c r="AO18" s="2738"/>
      <c r="AP18" s="2738"/>
      <c r="AQ18" s="2738"/>
      <c r="AR18" s="2738"/>
      <c r="AS18" s="2738"/>
      <c r="AT18" s="2738"/>
      <c r="AU18" s="2738"/>
      <c r="AV18" s="2738"/>
      <c r="AW18" s="2738"/>
      <c r="AX18" s="2738"/>
      <c r="AY18" s="2738"/>
      <c r="AZ18" s="2738"/>
      <c r="BA18" s="2738"/>
      <c r="BB18" s="2738"/>
      <c r="BC18" s="2738"/>
      <c r="BD18" s="2738"/>
      <c r="BE18" s="2738"/>
      <c r="BF18" s="2738"/>
    </row>
    <row customHeight="1" ht="11.25">
      <c r="A19" s="2080" t="s">
        <v>905</v>
      </c>
      <c r="B19" s="2080"/>
      <c r="C19" s="2080"/>
      <c r="D19" s="2074"/>
      <c r="E19" s="2084"/>
      <c r="F19" s="3353"/>
      <c r="G19" s="3333"/>
      <c r="H19" s="3333"/>
      <c r="I19" s="3334"/>
      <c r="J19" s="10276"/>
      <c r="K19" s="3335"/>
      <c r="L19" s="3325"/>
      <c r="M19" s="2934"/>
      <c r="N19" s="2090"/>
      <c r="O19" s="2090"/>
      <c r="P19" s="2082" t="s">
        <v>943</v>
      </c>
      <c r="Q19" s="2090"/>
      <c r="R19" s="2090"/>
      <c r="S19" s="2090"/>
      <c r="T19" s="2090"/>
      <c r="U19" s="2090"/>
      <c r="V19" s="2090"/>
      <c r="W19" s="2090"/>
      <c r="X19" s="2090"/>
      <c r="Y19" s="2090"/>
      <c r="Z19" s="2090"/>
      <c r="AA19" s="2090"/>
      <c r="AB19" s="2090"/>
      <c r="AC19" s="2090"/>
      <c r="AD19" s="2090"/>
      <c r="AE19" s="2097"/>
      <c r="AF19" s="3324"/>
      <c r="AG19" s="3325"/>
      <c r="AH19" s="3325"/>
      <c r="AI19" s="3324"/>
      <c r="AJ19" s="3325"/>
      <c r="AK19" s="3325"/>
      <c r="AL19" s="3424"/>
      <c r="AM19" s="2738"/>
      <c r="AN19" s="2738"/>
      <c r="AO19" s="2738"/>
      <c r="AP19" s="2738"/>
      <c r="AQ19" s="2738"/>
      <c r="AR19" s="2738"/>
      <c r="AS19" s="2738"/>
      <c r="AT19" s="2738"/>
      <c r="AU19" s="2738"/>
      <c r="AV19" s="2738"/>
      <c r="AW19" s="2738"/>
      <c r="AX19" s="2738"/>
      <c r="AY19" s="2738"/>
      <c r="AZ19" s="2738"/>
      <c r="BA19" s="2738"/>
      <c r="BB19" s="2738"/>
      <c r="BC19" s="2738"/>
      <c r="BD19" s="2738"/>
      <c r="BE19" s="2738"/>
      <c r="BF19" s="2738"/>
    </row>
    <row customHeight="1" ht="11.25">
      <c r="A20" s="2080" t="s">
        <v>905</v>
      </c>
      <c r="B20" s="2080" t="s">
        <v>944</v>
      </c>
      <c r="C20" s="2080"/>
      <c r="D20" s="2074"/>
      <c r="E20" s="2084"/>
      <c r="F20" s="2744"/>
      <c r="G20" s="10301" t="s">
        <v>844</v>
      </c>
      <c r="H20" s="3333" t="s">
        <v>103</v>
      </c>
      <c r="I20" s="3334" t="s">
        <v>945</v>
      </c>
      <c r="J20" s="3303" t="s">
        <v>946</v>
      </c>
      <c r="K20" s="3335" t="s">
        <v>947</v>
      </c>
      <c r="L20" s="2933" t="s">
        <v>52</v>
      </c>
      <c r="M20" s="2934"/>
      <c r="N20" s="3422"/>
      <c r="O20" s="2091" t="s">
        <v>367</v>
      </c>
      <c r="P20" s="2092"/>
      <c r="Q20" s="2092"/>
      <c r="R20" s="2092"/>
      <c r="S20" s="2092"/>
      <c r="T20" s="2092"/>
      <c r="U20" s="2092"/>
      <c r="V20" s="2092"/>
      <c r="W20" s="2092"/>
      <c r="X20" s="2092"/>
      <c r="Y20" s="2092"/>
      <c r="Z20" s="2092"/>
      <c r="AA20" s="2092"/>
      <c r="AB20" s="2092"/>
      <c r="AC20" s="2092"/>
      <c r="AD20" s="2092"/>
      <c r="AE20" s="2092"/>
      <c r="AF20" s="3324">
        <v>8</v>
      </c>
      <c r="AG20" s="3325" t="s">
        <v>939</v>
      </c>
      <c r="AH20" s="3325" t="s">
        <v>948</v>
      </c>
      <c r="AI20" s="3324"/>
      <c r="AJ20" s="3325"/>
      <c r="AK20" s="3325"/>
      <c r="AL20" s="3424"/>
      <c r="AM20" s="2738"/>
      <c r="AN20" s="2738"/>
      <c r="AO20" s="2738"/>
      <c r="AP20" s="2738"/>
      <c r="AQ20" s="2738"/>
      <c r="AR20" s="2738"/>
      <c r="AS20" s="2738"/>
      <c r="AT20" s="2738"/>
      <c r="AU20" s="2738"/>
      <c r="AV20" s="2738"/>
      <c r="AW20" s="2738"/>
      <c r="AX20" s="2738"/>
      <c r="AY20" s="2738"/>
      <c r="AZ20" s="2738"/>
      <c r="BA20" s="2738"/>
      <c r="BB20" s="2738"/>
      <c r="BC20" s="2738"/>
      <c r="BD20" s="2738"/>
      <c r="BE20" s="2738"/>
      <c r="BF20" s="2738"/>
    </row>
    <row customHeight="1" ht="11.25">
      <c r="A21" s="2080" t="s">
        <v>905</v>
      </c>
      <c r="B21" s="2080"/>
      <c r="C21" s="2080"/>
      <c r="D21" s="2074"/>
      <c r="E21" s="2084"/>
      <c r="F21" s="2744"/>
      <c r="G21" s="2745"/>
      <c r="H21" s="3333" t="s">
        <v>102</v>
      </c>
      <c r="I21" s="3334"/>
      <c r="J21" s="3303"/>
      <c r="K21" s="3335"/>
      <c r="L21" s="2933"/>
      <c r="M21" s="2934"/>
      <c r="N21" s="3398"/>
      <c r="O21" s="3421">
        <v>1</v>
      </c>
      <c r="P21" s="3328" t="s">
        <v>52</v>
      </c>
      <c r="Q21" s="3331" t="s">
        <v>18</v>
      </c>
      <c r="R21" s="3331" t="s">
        <v>18</v>
      </c>
      <c r="S21" s="3331" t="s">
        <v>18</v>
      </c>
      <c r="T21" s="3331" t="s">
        <v>18</v>
      </c>
      <c r="U21" s="3331" t="s">
        <v>18</v>
      </c>
      <c r="V21" s="3331" t="s">
        <v>18</v>
      </c>
      <c r="W21" s="3331" t="s">
        <v>18</v>
      </c>
      <c r="X21" s="3331" t="s">
        <v>18</v>
      </c>
      <c r="Y21" s="3331"/>
      <c r="Z21" s="2089"/>
      <c r="AA21" s="2090"/>
      <c r="AB21" s="2090"/>
      <c r="AC21" s="2094"/>
      <c r="AD21" s="2094"/>
      <c r="AE21" s="2095"/>
      <c r="AF21" s="3324"/>
      <c r="AG21" s="3325"/>
      <c r="AH21" s="3325"/>
      <c r="AI21" s="3324"/>
      <c r="AJ21" s="3325"/>
      <c r="AK21" s="3325"/>
      <c r="AL21" s="3424"/>
      <c r="AM21" s="2738"/>
      <c r="AN21" s="2738"/>
      <c r="AO21" s="2738"/>
      <c r="AP21" s="2738"/>
      <c r="AQ21" s="2738"/>
      <c r="AR21" s="2738"/>
      <c r="AS21" s="2738"/>
      <c r="AT21" s="2738"/>
      <c r="AU21" s="2738"/>
      <c r="AV21" s="2738"/>
      <c r="AW21" s="2738"/>
      <c r="AX21" s="2738"/>
      <c r="AY21" s="2738"/>
      <c r="AZ21" s="2738"/>
      <c r="BA21" s="2738"/>
      <c r="BB21" s="2738"/>
      <c r="BC21" s="2738"/>
      <c r="BD21" s="2738"/>
      <c r="BE21" s="2738"/>
      <c r="BF21" s="2738"/>
    </row>
    <row customHeight="1" ht="11.25">
      <c r="A22" s="2080" t="s">
        <v>905</v>
      </c>
      <c r="B22" s="2080"/>
      <c r="C22" s="2080"/>
      <c r="D22" s="2074"/>
      <c r="E22" s="2084"/>
      <c r="F22" s="2744"/>
      <c r="G22" s="2745"/>
      <c r="H22" s="3333" t="s">
        <v>102</v>
      </c>
      <c r="I22" s="3334"/>
      <c r="J22" s="3303"/>
      <c r="K22" s="3335"/>
      <c r="L22" s="2933"/>
      <c r="M22" s="2934"/>
      <c r="N22" s="3398"/>
      <c r="O22" s="3421"/>
      <c r="P22" s="3329"/>
      <c r="Q22" s="3331"/>
      <c r="R22" s="3331"/>
      <c r="S22" s="3332"/>
      <c r="T22" s="3331"/>
      <c r="U22" s="3331"/>
      <c r="V22" s="3331"/>
      <c r="W22" s="3331"/>
      <c r="X22" s="3331"/>
      <c r="Y22" s="3331"/>
      <c r="Z22" s="2743"/>
      <c r="AA22" s="2709">
        <v>1</v>
      </c>
      <c r="AB22" s="2093" t="s">
        <v>949</v>
      </c>
      <c r="AC22" s="2083">
        <v>550278.93</v>
      </c>
      <c r="AD22" s="2093" t="str">
        <f>AB22</f>
        <v>      Прочие амортизационные отчисления</v>
      </c>
      <c r="AE22" s="2083"/>
      <c r="AF22" s="3324"/>
      <c r="AG22" s="3325"/>
      <c r="AH22" s="3325"/>
      <c r="AI22" s="3324"/>
      <c r="AJ22" s="3325"/>
      <c r="AK22" s="3325"/>
      <c r="AL22" s="3424"/>
      <c r="AM22" s="2738"/>
      <c r="AN22" s="2738"/>
      <c r="AO22" s="2738"/>
      <c r="AP22" s="2738"/>
      <c r="AQ22" s="2738"/>
      <c r="AR22" s="2738"/>
      <c r="AS22" s="2738"/>
      <c r="AT22" s="2738"/>
      <c r="AU22" s="2738"/>
      <c r="AV22" s="2738"/>
      <c r="AW22" s="2738"/>
      <c r="AX22" s="2738"/>
      <c r="AY22" s="2738"/>
      <c r="AZ22" s="2738"/>
      <c r="BA22" s="2738"/>
      <c r="BB22" s="2738"/>
      <c r="BC22" s="2738"/>
      <c r="BD22" s="2738"/>
      <c r="BE22" s="2738"/>
      <c r="BF22" s="2738"/>
    </row>
    <row customHeight="1" ht="11.25">
      <c r="A23" s="2080" t="s">
        <v>905</v>
      </c>
      <c r="B23" s="2080"/>
      <c r="C23" s="2080"/>
      <c r="D23" s="2074"/>
      <c r="E23" s="2084"/>
      <c r="F23" s="2745"/>
      <c r="G23" s="2745"/>
      <c r="H23" s="2745"/>
      <c r="I23" s="2745"/>
      <c r="J23" s="2745"/>
      <c r="K23" s="2745"/>
      <c r="L23" s="2745"/>
      <c r="M23" s="2745"/>
      <c r="N23" s="2745"/>
      <c r="O23" s="2745"/>
      <c r="P23" s="2745"/>
      <c r="Q23" s="2745"/>
      <c r="R23" s="2745"/>
      <c r="S23" s="2745"/>
      <c r="T23" s="2745"/>
      <c r="U23" s="2745"/>
      <c r="V23" s="2745"/>
      <c r="W23" s="2745"/>
      <c r="X23" s="2745"/>
      <c r="Y23" s="2745"/>
      <c r="Z23" s="10301" t="s">
        <v>844</v>
      </c>
      <c r="AA23" s="2729" t="s">
        <v>103</v>
      </c>
      <c r="AB23" s="2093" t="s">
        <v>941</v>
      </c>
      <c r="AC23" s="2083">
        <v>406739.24</v>
      </c>
      <c r="AD23" s="2093" t="str">
        <f>AB23</f>
        <v>  Прочие</v>
      </c>
      <c r="AE23" s="2083"/>
      <c r="AF23" s="2746"/>
      <c r="AG23" s="2674"/>
      <c r="AH23" s="2674"/>
      <c r="AI23" s="2746"/>
      <c r="AJ23" s="2674"/>
      <c r="AK23" s="3423"/>
      <c r="AL23" s="3424"/>
      <c r="AM23" s="2738"/>
      <c r="AN23" s="2738"/>
      <c r="AO23" s="2738"/>
      <c r="AP23" s="2738"/>
      <c r="AQ23" s="2738"/>
      <c r="AR23" s="2738"/>
      <c r="AS23" s="2738"/>
      <c r="AT23" s="2738"/>
      <c r="AU23" s="2738"/>
      <c r="AV23" s="2738"/>
      <c r="AW23" s="2738"/>
      <c r="AX23" s="2738"/>
      <c r="AY23" s="2738"/>
      <c r="AZ23" s="2738"/>
      <c r="BA23" s="2738"/>
      <c r="BB23" s="2738"/>
      <c r="BC23" s="2738"/>
      <c r="BD23" s="2738"/>
      <c r="BE23" s="2738"/>
      <c r="BF23" s="2738"/>
    </row>
    <row customHeight="1" ht="11.25">
      <c r="A24" s="2080" t="s">
        <v>905</v>
      </c>
      <c r="B24" s="2080"/>
      <c r="C24" s="2080"/>
      <c r="D24" s="2074"/>
      <c r="E24" s="2084"/>
      <c r="F24" s="2744"/>
      <c r="G24" s="2745"/>
      <c r="H24" s="3333" t="s">
        <v>102</v>
      </c>
      <c r="I24" s="3334"/>
      <c r="J24" s="3303"/>
      <c r="K24" s="3335"/>
      <c r="L24" s="2933"/>
      <c r="M24" s="2934"/>
      <c r="N24" s="3398"/>
      <c r="O24" s="3421"/>
      <c r="P24" s="3330"/>
      <c r="Q24" s="3331"/>
      <c r="R24" s="3331"/>
      <c r="S24" s="3332"/>
      <c r="T24" s="3331"/>
      <c r="U24" s="3331"/>
      <c r="V24" s="3331"/>
      <c r="W24" s="3331"/>
      <c r="X24" s="3331"/>
      <c r="Y24" s="3331"/>
      <c r="Z24" s="2089"/>
      <c r="AA24" s="2090"/>
      <c r="AB24" s="2155" t="s">
        <v>942</v>
      </c>
      <c r="AC24" s="2094"/>
      <c r="AD24" s="2094"/>
      <c r="AE24" s="2096"/>
      <c r="AF24" s="3324"/>
      <c r="AG24" s="3325"/>
      <c r="AH24" s="3325"/>
      <c r="AI24" s="3324"/>
      <c r="AJ24" s="3325"/>
      <c r="AK24" s="3325"/>
      <c r="AL24" s="3424"/>
      <c r="AM24" s="2738"/>
      <c r="AN24" s="2738"/>
      <c r="AO24" s="2738"/>
      <c r="AP24" s="2738"/>
      <c r="AQ24" s="2738"/>
      <c r="AR24" s="2738"/>
      <c r="AS24" s="2738"/>
      <c r="AT24" s="2738"/>
      <c r="AU24" s="2738"/>
      <c r="AV24" s="2738"/>
      <c r="AW24" s="2738"/>
      <c r="AX24" s="2738"/>
      <c r="AY24" s="2738"/>
      <c r="AZ24" s="2738"/>
      <c r="BA24" s="2738"/>
      <c r="BB24" s="2738"/>
      <c r="BC24" s="2738"/>
      <c r="BD24" s="2738"/>
      <c r="BE24" s="2738"/>
      <c r="BF24" s="2738"/>
    </row>
    <row customHeight="1" ht="11.25">
      <c r="A25" s="2080" t="s">
        <v>905</v>
      </c>
      <c r="B25" s="2080"/>
      <c r="C25" s="2080"/>
      <c r="D25" s="2074"/>
      <c r="E25" s="2084"/>
      <c r="F25" s="2744"/>
      <c r="G25" s="2745"/>
      <c r="H25" s="3333" t="s">
        <v>102</v>
      </c>
      <c r="I25" s="3334"/>
      <c r="J25" s="3303"/>
      <c r="K25" s="3335"/>
      <c r="L25" s="2933"/>
      <c r="M25" s="2934"/>
      <c r="N25" s="2089"/>
      <c r="O25" s="2090"/>
      <c r="P25" s="2082" t="s">
        <v>943</v>
      </c>
      <c r="Q25" s="2090"/>
      <c r="R25" s="2090"/>
      <c r="S25" s="2090"/>
      <c r="T25" s="2090"/>
      <c r="U25" s="2090"/>
      <c r="V25" s="2090"/>
      <c r="W25" s="2090"/>
      <c r="X25" s="2090"/>
      <c r="Y25" s="2090"/>
      <c r="Z25" s="2090"/>
      <c r="AA25" s="2090"/>
      <c r="AB25" s="2090"/>
      <c r="AC25" s="2090"/>
      <c r="AD25" s="2090"/>
      <c r="AE25" s="2097"/>
      <c r="AF25" s="3324"/>
      <c r="AG25" s="3325"/>
      <c r="AH25" s="3325"/>
      <c r="AI25" s="3324"/>
      <c r="AJ25" s="3325"/>
      <c r="AK25" s="3325"/>
      <c r="AL25" s="3424"/>
      <c r="AM25" s="2738"/>
      <c r="AN25" s="2738"/>
      <c r="AO25" s="2738"/>
      <c r="AP25" s="2738"/>
      <c r="AQ25" s="2738"/>
      <c r="AR25" s="2738"/>
      <c r="AS25" s="2738"/>
      <c r="AT25" s="2738"/>
      <c r="AU25" s="2738"/>
      <c r="AV25" s="2738"/>
      <c r="AW25" s="2738"/>
      <c r="AX25" s="2738"/>
      <c r="AY25" s="2738"/>
      <c r="AZ25" s="2738"/>
      <c r="BA25" s="2738"/>
      <c r="BB25" s="2738"/>
      <c r="BC25" s="2738"/>
      <c r="BD25" s="2738"/>
      <c r="BE25" s="2738"/>
      <c r="BF25" s="2738"/>
    </row>
    <row customHeight="1" ht="11.25">
      <c r="A26" s="2080" t="s">
        <v>905</v>
      </c>
      <c r="B26" s="2080" t="s">
        <v>944</v>
      </c>
      <c r="C26" s="2080"/>
      <c r="D26" s="2074"/>
      <c r="E26" s="2084"/>
      <c r="F26" s="2744"/>
      <c r="G26" s="10301" t="s">
        <v>844</v>
      </c>
      <c r="H26" s="3333" t="s">
        <v>86</v>
      </c>
      <c r="I26" s="3334" t="s">
        <v>945</v>
      </c>
      <c r="J26" s="3303" t="s">
        <v>946</v>
      </c>
      <c r="K26" s="3335" t="s">
        <v>950</v>
      </c>
      <c r="L26" s="2933" t="s">
        <v>52</v>
      </c>
      <c r="M26" s="2934"/>
      <c r="N26" s="3422"/>
      <c r="O26" s="2091" t="s">
        <v>367</v>
      </c>
      <c r="P26" s="2092"/>
      <c r="Q26" s="2092"/>
      <c r="R26" s="2092"/>
      <c r="S26" s="2092"/>
      <c r="T26" s="2092"/>
      <c r="U26" s="2092"/>
      <c r="V26" s="2092"/>
      <c r="W26" s="2092"/>
      <c r="X26" s="2092"/>
      <c r="Y26" s="2092"/>
      <c r="Z26" s="2092"/>
      <c r="AA26" s="2092"/>
      <c r="AB26" s="2092"/>
      <c r="AC26" s="2092"/>
      <c r="AD26" s="2092"/>
      <c r="AE26" s="2092"/>
      <c r="AF26" s="3324">
        <v>12</v>
      </c>
      <c r="AG26" s="3325" t="s">
        <v>939</v>
      </c>
      <c r="AH26" s="3325" t="s">
        <v>940</v>
      </c>
      <c r="AI26" s="3324"/>
      <c r="AJ26" s="3325"/>
      <c r="AK26" s="3325"/>
      <c r="AL26" s="3424"/>
      <c r="AM26" s="2738"/>
      <c r="AN26" s="2738"/>
      <c r="AO26" s="2738"/>
      <c r="AP26" s="2738"/>
      <c r="AQ26" s="2738"/>
      <c r="AR26" s="2738"/>
      <c r="AS26" s="2738"/>
      <c r="AT26" s="2738"/>
      <c r="AU26" s="2738"/>
      <c r="AV26" s="2738"/>
      <c r="AW26" s="2738"/>
      <c r="AX26" s="2738"/>
      <c r="AY26" s="2738"/>
      <c r="AZ26" s="2738"/>
      <c r="BA26" s="2738"/>
      <c r="BB26" s="2738"/>
      <c r="BC26" s="2738"/>
      <c r="BD26" s="2738"/>
      <c r="BE26" s="2738"/>
      <c r="BF26" s="2738"/>
    </row>
    <row customHeight="1" ht="11.25">
      <c r="A27" s="2080" t="s">
        <v>905</v>
      </c>
      <c r="B27" s="2080"/>
      <c r="C27" s="2080"/>
      <c r="D27" s="2074"/>
      <c r="E27" s="2084"/>
      <c r="F27" s="2744"/>
      <c r="G27" s="2745"/>
      <c r="H27" s="3333" t="s">
        <v>103</v>
      </c>
      <c r="I27" s="3334"/>
      <c r="J27" s="3303"/>
      <c r="K27" s="3335"/>
      <c r="L27" s="2933"/>
      <c r="M27" s="2934"/>
      <c r="N27" s="3398"/>
      <c r="O27" s="3421">
        <v>1</v>
      </c>
      <c r="P27" s="3328" t="s">
        <v>52</v>
      </c>
      <c r="Q27" s="3331" t="s">
        <v>18</v>
      </c>
      <c r="R27" s="3331" t="s">
        <v>18</v>
      </c>
      <c r="S27" s="3331" t="s">
        <v>18</v>
      </c>
      <c r="T27" s="3331" t="s">
        <v>18</v>
      </c>
      <c r="U27" s="3331" t="s">
        <v>18</v>
      </c>
      <c r="V27" s="3331" t="s">
        <v>18</v>
      </c>
      <c r="W27" s="3331" t="s">
        <v>18</v>
      </c>
      <c r="X27" s="3331" t="s">
        <v>18</v>
      </c>
      <c r="Y27" s="3331"/>
      <c r="Z27" s="2089"/>
      <c r="AA27" s="2090"/>
      <c r="AB27" s="2090"/>
      <c r="AC27" s="2094"/>
      <c r="AD27" s="2094"/>
      <c r="AE27" s="2095"/>
      <c r="AF27" s="3324"/>
      <c r="AG27" s="3325"/>
      <c r="AH27" s="3325"/>
      <c r="AI27" s="3324"/>
      <c r="AJ27" s="3325"/>
      <c r="AK27" s="3325"/>
      <c r="AL27" s="3424"/>
      <c r="AM27" s="2738"/>
      <c r="AN27" s="2738"/>
      <c r="AO27" s="2738"/>
      <c r="AP27" s="2738"/>
      <c r="AQ27" s="2738"/>
      <c r="AR27" s="2738"/>
      <c r="AS27" s="2738"/>
      <c r="AT27" s="2738"/>
      <c r="AU27" s="2738"/>
      <c r="AV27" s="2738"/>
      <c r="AW27" s="2738"/>
      <c r="AX27" s="2738"/>
      <c r="AY27" s="2738"/>
      <c r="AZ27" s="2738"/>
      <c r="BA27" s="2738"/>
      <c r="BB27" s="2738"/>
      <c r="BC27" s="2738"/>
      <c r="BD27" s="2738"/>
      <c r="BE27" s="2738"/>
      <c r="BF27" s="2738"/>
    </row>
    <row customHeight="1" ht="11.25">
      <c r="A28" s="2080" t="s">
        <v>905</v>
      </c>
      <c r="B28" s="2080"/>
      <c r="C28" s="2080"/>
      <c r="D28" s="2074"/>
      <c r="E28" s="2084"/>
      <c r="F28" s="2744"/>
      <c r="G28" s="2745"/>
      <c r="H28" s="3333" t="s">
        <v>103</v>
      </c>
      <c r="I28" s="3334"/>
      <c r="J28" s="3303"/>
      <c r="K28" s="3335"/>
      <c r="L28" s="2933"/>
      <c r="M28" s="2934"/>
      <c r="N28" s="3398"/>
      <c r="O28" s="3421"/>
      <c r="P28" s="3329"/>
      <c r="Q28" s="3331"/>
      <c r="R28" s="3331"/>
      <c r="S28" s="3332"/>
      <c r="T28" s="3331"/>
      <c r="U28" s="3331"/>
      <c r="V28" s="3331"/>
      <c r="W28" s="3331"/>
      <c r="X28" s="3331"/>
      <c r="Y28" s="3331"/>
      <c r="Z28" s="2743"/>
      <c r="AA28" s="2709">
        <v>1</v>
      </c>
      <c r="AB28" s="2093" t="s">
        <v>949</v>
      </c>
      <c r="AC28" s="2083">
        <v>1148712.93</v>
      </c>
      <c r="AD28" s="2093" t="str">
        <f>AB28</f>
        <v>      Прочие амортизационные отчисления</v>
      </c>
      <c r="AE28" s="2083"/>
      <c r="AF28" s="3324"/>
      <c r="AG28" s="3325"/>
      <c r="AH28" s="3325"/>
      <c r="AI28" s="3324"/>
      <c r="AJ28" s="3325"/>
      <c r="AK28" s="3325"/>
      <c r="AL28" s="3424"/>
      <c r="AM28" s="2738"/>
      <c r="AN28" s="2738"/>
      <c r="AO28" s="2738"/>
      <c r="AP28" s="2738"/>
      <c r="AQ28" s="2738"/>
      <c r="AR28" s="2738"/>
      <c r="AS28" s="2738"/>
      <c r="AT28" s="2738"/>
      <c r="AU28" s="2738"/>
      <c r="AV28" s="2738"/>
      <c r="AW28" s="2738"/>
      <c r="AX28" s="2738"/>
      <c r="AY28" s="2738"/>
      <c r="AZ28" s="2738"/>
      <c r="BA28" s="2738"/>
      <c r="BB28" s="2738"/>
      <c r="BC28" s="2738"/>
      <c r="BD28" s="2738"/>
      <c r="BE28" s="2738"/>
      <c r="BF28" s="2738"/>
    </row>
    <row customHeight="1" ht="11.25">
      <c r="A29" s="2080" t="s">
        <v>905</v>
      </c>
      <c r="B29" s="2080"/>
      <c r="C29" s="2080"/>
      <c r="D29" s="2074"/>
      <c r="E29" s="2084"/>
      <c r="F29" s="2745"/>
      <c r="G29" s="2745"/>
      <c r="H29" s="2745"/>
      <c r="I29" s="2745"/>
      <c r="J29" s="2745"/>
      <c r="K29" s="2745"/>
      <c r="L29" s="2745"/>
      <c r="M29" s="2745"/>
      <c r="N29" s="2745"/>
      <c r="O29" s="2745"/>
      <c r="P29" s="2745"/>
      <c r="Q29" s="2745"/>
      <c r="R29" s="2745"/>
      <c r="S29" s="2745"/>
      <c r="T29" s="2745"/>
      <c r="U29" s="2745"/>
      <c r="V29" s="2745"/>
      <c r="W29" s="2745"/>
      <c r="X29" s="2745"/>
      <c r="Y29" s="2745"/>
      <c r="Z29" s="10301" t="s">
        <v>844</v>
      </c>
      <c r="AA29" s="2729" t="s">
        <v>103</v>
      </c>
      <c r="AB29" s="2093" t="s">
        <v>941</v>
      </c>
      <c r="AC29" s="2083">
        <v>1126408.56</v>
      </c>
      <c r="AD29" s="2093" t="str">
        <f>AB29</f>
        <v>  Прочие</v>
      </c>
      <c r="AE29" s="2083"/>
      <c r="AF29" s="2746"/>
      <c r="AG29" s="2674"/>
      <c r="AH29" s="2674"/>
      <c r="AI29" s="2746"/>
      <c r="AJ29" s="2674"/>
      <c r="AK29" s="3423"/>
      <c r="AL29" s="3424"/>
      <c r="AM29" s="2738"/>
      <c r="AN29" s="2738"/>
      <c r="AO29" s="2738"/>
      <c r="AP29" s="2738"/>
      <c r="AQ29" s="2738"/>
      <c r="AR29" s="2738"/>
      <c r="AS29" s="2738"/>
      <c r="AT29" s="2738"/>
      <c r="AU29" s="2738"/>
      <c r="AV29" s="2738"/>
      <c r="AW29" s="2738"/>
      <c r="AX29" s="2738"/>
      <c r="AY29" s="2738"/>
      <c r="AZ29" s="2738"/>
      <c r="BA29" s="2738"/>
      <c r="BB29" s="2738"/>
      <c r="BC29" s="2738"/>
      <c r="BD29" s="2738"/>
      <c r="BE29" s="2738"/>
      <c r="BF29" s="2738"/>
    </row>
    <row customHeight="1" ht="11.25">
      <c r="A30" s="2080" t="s">
        <v>905</v>
      </c>
      <c r="B30" s="2080"/>
      <c r="C30" s="2080"/>
      <c r="D30" s="2074"/>
      <c r="E30" s="2084"/>
      <c r="F30" s="2744"/>
      <c r="G30" s="2745"/>
      <c r="H30" s="3333" t="s">
        <v>103</v>
      </c>
      <c r="I30" s="3334"/>
      <c r="J30" s="3303"/>
      <c r="K30" s="3335"/>
      <c r="L30" s="2933"/>
      <c r="M30" s="2934"/>
      <c r="N30" s="3398"/>
      <c r="O30" s="3421"/>
      <c r="P30" s="3330"/>
      <c r="Q30" s="3331"/>
      <c r="R30" s="3331"/>
      <c r="S30" s="3332"/>
      <c r="T30" s="3331"/>
      <c r="U30" s="3331"/>
      <c r="V30" s="3331"/>
      <c r="W30" s="3331"/>
      <c r="X30" s="3331"/>
      <c r="Y30" s="3331"/>
      <c r="Z30" s="2089"/>
      <c r="AA30" s="2090"/>
      <c r="AB30" s="2155" t="s">
        <v>942</v>
      </c>
      <c r="AC30" s="2094"/>
      <c r="AD30" s="2094"/>
      <c r="AE30" s="2096"/>
      <c r="AF30" s="3324"/>
      <c r="AG30" s="3325"/>
      <c r="AH30" s="3325"/>
      <c r="AI30" s="3324"/>
      <c r="AJ30" s="3325"/>
      <c r="AK30" s="3325"/>
      <c r="AL30" s="3424"/>
      <c r="AM30" s="2738"/>
      <c r="AN30" s="2738"/>
      <c r="AO30" s="2738"/>
      <c r="AP30" s="2738"/>
      <c r="AQ30" s="2738"/>
      <c r="AR30" s="2738"/>
      <c r="AS30" s="2738"/>
      <c r="AT30" s="2738"/>
      <c r="AU30" s="2738"/>
      <c r="AV30" s="2738"/>
      <c r="AW30" s="2738"/>
      <c r="AX30" s="2738"/>
      <c r="AY30" s="2738"/>
      <c r="AZ30" s="2738"/>
      <c r="BA30" s="2738"/>
      <c r="BB30" s="2738"/>
      <c r="BC30" s="2738"/>
      <c r="BD30" s="2738"/>
      <c r="BE30" s="2738"/>
      <c r="BF30" s="2738"/>
    </row>
    <row customHeight="1" ht="11.25">
      <c r="A31" s="2080" t="s">
        <v>905</v>
      </c>
      <c r="B31" s="2080"/>
      <c r="C31" s="2080"/>
      <c r="D31" s="2074"/>
      <c r="E31" s="2084"/>
      <c r="F31" s="2744"/>
      <c r="G31" s="2745"/>
      <c r="H31" s="3333" t="s">
        <v>103</v>
      </c>
      <c r="I31" s="3334"/>
      <c r="J31" s="3303"/>
      <c r="K31" s="3335"/>
      <c r="L31" s="2933"/>
      <c r="M31" s="2934"/>
      <c r="N31" s="2089"/>
      <c r="O31" s="2090"/>
      <c r="P31" s="2082" t="s">
        <v>943</v>
      </c>
      <c r="Q31" s="2090"/>
      <c r="R31" s="2090"/>
      <c r="S31" s="2090"/>
      <c r="T31" s="2090"/>
      <c r="U31" s="2090"/>
      <c r="V31" s="2090"/>
      <c r="W31" s="2090"/>
      <c r="X31" s="2090"/>
      <c r="Y31" s="2090"/>
      <c r="Z31" s="2090"/>
      <c r="AA31" s="2090"/>
      <c r="AB31" s="2090"/>
      <c r="AC31" s="2090"/>
      <c r="AD31" s="2090"/>
      <c r="AE31" s="2097"/>
      <c r="AF31" s="3324"/>
      <c r="AG31" s="3325"/>
      <c r="AH31" s="3325"/>
      <c r="AI31" s="3324"/>
      <c r="AJ31" s="3325"/>
      <c r="AK31" s="3325"/>
      <c r="AL31" s="3424"/>
      <c r="AM31" s="2738"/>
      <c r="AN31" s="2738"/>
      <c r="AO31" s="2738"/>
      <c r="AP31" s="2738"/>
      <c r="AQ31" s="2738"/>
      <c r="AR31" s="2738"/>
      <c r="AS31" s="2738"/>
      <c r="AT31" s="2738"/>
      <c r="AU31" s="2738"/>
      <c r="AV31" s="2738"/>
      <c r="AW31" s="2738"/>
      <c r="AX31" s="2738"/>
      <c r="AY31" s="2738"/>
      <c r="AZ31" s="2738"/>
      <c r="BA31" s="2738"/>
      <c r="BB31" s="2738"/>
      <c r="BC31" s="2738"/>
      <c r="BD31" s="2738"/>
      <c r="BE31" s="2738"/>
      <c r="BF31" s="2738"/>
    </row>
    <row customHeight="1" ht="23.25">
      <c r="A32" s="2080" t="s">
        <v>905</v>
      </c>
      <c r="B32" s="2080" t="s">
        <v>944</v>
      </c>
      <c r="C32" s="2080"/>
      <c r="D32" s="2074"/>
      <c r="E32" s="2084"/>
      <c r="F32" s="2744"/>
      <c r="G32" s="10301" t="s">
        <v>844</v>
      </c>
      <c r="H32" s="3333" t="s">
        <v>87</v>
      </c>
      <c r="I32" s="3334" t="s">
        <v>945</v>
      </c>
      <c r="J32" s="3303" t="s">
        <v>946</v>
      </c>
      <c r="K32" s="3335" t="s">
        <v>951</v>
      </c>
      <c r="L32" s="2933" t="s">
        <v>52</v>
      </c>
      <c r="M32" s="2934"/>
      <c r="N32" s="3422"/>
      <c r="O32" s="2091" t="s">
        <v>367</v>
      </c>
      <c r="P32" s="2092"/>
      <c r="Q32" s="2092"/>
      <c r="R32" s="2092"/>
      <c r="S32" s="2092"/>
      <c r="T32" s="2092"/>
      <c r="U32" s="2092"/>
      <c r="V32" s="2092"/>
      <c r="W32" s="2092"/>
      <c r="X32" s="2092"/>
      <c r="Y32" s="2092"/>
      <c r="Z32" s="2092"/>
      <c r="AA32" s="2092"/>
      <c r="AB32" s="2092"/>
      <c r="AC32" s="2092"/>
      <c r="AD32" s="2092"/>
      <c r="AE32" s="2092"/>
      <c r="AF32" s="3324">
        <v>3</v>
      </c>
      <c r="AG32" s="3325" t="s">
        <v>939</v>
      </c>
      <c r="AH32" s="3325" t="s">
        <v>948</v>
      </c>
      <c r="AI32" s="3324"/>
      <c r="AJ32" s="3325"/>
      <c r="AK32" s="3325"/>
      <c r="AL32" s="3424"/>
      <c r="AM32" s="2738"/>
      <c r="AN32" s="2738"/>
      <c r="AO32" s="2738"/>
      <c r="AP32" s="2738"/>
      <c r="AQ32" s="2738"/>
      <c r="AR32" s="2738"/>
      <c r="AS32" s="2738"/>
      <c r="AT32" s="2738"/>
      <c r="AU32" s="2738"/>
      <c r="AV32" s="2738"/>
      <c r="AW32" s="2738"/>
      <c r="AX32" s="2738"/>
      <c r="AY32" s="2738"/>
      <c r="AZ32" s="2738"/>
      <c r="BA32" s="2738"/>
      <c r="BB32" s="2738"/>
      <c r="BC32" s="2738"/>
      <c r="BD32" s="2738"/>
      <c r="BE32" s="2738"/>
      <c r="BF32" s="2738"/>
    </row>
    <row customHeight="1" ht="24">
      <c r="A33" s="2080" t="s">
        <v>905</v>
      </c>
      <c r="B33" s="2080"/>
      <c r="C33" s="2080"/>
      <c r="D33" s="2074"/>
      <c r="E33" s="2084"/>
      <c r="F33" s="2744"/>
      <c r="G33" s="2745"/>
      <c r="H33" s="3333" t="s">
        <v>86</v>
      </c>
      <c r="I33" s="3334"/>
      <c r="J33" s="3303"/>
      <c r="K33" s="3335"/>
      <c r="L33" s="2933"/>
      <c r="M33" s="2934"/>
      <c r="N33" s="3398"/>
      <c r="O33" s="3421">
        <v>1</v>
      </c>
      <c r="P33" s="3328" t="s">
        <v>52</v>
      </c>
      <c r="Q33" s="3331" t="s">
        <v>18</v>
      </c>
      <c r="R33" s="3331" t="s">
        <v>18</v>
      </c>
      <c r="S33" s="3331" t="s">
        <v>18</v>
      </c>
      <c r="T33" s="3331" t="s">
        <v>18</v>
      </c>
      <c r="U33" s="3331" t="s">
        <v>18</v>
      </c>
      <c r="V33" s="3331" t="s">
        <v>18</v>
      </c>
      <c r="W33" s="3331" t="s">
        <v>18</v>
      </c>
      <c r="X33" s="3331" t="s">
        <v>18</v>
      </c>
      <c r="Y33" s="3331"/>
      <c r="Z33" s="2089"/>
      <c r="AA33" s="2090"/>
      <c r="AB33" s="2090"/>
      <c r="AC33" s="2094"/>
      <c r="AD33" s="2094"/>
      <c r="AE33" s="2095"/>
      <c r="AF33" s="3324"/>
      <c r="AG33" s="3325"/>
      <c r="AH33" s="3325"/>
      <c r="AI33" s="3324"/>
      <c r="AJ33" s="3325"/>
      <c r="AK33" s="3325"/>
      <c r="AL33" s="3424"/>
      <c r="AM33" s="2738"/>
      <c r="AN33" s="2738"/>
      <c r="AO33" s="2738"/>
      <c r="AP33" s="2738"/>
      <c r="AQ33" s="2738"/>
      <c r="AR33" s="2738"/>
      <c r="AS33" s="2738"/>
      <c r="AT33" s="2738"/>
      <c r="AU33" s="2738"/>
      <c r="AV33" s="2738"/>
      <c r="AW33" s="2738"/>
      <c r="AX33" s="2738"/>
      <c r="AY33" s="2738"/>
      <c r="AZ33" s="2738"/>
      <c r="BA33" s="2738"/>
      <c r="BB33" s="2738"/>
      <c r="BC33" s="2738"/>
      <c r="BD33" s="2738"/>
      <c r="BE33" s="2738"/>
      <c r="BF33" s="2738"/>
    </row>
    <row customHeight="1" ht="20.25">
      <c r="A34" s="2080" t="s">
        <v>905</v>
      </c>
      <c r="B34" s="2080"/>
      <c r="C34" s="2080"/>
      <c r="D34" s="2074"/>
      <c r="E34" s="2084"/>
      <c r="F34" s="2744"/>
      <c r="G34" s="2745"/>
      <c r="H34" s="3333" t="s">
        <v>86</v>
      </c>
      <c r="I34" s="3334"/>
      <c r="J34" s="3303"/>
      <c r="K34" s="3335"/>
      <c r="L34" s="2933"/>
      <c r="M34" s="2934"/>
      <c r="N34" s="3398"/>
      <c r="O34" s="3421"/>
      <c r="P34" s="3329"/>
      <c r="Q34" s="3331"/>
      <c r="R34" s="3331"/>
      <c r="S34" s="3332"/>
      <c r="T34" s="3331"/>
      <c r="U34" s="3331"/>
      <c r="V34" s="3331"/>
      <c r="W34" s="3331"/>
      <c r="X34" s="3331"/>
      <c r="Y34" s="3331"/>
      <c r="Z34" s="2743"/>
      <c r="AA34" s="2709">
        <v>1</v>
      </c>
      <c r="AB34" s="2093" t="s">
        <v>949</v>
      </c>
      <c r="AC34" s="2083">
        <v>2514.3</v>
      </c>
      <c r="AD34" s="2093" t="str">
        <f>AB34</f>
        <v>      Прочие амортизационные отчисления</v>
      </c>
      <c r="AE34" s="2083"/>
      <c r="AF34" s="3324"/>
      <c r="AG34" s="3325"/>
      <c r="AH34" s="3325"/>
      <c r="AI34" s="3324"/>
      <c r="AJ34" s="3325"/>
      <c r="AK34" s="3325"/>
      <c r="AL34" s="3424"/>
      <c r="AM34" s="2738"/>
      <c r="AN34" s="2738"/>
      <c r="AO34" s="2738"/>
      <c r="AP34" s="2738"/>
      <c r="AQ34" s="2738"/>
      <c r="AR34" s="2738"/>
      <c r="AS34" s="2738"/>
      <c r="AT34" s="2738"/>
      <c r="AU34" s="2738"/>
      <c r="AV34" s="2738"/>
      <c r="AW34" s="2738"/>
      <c r="AX34" s="2738"/>
      <c r="AY34" s="2738"/>
      <c r="AZ34" s="2738"/>
      <c r="BA34" s="2738"/>
      <c r="BB34" s="2738"/>
      <c r="BC34" s="2738"/>
      <c r="BD34" s="2738"/>
      <c r="BE34" s="2738"/>
      <c r="BF34" s="2738"/>
    </row>
    <row customHeight="1" ht="11.25">
      <c r="A35" s="2080" t="s">
        <v>905</v>
      </c>
      <c r="B35" s="2080"/>
      <c r="C35" s="2080"/>
      <c r="D35" s="2074"/>
      <c r="E35" s="2084"/>
      <c r="F35" s="2745"/>
      <c r="G35" s="2745"/>
      <c r="H35" s="2745"/>
      <c r="I35" s="2745"/>
      <c r="J35" s="2745"/>
      <c r="K35" s="2745"/>
      <c r="L35" s="2745"/>
      <c r="M35" s="2745"/>
      <c r="N35" s="2745"/>
      <c r="O35" s="2745"/>
      <c r="P35" s="2745"/>
      <c r="Q35" s="2745"/>
      <c r="R35" s="2745"/>
      <c r="S35" s="2745"/>
      <c r="T35" s="2745"/>
      <c r="U35" s="2745"/>
      <c r="V35" s="2745"/>
      <c r="W35" s="2745"/>
      <c r="X35" s="2745"/>
      <c r="Y35" s="2745"/>
      <c r="Z35" s="10301" t="s">
        <v>844</v>
      </c>
      <c r="AA35" s="2729" t="s">
        <v>103</v>
      </c>
      <c r="AB35" s="2093" t="s">
        <v>941</v>
      </c>
      <c r="AC35" s="2083">
        <v>1885.7</v>
      </c>
      <c r="AD35" s="2093" t="str">
        <f>AB35</f>
        <v>  Прочие</v>
      </c>
      <c r="AE35" s="2083"/>
      <c r="AF35" s="2746"/>
      <c r="AG35" s="2674"/>
      <c r="AH35" s="2674"/>
      <c r="AI35" s="2746"/>
      <c r="AJ35" s="2674"/>
      <c r="AK35" s="3423"/>
      <c r="AL35" s="3424"/>
      <c r="AM35" s="2738"/>
      <c r="AN35" s="2738"/>
      <c r="AO35" s="2738"/>
      <c r="AP35" s="2738"/>
      <c r="AQ35" s="2738"/>
      <c r="AR35" s="2738"/>
      <c r="AS35" s="2738"/>
      <c r="AT35" s="2738"/>
      <c r="AU35" s="2738"/>
      <c r="AV35" s="2738"/>
      <c r="AW35" s="2738"/>
      <c r="AX35" s="2738"/>
      <c r="AY35" s="2738"/>
      <c r="AZ35" s="2738"/>
      <c r="BA35" s="2738"/>
      <c r="BB35" s="2738"/>
      <c r="BC35" s="2738"/>
      <c r="BD35" s="2738"/>
      <c r="BE35" s="2738"/>
      <c r="BF35" s="2738"/>
    </row>
    <row customHeight="1" ht="11.25">
      <c r="A36" s="2080" t="s">
        <v>905</v>
      </c>
      <c r="B36" s="2080"/>
      <c r="C36" s="2080"/>
      <c r="D36" s="2074"/>
      <c r="E36" s="2084"/>
      <c r="F36" s="2744"/>
      <c r="G36" s="2745"/>
      <c r="H36" s="3333" t="s">
        <v>86</v>
      </c>
      <c r="I36" s="3334"/>
      <c r="J36" s="3303"/>
      <c r="K36" s="3335"/>
      <c r="L36" s="2933"/>
      <c r="M36" s="2934"/>
      <c r="N36" s="3398"/>
      <c r="O36" s="3421"/>
      <c r="P36" s="3330"/>
      <c r="Q36" s="3331"/>
      <c r="R36" s="3331"/>
      <c r="S36" s="3332"/>
      <c r="T36" s="3331"/>
      <c r="U36" s="3331"/>
      <c r="V36" s="3331"/>
      <c r="W36" s="3331"/>
      <c r="X36" s="3331"/>
      <c r="Y36" s="3331"/>
      <c r="Z36" s="2089"/>
      <c r="AA36" s="2090"/>
      <c r="AB36" s="2155" t="s">
        <v>942</v>
      </c>
      <c r="AC36" s="2094"/>
      <c r="AD36" s="2094"/>
      <c r="AE36" s="2096"/>
      <c r="AF36" s="3324"/>
      <c r="AG36" s="3325"/>
      <c r="AH36" s="3325"/>
      <c r="AI36" s="3324"/>
      <c r="AJ36" s="3325"/>
      <c r="AK36" s="3325"/>
      <c r="AL36" s="3424"/>
      <c r="AM36" s="2738"/>
      <c r="AN36" s="2738"/>
      <c r="AO36" s="2738"/>
      <c r="AP36" s="2738"/>
      <c r="AQ36" s="2738"/>
      <c r="AR36" s="2738"/>
      <c r="AS36" s="2738"/>
      <c r="AT36" s="2738"/>
      <c r="AU36" s="2738"/>
      <c r="AV36" s="2738"/>
      <c r="AW36" s="2738"/>
      <c r="AX36" s="2738"/>
      <c r="AY36" s="2738"/>
      <c r="AZ36" s="2738"/>
      <c r="BA36" s="2738"/>
      <c r="BB36" s="2738"/>
      <c r="BC36" s="2738"/>
      <c r="BD36" s="2738"/>
      <c r="BE36" s="2738"/>
      <c r="BF36" s="2738"/>
    </row>
    <row customHeight="1" ht="20.25">
      <c r="A37" s="2080" t="s">
        <v>905</v>
      </c>
      <c r="B37" s="2080"/>
      <c r="C37" s="2080"/>
      <c r="D37" s="2074"/>
      <c r="E37" s="2084"/>
      <c r="F37" s="2744"/>
      <c r="G37" s="2745"/>
      <c r="H37" s="3333" t="s">
        <v>86</v>
      </c>
      <c r="I37" s="3334"/>
      <c r="J37" s="3303"/>
      <c r="K37" s="3335"/>
      <c r="L37" s="2933"/>
      <c r="M37" s="2934"/>
      <c r="N37" s="2089"/>
      <c r="O37" s="2090"/>
      <c r="P37" s="2082" t="s">
        <v>943</v>
      </c>
      <c r="Q37" s="2090"/>
      <c r="R37" s="2090"/>
      <c r="S37" s="2090"/>
      <c r="T37" s="2090"/>
      <c r="U37" s="2090"/>
      <c r="V37" s="2090"/>
      <c r="W37" s="2090"/>
      <c r="X37" s="2090"/>
      <c r="Y37" s="2090"/>
      <c r="Z37" s="2090"/>
      <c r="AA37" s="2090"/>
      <c r="AB37" s="2090"/>
      <c r="AC37" s="2090"/>
      <c r="AD37" s="2090"/>
      <c r="AE37" s="2097"/>
      <c r="AF37" s="3324"/>
      <c r="AG37" s="3325"/>
      <c r="AH37" s="3325"/>
      <c r="AI37" s="3324"/>
      <c r="AJ37" s="3325"/>
      <c r="AK37" s="3325"/>
      <c r="AL37" s="3424"/>
      <c r="AM37" s="2738"/>
      <c r="AN37" s="2738"/>
      <c r="AO37" s="2738"/>
      <c r="AP37" s="2738"/>
      <c r="AQ37" s="2738"/>
      <c r="AR37" s="2738"/>
      <c r="AS37" s="2738"/>
      <c r="AT37" s="2738"/>
      <c r="AU37" s="2738"/>
      <c r="AV37" s="2738"/>
      <c r="AW37" s="2738"/>
      <c r="AX37" s="2738"/>
      <c r="AY37" s="2738"/>
      <c r="AZ37" s="2738"/>
      <c r="BA37" s="2738"/>
      <c r="BB37" s="2738"/>
      <c r="BC37" s="2738"/>
      <c r="BD37" s="2738"/>
      <c r="BE37" s="2738"/>
      <c r="BF37" s="2738"/>
    </row>
    <row customHeight="1" ht="38.25">
      <c r="A38" s="2080" t="s">
        <v>905</v>
      </c>
      <c r="B38" s="2080" t="s">
        <v>944</v>
      </c>
      <c r="C38" s="2080"/>
      <c r="D38" s="2074"/>
      <c r="E38" s="2084"/>
      <c r="F38" s="2744"/>
      <c r="G38" s="10301" t="s">
        <v>844</v>
      </c>
      <c r="H38" s="3333" t="s">
        <v>104</v>
      </c>
      <c r="I38" s="3334" t="s">
        <v>945</v>
      </c>
      <c r="J38" s="3303" t="s">
        <v>946</v>
      </c>
      <c r="K38" s="3335" t="s">
        <v>952</v>
      </c>
      <c r="L38" s="2933" t="s">
        <v>52</v>
      </c>
      <c r="M38" s="2934"/>
      <c r="N38" s="3422"/>
      <c r="O38" s="2091" t="s">
        <v>367</v>
      </c>
      <c r="P38" s="2092"/>
      <c r="Q38" s="2092"/>
      <c r="R38" s="2092"/>
      <c r="S38" s="2092"/>
      <c r="T38" s="2092"/>
      <c r="U38" s="2092"/>
      <c r="V38" s="2092"/>
      <c r="W38" s="2092"/>
      <c r="X38" s="2092"/>
      <c r="Y38" s="2092"/>
      <c r="Z38" s="2092"/>
      <c r="AA38" s="2092"/>
      <c r="AB38" s="2092"/>
      <c r="AC38" s="2092"/>
      <c r="AD38" s="2092"/>
      <c r="AE38" s="2092"/>
      <c r="AF38" s="3324">
        <v>5</v>
      </c>
      <c r="AG38" s="3325" t="s">
        <v>939</v>
      </c>
      <c r="AH38" s="3325" t="s">
        <v>953</v>
      </c>
      <c r="AI38" s="3324"/>
      <c r="AJ38" s="3325"/>
      <c r="AK38" s="3325"/>
      <c r="AL38" s="3424"/>
      <c r="AM38" s="2738"/>
      <c r="AN38" s="2738"/>
      <c r="AO38" s="2738"/>
      <c r="AP38" s="2738"/>
      <c r="AQ38" s="2738"/>
      <c r="AR38" s="2738"/>
      <c r="AS38" s="2738"/>
      <c r="AT38" s="2738"/>
      <c r="AU38" s="2738"/>
      <c r="AV38" s="2738"/>
      <c r="AW38" s="2738"/>
      <c r="AX38" s="2738"/>
      <c r="AY38" s="2738"/>
      <c r="AZ38" s="2738"/>
      <c r="BA38" s="2738"/>
      <c r="BB38" s="2738"/>
      <c r="BC38" s="2738"/>
      <c r="BD38" s="2738"/>
      <c r="BE38" s="2738"/>
      <c r="BF38" s="2738"/>
    </row>
    <row customHeight="1" ht="24">
      <c r="A39" s="2080" t="s">
        <v>905</v>
      </c>
      <c r="B39" s="2080"/>
      <c r="C39" s="2080"/>
      <c r="D39" s="2074"/>
      <c r="E39" s="2084"/>
      <c r="F39" s="2744"/>
      <c r="G39" s="2745"/>
      <c r="H39" s="3333" t="s">
        <v>87</v>
      </c>
      <c r="I39" s="3334"/>
      <c r="J39" s="3303"/>
      <c r="K39" s="3335"/>
      <c r="L39" s="2933"/>
      <c r="M39" s="2934"/>
      <c r="N39" s="3398"/>
      <c r="O39" s="3421">
        <v>1</v>
      </c>
      <c r="P39" s="3328" t="s">
        <v>52</v>
      </c>
      <c r="Q39" s="3331" t="s">
        <v>18</v>
      </c>
      <c r="R39" s="3331" t="s">
        <v>18</v>
      </c>
      <c r="S39" s="3331" t="s">
        <v>18</v>
      </c>
      <c r="T39" s="3331" t="s">
        <v>18</v>
      </c>
      <c r="U39" s="3331" t="s">
        <v>18</v>
      </c>
      <c r="V39" s="3331" t="s">
        <v>18</v>
      </c>
      <c r="W39" s="3331" t="s">
        <v>18</v>
      </c>
      <c r="X39" s="3331" t="s">
        <v>18</v>
      </c>
      <c r="Y39" s="3331"/>
      <c r="Z39" s="2089"/>
      <c r="AA39" s="2090"/>
      <c r="AB39" s="2090"/>
      <c r="AC39" s="2094"/>
      <c r="AD39" s="2094"/>
      <c r="AE39" s="2095"/>
      <c r="AF39" s="3324"/>
      <c r="AG39" s="3325"/>
      <c r="AH39" s="3325"/>
      <c r="AI39" s="3324"/>
      <c r="AJ39" s="3325"/>
      <c r="AK39" s="3325"/>
      <c r="AL39" s="3424"/>
      <c r="AM39" s="2738"/>
      <c r="AN39" s="2738"/>
      <c r="AO39" s="2738"/>
      <c r="AP39" s="2738"/>
      <c r="AQ39" s="2738"/>
      <c r="AR39" s="2738"/>
      <c r="AS39" s="2738"/>
      <c r="AT39" s="2738"/>
      <c r="AU39" s="2738"/>
      <c r="AV39" s="2738"/>
      <c r="AW39" s="2738"/>
      <c r="AX39" s="2738"/>
      <c r="AY39" s="2738"/>
      <c r="AZ39" s="2738"/>
      <c r="BA39" s="2738"/>
      <c r="BB39" s="2738"/>
      <c r="BC39" s="2738"/>
      <c r="BD39" s="2738"/>
      <c r="BE39" s="2738"/>
      <c r="BF39" s="2738"/>
    </row>
    <row customHeight="1" ht="18">
      <c r="A40" s="2080" t="s">
        <v>905</v>
      </c>
      <c r="B40" s="2080"/>
      <c r="C40" s="2080"/>
      <c r="D40" s="2074"/>
      <c r="E40" s="2084"/>
      <c r="F40" s="2744"/>
      <c r="G40" s="2745"/>
      <c r="H40" s="3333" t="s">
        <v>87</v>
      </c>
      <c r="I40" s="3334"/>
      <c r="J40" s="3303"/>
      <c r="K40" s="3335"/>
      <c r="L40" s="2933"/>
      <c r="M40" s="2934"/>
      <c r="N40" s="3398"/>
      <c r="O40" s="3421"/>
      <c r="P40" s="3329"/>
      <c r="Q40" s="3331"/>
      <c r="R40" s="3331"/>
      <c r="S40" s="3332"/>
      <c r="T40" s="3331"/>
      <c r="U40" s="3331"/>
      <c r="V40" s="3331"/>
      <c r="W40" s="3331"/>
      <c r="X40" s="3331"/>
      <c r="Y40" s="3331"/>
      <c r="Z40" s="2743"/>
      <c r="AA40" s="2709">
        <v>1</v>
      </c>
      <c r="AB40" s="2093" t="s">
        <v>949</v>
      </c>
      <c r="AC40" s="2083">
        <v>7267.34</v>
      </c>
      <c r="AD40" s="2093" t="str">
        <f>AB40</f>
        <v>      Прочие амортизационные отчисления</v>
      </c>
      <c r="AE40" s="2083"/>
      <c r="AF40" s="3324"/>
      <c r="AG40" s="3325"/>
      <c r="AH40" s="3325"/>
      <c r="AI40" s="3324"/>
      <c r="AJ40" s="3325"/>
      <c r="AK40" s="3325"/>
      <c r="AL40" s="3424"/>
      <c r="AM40" s="2738"/>
      <c r="AN40" s="2738"/>
      <c r="AO40" s="2738"/>
      <c r="AP40" s="2738"/>
      <c r="AQ40" s="2738"/>
      <c r="AR40" s="2738"/>
      <c r="AS40" s="2738"/>
      <c r="AT40" s="2738"/>
      <c r="AU40" s="2738"/>
      <c r="AV40" s="2738"/>
      <c r="AW40" s="2738"/>
      <c r="AX40" s="2738"/>
      <c r="AY40" s="2738"/>
      <c r="AZ40" s="2738"/>
      <c r="BA40" s="2738"/>
      <c r="BB40" s="2738"/>
      <c r="BC40" s="2738"/>
      <c r="BD40" s="2738"/>
      <c r="BE40" s="2738"/>
      <c r="BF40" s="2738"/>
    </row>
    <row customHeight="1" ht="11.25">
      <c r="A41" s="2080" t="s">
        <v>905</v>
      </c>
      <c r="B41" s="2080"/>
      <c r="C41" s="2080"/>
      <c r="D41" s="2074"/>
      <c r="E41" s="2084"/>
      <c r="F41" s="2745"/>
      <c r="G41" s="2745"/>
      <c r="H41" s="2745"/>
      <c r="I41" s="2745"/>
      <c r="J41" s="2745"/>
      <c r="K41" s="2745"/>
      <c r="L41" s="2745"/>
      <c r="M41" s="2745"/>
      <c r="N41" s="2745"/>
      <c r="O41" s="2745"/>
      <c r="P41" s="2745"/>
      <c r="Q41" s="2745"/>
      <c r="R41" s="2745"/>
      <c r="S41" s="2745"/>
      <c r="T41" s="2745"/>
      <c r="U41" s="2745"/>
      <c r="V41" s="2745"/>
      <c r="W41" s="2745"/>
      <c r="X41" s="2745"/>
      <c r="Y41" s="2745"/>
      <c r="Z41" s="10301" t="s">
        <v>844</v>
      </c>
      <c r="AA41" s="2729" t="s">
        <v>103</v>
      </c>
      <c r="AB41" s="2093" t="s">
        <v>941</v>
      </c>
      <c r="AC41" s="2083">
        <v>5450.45</v>
      </c>
      <c r="AD41" s="2093" t="str">
        <f>AB41</f>
        <v>  Прочие</v>
      </c>
      <c r="AE41" s="2083"/>
      <c r="AF41" s="2746"/>
      <c r="AG41" s="2674"/>
      <c r="AH41" s="2674"/>
      <c r="AI41" s="2746"/>
      <c r="AJ41" s="2674"/>
      <c r="AK41" s="3423"/>
      <c r="AL41" s="3424"/>
      <c r="AM41" s="2738"/>
      <c r="AN41" s="2738"/>
      <c r="AO41" s="2738"/>
      <c r="AP41" s="2738"/>
      <c r="AQ41" s="2738"/>
      <c r="AR41" s="2738"/>
      <c r="AS41" s="2738"/>
      <c r="AT41" s="2738"/>
      <c r="AU41" s="2738"/>
      <c r="AV41" s="2738"/>
      <c r="AW41" s="2738"/>
      <c r="AX41" s="2738"/>
      <c r="AY41" s="2738"/>
      <c r="AZ41" s="2738"/>
      <c r="BA41" s="2738"/>
      <c r="BB41" s="2738"/>
      <c r="BC41" s="2738"/>
      <c r="BD41" s="2738"/>
      <c r="BE41" s="2738"/>
      <c r="BF41" s="2738"/>
    </row>
    <row customHeight="1" ht="35.25">
      <c r="A42" s="2080" t="s">
        <v>905</v>
      </c>
      <c r="B42" s="2080"/>
      <c r="C42" s="2080"/>
      <c r="D42" s="2074"/>
      <c r="E42" s="2084"/>
      <c r="F42" s="2744"/>
      <c r="G42" s="2745"/>
      <c r="H42" s="3333" t="s">
        <v>87</v>
      </c>
      <c r="I42" s="3334"/>
      <c r="J42" s="3303"/>
      <c r="K42" s="3335"/>
      <c r="L42" s="2933"/>
      <c r="M42" s="2934"/>
      <c r="N42" s="3398"/>
      <c r="O42" s="3421"/>
      <c r="P42" s="3330"/>
      <c r="Q42" s="3331"/>
      <c r="R42" s="3331"/>
      <c r="S42" s="3332"/>
      <c r="T42" s="3331"/>
      <c r="U42" s="3331"/>
      <c r="V42" s="3331"/>
      <c r="W42" s="3331"/>
      <c r="X42" s="3331"/>
      <c r="Y42" s="3331"/>
      <c r="Z42" s="2089"/>
      <c r="AA42" s="2090"/>
      <c r="AB42" s="2155" t="s">
        <v>942</v>
      </c>
      <c r="AC42" s="2094"/>
      <c r="AD42" s="2094"/>
      <c r="AE42" s="2096"/>
      <c r="AF42" s="3324"/>
      <c r="AG42" s="3325"/>
      <c r="AH42" s="3325"/>
      <c r="AI42" s="3324"/>
      <c r="AJ42" s="3325"/>
      <c r="AK42" s="3325"/>
      <c r="AL42" s="3424"/>
      <c r="AM42" s="2738"/>
      <c r="AN42" s="2738"/>
      <c r="AO42" s="2738"/>
      <c r="AP42" s="2738"/>
      <c r="AQ42" s="2738"/>
      <c r="AR42" s="2738"/>
      <c r="AS42" s="2738"/>
      <c r="AT42" s="2738"/>
      <c r="AU42" s="2738"/>
      <c r="AV42" s="2738"/>
      <c r="AW42" s="2738"/>
      <c r="AX42" s="2738"/>
      <c r="AY42" s="2738"/>
      <c r="AZ42" s="2738"/>
      <c r="BA42" s="2738"/>
      <c r="BB42" s="2738"/>
      <c r="BC42" s="2738"/>
      <c r="BD42" s="2738"/>
      <c r="BE42" s="2738"/>
      <c r="BF42" s="2738"/>
    </row>
    <row customHeight="1" ht="31.5">
      <c r="A43" s="2080" t="s">
        <v>905</v>
      </c>
      <c r="B43" s="2080"/>
      <c r="C43" s="2080"/>
      <c r="D43" s="2074"/>
      <c r="E43" s="2084"/>
      <c r="F43" s="2744"/>
      <c r="G43" s="2745"/>
      <c r="H43" s="3333" t="s">
        <v>87</v>
      </c>
      <c r="I43" s="3334"/>
      <c r="J43" s="3303"/>
      <c r="K43" s="3335"/>
      <c r="L43" s="2933"/>
      <c r="M43" s="2934"/>
      <c r="N43" s="2089"/>
      <c r="O43" s="2090"/>
      <c r="P43" s="2082" t="s">
        <v>943</v>
      </c>
      <c r="Q43" s="2090"/>
      <c r="R43" s="2090"/>
      <c r="S43" s="2090"/>
      <c r="T43" s="2090"/>
      <c r="U43" s="2090"/>
      <c r="V43" s="2090"/>
      <c r="W43" s="2090"/>
      <c r="X43" s="2090"/>
      <c r="Y43" s="2090"/>
      <c r="Z43" s="2090"/>
      <c r="AA43" s="2090"/>
      <c r="AB43" s="2090"/>
      <c r="AC43" s="2090"/>
      <c r="AD43" s="2090"/>
      <c r="AE43" s="2097"/>
      <c r="AF43" s="3324"/>
      <c r="AG43" s="3325"/>
      <c r="AH43" s="3325"/>
      <c r="AI43" s="3324"/>
      <c r="AJ43" s="3325"/>
      <c r="AK43" s="3325"/>
      <c r="AL43" s="3424"/>
      <c r="AM43" s="2738"/>
      <c r="AN43" s="2738"/>
      <c r="AO43" s="2738"/>
      <c r="AP43" s="2738"/>
      <c r="AQ43" s="2738"/>
      <c r="AR43" s="2738"/>
      <c r="AS43" s="2738"/>
      <c r="AT43" s="2738"/>
      <c r="AU43" s="2738"/>
      <c r="AV43" s="2738"/>
      <c r="AW43" s="2738"/>
      <c r="AX43" s="2738"/>
      <c r="AY43" s="2738"/>
      <c r="AZ43" s="2738"/>
      <c r="BA43" s="2738"/>
      <c r="BB43" s="2738"/>
      <c r="BC43" s="2738"/>
      <c r="BD43" s="2738"/>
      <c r="BE43" s="2738"/>
      <c r="BF43" s="2738"/>
    </row>
    <row customHeight="1" ht="29.25">
      <c r="A44" s="2080" t="s">
        <v>905</v>
      </c>
      <c r="B44" s="2080" t="s">
        <v>944</v>
      </c>
      <c r="C44" s="2080"/>
      <c r="D44" s="2074"/>
      <c r="E44" s="2084"/>
      <c r="F44" s="2744"/>
      <c r="G44" s="10301" t="s">
        <v>844</v>
      </c>
      <c r="H44" s="3333" t="s">
        <v>88</v>
      </c>
      <c r="I44" s="3334" t="s">
        <v>945</v>
      </c>
      <c r="J44" s="3303" t="s">
        <v>946</v>
      </c>
      <c r="K44" s="3335" t="s">
        <v>954</v>
      </c>
      <c r="L44" s="2933" t="s">
        <v>52</v>
      </c>
      <c r="M44" s="2934"/>
      <c r="N44" s="3422"/>
      <c r="O44" s="2091" t="s">
        <v>367</v>
      </c>
      <c r="P44" s="2092"/>
      <c r="Q44" s="2092"/>
      <c r="R44" s="2092"/>
      <c r="S44" s="2092"/>
      <c r="T44" s="2092"/>
      <c r="U44" s="2092"/>
      <c r="V44" s="2092"/>
      <c r="W44" s="2092"/>
      <c r="X44" s="2092"/>
      <c r="Y44" s="2092"/>
      <c r="Z44" s="2092"/>
      <c r="AA44" s="2092"/>
      <c r="AB44" s="2092"/>
      <c r="AC44" s="2092"/>
      <c r="AD44" s="2092"/>
      <c r="AE44" s="2092"/>
      <c r="AF44" s="3324">
        <v>4</v>
      </c>
      <c r="AG44" s="3325" t="s">
        <v>939</v>
      </c>
      <c r="AH44" s="3325" t="s">
        <v>940</v>
      </c>
      <c r="AI44" s="3324"/>
      <c r="AJ44" s="3325"/>
      <c r="AK44" s="3325"/>
      <c r="AL44" s="3424"/>
      <c r="AM44" s="2738"/>
      <c r="AN44" s="2738"/>
      <c r="AO44" s="2738"/>
      <c r="AP44" s="2738"/>
      <c r="AQ44" s="2738"/>
      <c r="AR44" s="2738"/>
      <c r="AS44" s="2738"/>
      <c r="AT44" s="2738"/>
      <c r="AU44" s="2738"/>
      <c r="AV44" s="2738"/>
      <c r="AW44" s="2738"/>
      <c r="AX44" s="2738"/>
      <c r="AY44" s="2738"/>
      <c r="AZ44" s="2738"/>
      <c r="BA44" s="2738"/>
      <c r="BB44" s="2738"/>
      <c r="BC44" s="2738"/>
      <c r="BD44" s="2738"/>
      <c r="BE44" s="2738"/>
      <c r="BF44" s="2738"/>
    </row>
    <row customHeight="1" ht="21.75">
      <c r="A45" s="2080" t="s">
        <v>905</v>
      </c>
      <c r="B45" s="2080"/>
      <c r="C45" s="2080"/>
      <c r="D45" s="2074"/>
      <c r="E45" s="2084"/>
      <c r="F45" s="2744"/>
      <c r="G45" s="2745"/>
      <c r="H45" s="3333" t="s">
        <v>104</v>
      </c>
      <c r="I45" s="3334"/>
      <c r="J45" s="3303"/>
      <c r="K45" s="3335"/>
      <c r="L45" s="2933"/>
      <c r="M45" s="2934"/>
      <c r="N45" s="3398"/>
      <c r="O45" s="3421">
        <v>1</v>
      </c>
      <c r="P45" s="3328" t="s">
        <v>52</v>
      </c>
      <c r="Q45" s="3331" t="s">
        <v>18</v>
      </c>
      <c r="R45" s="3331" t="s">
        <v>18</v>
      </c>
      <c r="S45" s="3331" t="s">
        <v>18</v>
      </c>
      <c r="T45" s="3331" t="s">
        <v>18</v>
      </c>
      <c r="U45" s="3331" t="s">
        <v>18</v>
      </c>
      <c r="V45" s="3331" t="s">
        <v>18</v>
      </c>
      <c r="W45" s="3331" t="s">
        <v>18</v>
      </c>
      <c r="X45" s="3331" t="s">
        <v>18</v>
      </c>
      <c r="Y45" s="3331"/>
      <c r="Z45" s="2089"/>
      <c r="AA45" s="2090"/>
      <c r="AB45" s="2090"/>
      <c r="AC45" s="2094"/>
      <c r="AD45" s="2094"/>
      <c r="AE45" s="2095"/>
      <c r="AF45" s="3324"/>
      <c r="AG45" s="3325"/>
      <c r="AH45" s="3325"/>
      <c r="AI45" s="3324"/>
      <c r="AJ45" s="3325"/>
      <c r="AK45" s="3325"/>
      <c r="AL45" s="3424"/>
      <c r="AM45" s="2738"/>
      <c r="AN45" s="2738"/>
      <c r="AO45" s="2738"/>
      <c r="AP45" s="2738"/>
      <c r="AQ45" s="2738"/>
      <c r="AR45" s="2738"/>
      <c r="AS45" s="2738"/>
      <c r="AT45" s="2738"/>
      <c r="AU45" s="2738"/>
      <c r="AV45" s="2738"/>
      <c r="AW45" s="2738"/>
      <c r="AX45" s="2738"/>
      <c r="AY45" s="2738"/>
      <c r="AZ45" s="2738"/>
      <c r="BA45" s="2738"/>
      <c r="BB45" s="2738"/>
      <c r="BC45" s="2738"/>
      <c r="BD45" s="2738"/>
      <c r="BE45" s="2738"/>
      <c r="BF45" s="2738"/>
    </row>
    <row customHeight="1" ht="35.25">
      <c r="A46" s="2080" t="s">
        <v>905</v>
      </c>
      <c r="B46" s="2080"/>
      <c r="C46" s="2080"/>
      <c r="D46" s="2074"/>
      <c r="E46" s="2084"/>
      <c r="F46" s="2744"/>
      <c r="G46" s="2745"/>
      <c r="H46" s="3333" t="s">
        <v>104</v>
      </c>
      <c r="I46" s="3334"/>
      <c r="J46" s="3303"/>
      <c r="K46" s="3335"/>
      <c r="L46" s="2933"/>
      <c r="M46" s="2934"/>
      <c r="N46" s="3398"/>
      <c r="O46" s="3421"/>
      <c r="P46" s="3329"/>
      <c r="Q46" s="3331"/>
      <c r="R46" s="3331"/>
      <c r="S46" s="3332"/>
      <c r="T46" s="3331"/>
      <c r="U46" s="3331"/>
      <c r="V46" s="3331"/>
      <c r="W46" s="3331"/>
      <c r="X46" s="3331"/>
      <c r="Y46" s="3331"/>
      <c r="Z46" s="2743"/>
      <c r="AA46" s="2709">
        <v>1</v>
      </c>
      <c r="AB46" s="2093" t="s">
        <v>949</v>
      </c>
      <c r="AC46" s="2083">
        <v>10285.76</v>
      </c>
      <c r="AD46" s="2093" t="str">
        <f>AB46</f>
        <v>      Прочие амортизационные отчисления</v>
      </c>
      <c r="AE46" s="2083"/>
      <c r="AF46" s="3324"/>
      <c r="AG46" s="3325"/>
      <c r="AH46" s="3325"/>
      <c r="AI46" s="3324"/>
      <c r="AJ46" s="3325"/>
      <c r="AK46" s="3325"/>
      <c r="AL46" s="3424"/>
      <c r="AM46" s="2738"/>
      <c r="AN46" s="2738"/>
      <c r="AO46" s="2738"/>
      <c r="AP46" s="2738"/>
      <c r="AQ46" s="2738"/>
      <c r="AR46" s="2738"/>
      <c r="AS46" s="2738"/>
      <c r="AT46" s="2738"/>
      <c r="AU46" s="2738"/>
      <c r="AV46" s="2738"/>
      <c r="AW46" s="2738"/>
      <c r="AX46" s="2738"/>
      <c r="AY46" s="2738"/>
      <c r="AZ46" s="2738"/>
      <c r="BA46" s="2738"/>
      <c r="BB46" s="2738"/>
      <c r="BC46" s="2738"/>
      <c r="BD46" s="2738"/>
      <c r="BE46" s="2738"/>
      <c r="BF46" s="2738"/>
    </row>
    <row customHeight="1" ht="11.25">
      <c r="A47" s="2080" t="s">
        <v>905</v>
      </c>
      <c r="B47" s="2080"/>
      <c r="C47" s="2080"/>
      <c r="D47" s="2074"/>
      <c r="E47" s="2084"/>
      <c r="F47" s="2745"/>
      <c r="G47" s="2745"/>
      <c r="H47" s="2745"/>
      <c r="I47" s="2745"/>
      <c r="J47" s="2745"/>
      <c r="K47" s="2745"/>
      <c r="L47" s="2745"/>
      <c r="M47" s="2745"/>
      <c r="N47" s="2745"/>
      <c r="O47" s="2745"/>
      <c r="P47" s="2745"/>
      <c r="Q47" s="2745"/>
      <c r="R47" s="2745"/>
      <c r="S47" s="2745"/>
      <c r="T47" s="2745"/>
      <c r="U47" s="2745"/>
      <c r="V47" s="2745"/>
      <c r="W47" s="2745"/>
      <c r="X47" s="2745"/>
      <c r="Y47" s="2745"/>
      <c r="Z47" s="10301" t="s">
        <v>844</v>
      </c>
      <c r="AA47" s="2729" t="s">
        <v>103</v>
      </c>
      <c r="AB47" s="2093" t="s">
        <v>941</v>
      </c>
      <c r="AC47" s="2083">
        <v>7714.24</v>
      </c>
      <c r="AD47" s="2093" t="str">
        <f>AB47</f>
        <v>  Прочие</v>
      </c>
      <c r="AE47" s="2083"/>
      <c r="AF47" s="2746"/>
      <c r="AG47" s="2674"/>
      <c r="AH47" s="2674"/>
      <c r="AI47" s="2746"/>
      <c r="AJ47" s="2674"/>
      <c r="AK47" s="3423"/>
      <c r="AL47" s="3424"/>
      <c r="AM47" s="2738"/>
      <c r="AN47" s="2738"/>
      <c r="AO47" s="2738"/>
      <c r="AP47" s="2738"/>
      <c r="AQ47" s="2738"/>
      <c r="AR47" s="2738"/>
      <c r="AS47" s="2738"/>
      <c r="AT47" s="2738"/>
      <c r="AU47" s="2738"/>
      <c r="AV47" s="2738"/>
      <c r="AW47" s="2738"/>
      <c r="AX47" s="2738"/>
      <c r="AY47" s="2738"/>
      <c r="AZ47" s="2738"/>
      <c r="BA47" s="2738"/>
      <c r="BB47" s="2738"/>
      <c r="BC47" s="2738"/>
      <c r="BD47" s="2738"/>
      <c r="BE47" s="2738"/>
      <c r="BF47" s="2738"/>
    </row>
    <row customHeight="1" ht="36.75">
      <c r="A48" s="2080" t="s">
        <v>905</v>
      </c>
      <c r="B48" s="2080"/>
      <c r="C48" s="2080"/>
      <c r="D48" s="2074"/>
      <c r="E48" s="2084"/>
      <c r="F48" s="2744"/>
      <c r="G48" s="2745"/>
      <c r="H48" s="3333" t="s">
        <v>104</v>
      </c>
      <c r="I48" s="3334"/>
      <c r="J48" s="3303"/>
      <c r="K48" s="3335"/>
      <c r="L48" s="2933"/>
      <c r="M48" s="2934"/>
      <c r="N48" s="3398"/>
      <c r="O48" s="3421"/>
      <c r="P48" s="3330"/>
      <c r="Q48" s="3331"/>
      <c r="R48" s="3331"/>
      <c r="S48" s="3332"/>
      <c r="T48" s="3331"/>
      <c r="U48" s="3331"/>
      <c r="V48" s="3331"/>
      <c r="W48" s="3331"/>
      <c r="X48" s="3331"/>
      <c r="Y48" s="3331"/>
      <c r="Z48" s="2089"/>
      <c r="AA48" s="2090"/>
      <c r="AB48" s="2155" t="s">
        <v>942</v>
      </c>
      <c r="AC48" s="2094"/>
      <c r="AD48" s="2094"/>
      <c r="AE48" s="2096"/>
      <c r="AF48" s="3324"/>
      <c r="AG48" s="3325"/>
      <c r="AH48" s="3325"/>
      <c r="AI48" s="3324"/>
      <c r="AJ48" s="3325"/>
      <c r="AK48" s="3325"/>
      <c r="AL48" s="3424"/>
      <c r="AM48" s="2738"/>
      <c r="AN48" s="2738"/>
      <c r="AO48" s="2738"/>
      <c r="AP48" s="2738"/>
      <c r="AQ48" s="2738"/>
      <c r="AR48" s="2738"/>
      <c r="AS48" s="2738"/>
      <c r="AT48" s="2738"/>
      <c r="AU48" s="2738"/>
      <c r="AV48" s="2738"/>
      <c r="AW48" s="2738"/>
      <c r="AX48" s="2738"/>
      <c r="AY48" s="2738"/>
      <c r="AZ48" s="2738"/>
      <c r="BA48" s="2738"/>
      <c r="BB48" s="2738"/>
      <c r="BC48" s="2738"/>
      <c r="BD48" s="2738"/>
      <c r="BE48" s="2738"/>
      <c r="BF48" s="2738"/>
    </row>
    <row customHeight="1" ht="37.5">
      <c r="A49" s="2080" t="s">
        <v>905</v>
      </c>
      <c r="B49" s="2080"/>
      <c r="C49" s="2080"/>
      <c r="D49" s="2074"/>
      <c r="E49" s="2084"/>
      <c r="F49" s="2744"/>
      <c r="G49" s="2745"/>
      <c r="H49" s="3333" t="s">
        <v>104</v>
      </c>
      <c r="I49" s="3334"/>
      <c r="J49" s="3303"/>
      <c r="K49" s="3335"/>
      <c r="L49" s="2933"/>
      <c r="M49" s="2934"/>
      <c r="N49" s="2089"/>
      <c r="O49" s="2090"/>
      <c r="P49" s="2082" t="s">
        <v>943</v>
      </c>
      <c r="Q49" s="2090"/>
      <c r="R49" s="2090"/>
      <c r="S49" s="2090"/>
      <c r="T49" s="2090"/>
      <c r="U49" s="2090"/>
      <c r="V49" s="2090"/>
      <c r="W49" s="2090"/>
      <c r="X49" s="2090"/>
      <c r="Y49" s="2090"/>
      <c r="Z49" s="2090"/>
      <c r="AA49" s="2090"/>
      <c r="AB49" s="2090"/>
      <c r="AC49" s="2090"/>
      <c r="AD49" s="2090"/>
      <c r="AE49" s="2097"/>
      <c r="AF49" s="3324"/>
      <c r="AG49" s="3325"/>
      <c r="AH49" s="3325"/>
      <c r="AI49" s="3324"/>
      <c r="AJ49" s="3325"/>
      <c r="AK49" s="3325"/>
      <c r="AL49" s="3424"/>
      <c r="AM49" s="2738"/>
      <c r="AN49" s="2738"/>
      <c r="AO49" s="2738"/>
      <c r="AP49" s="2738"/>
      <c r="AQ49" s="2738"/>
      <c r="AR49" s="2738"/>
      <c r="AS49" s="2738"/>
      <c r="AT49" s="2738"/>
      <c r="AU49" s="2738"/>
      <c r="AV49" s="2738"/>
      <c r="AW49" s="2738"/>
      <c r="AX49" s="2738"/>
      <c r="AY49" s="2738"/>
      <c r="AZ49" s="2738"/>
      <c r="BA49" s="2738"/>
      <c r="BB49" s="2738"/>
      <c r="BC49" s="2738"/>
      <c r="BD49" s="2738"/>
      <c r="BE49" s="2738"/>
      <c r="BF49" s="2738"/>
    </row>
    <row customHeight="1" ht="70.5">
      <c r="A50" s="2080" t="s">
        <v>905</v>
      </c>
      <c r="B50" s="2080" t="s">
        <v>944</v>
      </c>
      <c r="C50" s="2080"/>
      <c r="D50" s="2074"/>
      <c r="E50" s="2084"/>
      <c r="F50" s="2744"/>
      <c r="G50" s="10301" t="s">
        <v>844</v>
      </c>
      <c r="H50" s="3333" t="s">
        <v>89</v>
      </c>
      <c r="I50" s="3334" t="s">
        <v>945</v>
      </c>
      <c r="J50" s="3303" t="s">
        <v>946</v>
      </c>
      <c r="K50" s="3335" t="s">
        <v>955</v>
      </c>
      <c r="L50" s="2933" t="s">
        <v>52</v>
      </c>
      <c r="M50" s="2934"/>
      <c r="N50" s="3422"/>
      <c r="O50" s="2091" t="s">
        <v>367</v>
      </c>
      <c r="P50" s="2092"/>
      <c r="Q50" s="2092"/>
      <c r="R50" s="2092"/>
      <c r="S50" s="2092"/>
      <c r="T50" s="2092"/>
      <c r="U50" s="2092"/>
      <c r="V50" s="2092"/>
      <c r="W50" s="2092"/>
      <c r="X50" s="2092"/>
      <c r="Y50" s="2092"/>
      <c r="Z50" s="2092"/>
      <c r="AA50" s="2092"/>
      <c r="AB50" s="2092"/>
      <c r="AC50" s="2092"/>
      <c r="AD50" s="2092"/>
      <c r="AE50" s="2092"/>
      <c r="AF50" s="3324">
        <v>4</v>
      </c>
      <c r="AG50" s="3325" t="s">
        <v>939</v>
      </c>
      <c r="AH50" s="3325" t="s">
        <v>940</v>
      </c>
      <c r="AI50" s="3324"/>
      <c r="AJ50" s="3325"/>
      <c r="AK50" s="3325"/>
      <c r="AL50" s="3424"/>
      <c r="AM50" s="2738"/>
      <c r="AN50" s="2738"/>
      <c r="AO50" s="2738"/>
      <c r="AP50" s="2738"/>
      <c r="AQ50" s="2738"/>
      <c r="AR50" s="2738"/>
      <c r="AS50" s="2738"/>
      <c r="AT50" s="2738"/>
      <c r="AU50" s="2738"/>
      <c r="AV50" s="2738"/>
      <c r="AW50" s="2738"/>
      <c r="AX50" s="2738"/>
      <c r="AY50" s="2738"/>
      <c r="AZ50" s="2738"/>
      <c r="BA50" s="2738"/>
      <c r="BB50" s="2738"/>
      <c r="BC50" s="2738"/>
      <c r="BD50" s="2738"/>
      <c r="BE50" s="2738"/>
      <c r="BF50" s="2738"/>
    </row>
    <row customHeight="1" ht="36">
      <c r="A51" s="2080" t="s">
        <v>905</v>
      </c>
      <c r="B51" s="2080"/>
      <c r="C51" s="2080"/>
      <c r="D51" s="2074"/>
      <c r="E51" s="2084"/>
      <c r="F51" s="2744"/>
      <c r="G51" s="2745"/>
      <c r="H51" s="3333" t="s">
        <v>88</v>
      </c>
      <c r="I51" s="3334"/>
      <c r="J51" s="3303"/>
      <c r="K51" s="3335"/>
      <c r="L51" s="2933"/>
      <c r="M51" s="2934"/>
      <c r="N51" s="3398"/>
      <c r="O51" s="3421">
        <v>1</v>
      </c>
      <c r="P51" s="3328" t="s">
        <v>52</v>
      </c>
      <c r="Q51" s="3331" t="s">
        <v>18</v>
      </c>
      <c r="R51" s="3331" t="s">
        <v>18</v>
      </c>
      <c r="S51" s="3331" t="s">
        <v>18</v>
      </c>
      <c r="T51" s="3331" t="s">
        <v>18</v>
      </c>
      <c r="U51" s="3331" t="s">
        <v>18</v>
      </c>
      <c r="V51" s="3331" t="s">
        <v>18</v>
      </c>
      <c r="W51" s="3331" t="s">
        <v>18</v>
      </c>
      <c r="X51" s="3331" t="s">
        <v>18</v>
      </c>
      <c r="Y51" s="3331"/>
      <c r="Z51" s="2089"/>
      <c r="AA51" s="2090"/>
      <c r="AB51" s="2090"/>
      <c r="AC51" s="2094"/>
      <c r="AD51" s="2094"/>
      <c r="AE51" s="2095"/>
      <c r="AF51" s="3324"/>
      <c r="AG51" s="3325"/>
      <c r="AH51" s="3325"/>
      <c r="AI51" s="3324"/>
      <c r="AJ51" s="3325"/>
      <c r="AK51" s="3325"/>
      <c r="AL51" s="3424"/>
      <c r="AM51" s="2738"/>
      <c r="AN51" s="2738"/>
      <c r="AO51" s="2738"/>
      <c r="AP51" s="2738"/>
      <c r="AQ51" s="2738"/>
      <c r="AR51" s="2738"/>
      <c r="AS51" s="2738"/>
      <c r="AT51" s="2738"/>
      <c r="AU51" s="2738"/>
      <c r="AV51" s="2738"/>
      <c r="AW51" s="2738"/>
      <c r="AX51" s="2738"/>
      <c r="AY51" s="2738"/>
      <c r="AZ51" s="2738"/>
      <c r="BA51" s="2738"/>
      <c r="BB51" s="2738"/>
      <c r="BC51" s="2738"/>
      <c r="BD51" s="2738"/>
      <c r="BE51" s="2738"/>
      <c r="BF51" s="2738"/>
    </row>
    <row customHeight="1" ht="54">
      <c r="A52" s="2080" t="s">
        <v>905</v>
      </c>
      <c r="B52" s="2080"/>
      <c r="C52" s="2080"/>
      <c r="D52" s="2074"/>
      <c r="E52" s="2084"/>
      <c r="F52" s="2744"/>
      <c r="G52" s="2745"/>
      <c r="H52" s="3333" t="s">
        <v>88</v>
      </c>
      <c r="I52" s="3334"/>
      <c r="J52" s="3303"/>
      <c r="K52" s="3335"/>
      <c r="L52" s="2933"/>
      <c r="M52" s="2934"/>
      <c r="N52" s="3398"/>
      <c r="O52" s="3421"/>
      <c r="P52" s="3329"/>
      <c r="Q52" s="3331"/>
      <c r="R52" s="3331"/>
      <c r="S52" s="3332"/>
      <c r="T52" s="3331"/>
      <c r="U52" s="3331"/>
      <c r="V52" s="3331"/>
      <c r="W52" s="3331"/>
      <c r="X52" s="3331"/>
      <c r="Y52" s="3331"/>
      <c r="Z52" s="2743"/>
      <c r="AA52" s="2709">
        <v>1</v>
      </c>
      <c r="AB52" s="2093" t="s">
        <v>949</v>
      </c>
      <c r="AC52" s="2083">
        <v>17142.93</v>
      </c>
      <c r="AD52" s="2093" t="str">
        <f>AB52</f>
        <v>      Прочие амортизационные отчисления</v>
      </c>
      <c r="AE52" s="2083"/>
      <c r="AF52" s="3324"/>
      <c r="AG52" s="3325"/>
      <c r="AH52" s="3325"/>
      <c r="AI52" s="3324"/>
      <c r="AJ52" s="3325"/>
      <c r="AK52" s="3325"/>
      <c r="AL52" s="3424"/>
      <c r="AM52" s="2738"/>
      <c r="AN52" s="2738"/>
      <c r="AO52" s="2738"/>
      <c r="AP52" s="2738"/>
      <c r="AQ52" s="2738"/>
      <c r="AR52" s="2738"/>
      <c r="AS52" s="2738"/>
      <c r="AT52" s="2738"/>
      <c r="AU52" s="2738"/>
      <c r="AV52" s="2738"/>
      <c r="AW52" s="2738"/>
      <c r="AX52" s="2738"/>
      <c r="AY52" s="2738"/>
      <c r="AZ52" s="2738"/>
      <c r="BA52" s="2738"/>
      <c r="BB52" s="2738"/>
      <c r="BC52" s="2738"/>
      <c r="BD52" s="2738"/>
      <c r="BE52" s="2738"/>
      <c r="BF52" s="2738"/>
    </row>
    <row customHeight="1" ht="11.25">
      <c r="A53" s="2080" t="s">
        <v>905</v>
      </c>
      <c r="B53" s="2080"/>
      <c r="C53" s="2080"/>
      <c r="D53" s="2074"/>
      <c r="E53" s="2084"/>
      <c r="F53" s="2745"/>
      <c r="G53" s="2745"/>
      <c r="H53" s="2745"/>
      <c r="I53" s="2745"/>
      <c r="J53" s="2745"/>
      <c r="K53" s="2745"/>
      <c r="L53" s="2745"/>
      <c r="M53" s="2745"/>
      <c r="N53" s="2745"/>
      <c r="O53" s="2745"/>
      <c r="P53" s="2745"/>
      <c r="Q53" s="2745"/>
      <c r="R53" s="2745"/>
      <c r="S53" s="2745"/>
      <c r="T53" s="2745"/>
      <c r="U53" s="2745"/>
      <c r="V53" s="2745"/>
      <c r="W53" s="2745"/>
      <c r="X53" s="2745"/>
      <c r="Y53" s="2745"/>
      <c r="Z53" s="10301" t="s">
        <v>844</v>
      </c>
      <c r="AA53" s="2729" t="s">
        <v>103</v>
      </c>
      <c r="AB53" s="2093" t="s">
        <v>941</v>
      </c>
      <c r="AC53" s="2083">
        <v>12857.07</v>
      </c>
      <c r="AD53" s="2093" t="str">
        <f>AB53</f>
        <v>  Прочие</v>
      </c>
      <c r="AE53" s="2083"/>
      <c r="AF53" s="2746"/>
      <c r="AG53" s="2674"/>
      <c r="AH53" s="2674"/>
      <c r="AI53" s="2746"/>
      <c r="AJ53" s="2674"/>
      <c r="AK53" s="3423"/>
      <c r="AL53" s="3424"/>
      <c r="AM53" s="2738"/>
      <c r="AN53" s="2738"/>
      <c r="AO53" s="2738"/>
      <c r="AP53" s="2738"/>
      <c r="AQ53" s="2738"/>
      <c r="AR53" s="2738"/>
      <c r="AS53" s="2738"/>
      <c r="AT53" s="2738"/>
      <c r="AU53" s="2738"/>
      <c r="AV53" s="2738"/>
      <c r="AW53" s="2738"/>
      <c r="AX53" s="2738"/>
      <c r="AY53" s="2738"/>
      <c r="AZ53" s="2738"/>
      <c r="BA53" s="2738"/>
      <c r="BB53" s="2738"/>
      <c r="BC53" s="2738"/>
      <c r="BD53" s="2738"/>
      <c r="BE53" s="2738"/>
      <c r="BF53" s="2738"/>
    </row>
    <row customHeight="1" ht="54">
      <c r="A54" s="2080" t="s">
        <v>905</v>
      </c>
      <c r="B54" s="2080"/>
      <c r="C54" s="2080"/>
      <c r="D54" s="2074"/>
      <c r="E54" s="2084"/>
      <c r="F54" s="2744"/>
      <c r="G54" s="2745"/>
      <c r="H54" s="3333" t="s">
        <v>88</v>
      </c>
      <c r="I54" s="3334"/>
      <c r="J54" s="3303"/>
      <c r="K54" s="3335"/>
      <c r="L54" s="2933"/>
      <c r="M54" s="2934"/>
      <c r="N54" s="3398"/>
      <c r="O54" s="3421"/>
      <c r="P54" s="3330"/>
      <c r="Q54" s="3331"/>
      <c r="R54" s="3331"/>
      <c r="S54" s="3332"/>
      <c r="T54" s="3331"/>
      <c r="U54" s="3331"/>
      <c r="V54" s="3331"/>
      <c r="W54" s="3331"/>
      <c r="X54" s="3331"/>
      <c r="Y54" s="3331"/>
      <c r="Z54" s="2089"/>
      <c r="AA54" s="2090"/>
      <c r="AB54" s="2155" t="s">
        <v>942</v>
      </c>
      <c r="AC54" s="2094"/>
      <c r="AD54" s="2094"/>
      <c r="AE54" s="2096"/>
      <c r="AF54" s="3324"/>
      <c r="AG54" s="3325"/>
      <c r="AH54" s="3325"/>
      <c r="AI54" s="3324"/>
      <c r="AJ54" s="3325"/>
      <c r="AK54" s="3325"/>
      <c r="AL54" s="3424"/>
      <c r="AM54" s="2738"/>
      <c r="AN54" s="2738"/>
      <c r="AO54" s="2738"/>
      <c r="AP54" s="2738"/>
      <c r="AQ54" s="2738"/>
      <c r="AR54" s="2738"/>
      <c r="AS54" s="2738"/>
      <c r="AT54" s="2738"/>
      <c r="AU54" s="2738"/>
      <c r="AV54" s="2738"/>
      <c r="AW54" s="2738"/>
      <c r="AX54" s="2738"/>
      <c r="AY54" s="2738"/>
      <c r="AZ54" s="2738"/>
      <c r="BA54" s="2738"/>
      <c r="BB54" s="2738"/>
      <c r="BC54" s="2738"/>
      <c r="BD54" s="2738"/>
      <c r="BE54" s="2738"/>
      <c r="BF54" s="2738"/>
    </row>
    <row customHeight="1" ht="39">
      <c r="A55" s="2080" t="s">
        <v>905</v>
      </c>
      <c r="B55" s="2080"/>
      <c r="C55" s="2080"/>
      <c r="D55" s="2074"/>
      <c r="E55" s="2084"/>
      <c r="F55" s="2744"/>
      <c r="G55" s="2745"/>
      <c r="H55" s="3333" t="s">
        <v>88</v>
      </c>
      <c r="I55" s="3334"/>
      <c r="J55" s="3303"/>
      <c r="K55" s="3335"/>
      <c r="L55" s="2933"/>
      <c r="M55" s="2934"/>
      <c r="N55" s="2089"/>
      <c r="O55" s="2090"/>
      <c r="P55" s="2082" t="s">
        <v>943</v>
      </c>
      <c r="Q55" s="2090"/>
      <c r="R55" s="2090"/>
      <c r="S55" s="2090"/>
      <c r="T55" s="2090"/>
      <c r="U55" s="2090"/>
      <c r="V55" s="2090"/>
      <c r="W55" s="2090"/>
      <c r="X55" s="2090"/>
      <c r="Y55" s="2090"/>
      <c r="Z55" s="2090"/>
      <c r="AA55" s="2090"/>
      <c r="AB55" s="2090"/>
      <c r="AC55" s="2090"/>
      <c r="AD55" s="2090"/>
      <c r="AE55" s="2097"/>
      <c r="AF55" s="3324"/>
      <c r="AG55" s="3325"/>
      <c r="AH55" s="3325"/>
      <c r="AI55" s="3324"/>
      <c r="AJ55" s="3325"/>
      <c r="AK55" s="3325"/>
      <c r="AL55" s="3424"/>
      <c r="AM55" s="2738"/>
      <c r="AN55" s="2738"/>
      <c r="AO55" s="2738"/>
      <c r="AP55" s="2738"/>
      <c r="AQ55" s="2738"/>
      <c r="AR55" s="2738"/>
      <c r="AS55" s="2738"/>
      <c r="AT55" s="2738"/>
      <c r="AU55" s="2738"/>
      <c r="AV55" s="2738"/>
      <c r="AW55" s="2738"/>
      <c r="AX55" s="2738"/>
      <c r="AY55" s="2738"/>
      <c r="AZ55" s="2738"/>
      <c r="BA55" s="2738"/>
      <c r="BB55" s="2738"/>
      <c r="BC55" s="2738"/>
      <c r="BD55" s="2738"/>
      <c r="BE55" s="2738"/>
      <c r="BF55" s="2738"/>
    </row>
    <row customHeight="1" ht="30">
      <c r="A56" s="2080" t="s">
        <v>905</v>
      </c>
      <c r="B56" s="2080" t="s">
        <v>18</v>
      </c>
      <c r="C56" s="2080"/>
      <c r="D56" s="2074"/>
      <c r="E56" s="2084"/>
      <c r="F56" s="2744"/>
      <c r="G56" s="10301" t="s">
        <v>844</v>
      </c>
      <c r="H56" s="3333" t="s">
        <v>105</v>
      </c>
      <c r="I56" s="3334" t="s">
        <v>956</v>
      </c>
      <c r="J56" s="10276" t="s">
        <v>18</v>
      </c>
      <c r="K56" s="3335" t="s">
        <v>957</v>
      </c>
      <c r="L56" s="2933" t="s">
        <v>52</v>
      </c>
      <c r="M56" s="2934"/>
      <c r="N56" s="3422"/>
      <c r="O56" s="2091" t="s">
        <v>367</v>
      </c>
      <c r="P56" s="2092"/>
      <c r="Q56" s="2092"/>
      <c r="R56" s="2092"/>
      <c r="S56" s="2092"/>
      <c r="T56" s="2092"/>
      <c r="U56" s="2092"/>
      <c r="V56" s="2092"/>
      <c r="W56" s="2092"/>
      <c r="X56" s="2092"/>
      <c r="Y56" s="2092"/>
      <c r="Z56" s="2092"/>
      <c r="AA56" s="2092"/>
      <c r="AB56" s="2092"/>
      <c r="AC56" s="2092"/>
      <c r="AD56" s="2092"/>
      <c r="AE56" s="2092"/>
      <c r="AF56" s="3324">
        <v>11</v>
      </c>
      <c r="AG56" s="3325" t="s">
        <v>939</v>
      </c>
      <c r="AH56" s="3325" t="s">
        <v>958</v>
      </c>
      <c r="AI56" s="3324"/>
      <c r="AJ56" s="3325"/>
      <c r="AK56" s="3325"/>
      <c r="AL56" s="3424"/>
      <c r="AM56" s="2738"/>
      <c r="AN56" s="2738"/>
      <c r="AO56" s="2738"/>
      <c r="AP56" s="2738"/>
      <c r="AQ56" s="2738"/>
      <c r="AR56" s="2738"/>
      <c r="AS56" s="2738"/>
      <c r="AT56" s="2738"/>
      <c r="AU56" s="2738"/>
      <c r="AV56" s="2738"/>
      <c r="AW56" s="2738"/>
      <c r="AX56" s="2738"/>
      <c r="AY56" s="2738"/>
      <c r="AZ56" s="2738"/>
      <c r="BA56" s="2738"/>
      <c r="BB56" s="2738"/>
      <c r="BC56" s="2738"/>
      <c r="BD56" s="2738"/>
      <c r="BE56" s="2738"/>
      <c r="BF56" s="2738"/>
    </row>
    <row customHeight="1" ht="11.25">
      <c r="A57" s="2080" t="s">
        <v>905</v>
      </c>
      <c r="B57" s="2080"/>
      <c r="C57" s="2080"/>
      <c r="D57" s="2074"/>
      <c r="E57" s="2084"/>
      <c r="F57" s="2744"/>
      <c r="G57" s="2745"/>
      <c r="H57" s="3333" t="s">
        <v>89</v>
      </c>
      <c r="I57" s="3334"/>
      <c r="J57" s="10276"/>
      <c r="K57" s="3335"/>
      <c r="L57" s="2933"/>
      <c r="M57" s="2934"/>
      <c r="N57" s="3398"/>
      <c r="O57" s="3421">
        <v>1</v>
      </c>
      <c r="P57" s="3328" t="s">
        <v>52</v>
      </c>
      <c r="Q57" s="3331" t="s">
        <v>18</v>
      </c>
      <c r="R57" s="3331" t="s">
        <v>18</v>
      </c>
      <c r="S57" s="3331" t="s">
        <v>18</v>
      </c>
      <c r="T57" s="3331" t="s">
        <v>18</v>
      </c>
      <c r="U57" s="3331" t="s">
        <v>18</v>
      </c>
      <c r="V57" s="3331" t="s">
        <v>18</v>
      </c>
      <c r="W57" s="3331" t="s">
        <v>18</v>
      </c>
      <c r="X57" s="3331" t="s">
        <v>18</v>
      </c>
      <c r="Y57" s="3331"/>
      <c r="Z57" s="2089"/>
      <c r="AA57" s="2090"/>
      <c r="AB57" s="2090"/>
      <c r="AC57" s="2094"/>
      <c r="AD57" s="2094"/>
      <c r="AE57" s="2095"/>
      <c r="AF57" s="3324"/>
      <c r="AG57" s="3325"/>
      <c r="AH57" s="3325"/>
      <c r="AI57" s="3324"/>
      <c r="AJ57" s="3325"/>
      <c r="AK57" s="3325"/>
      <c r="AL57" s="3424"/>
      <c r="AM57" s="2738"/>
      <c r="AN57" s="2738"/>
      <c r="AO57" s="2738"/>
      <c r="AP57" s="2738"/>
      <c r="AQ57" s="2738"/>
      <c r="AR57" s="2738"/>
      <c r="AS57" s="2738"/>
      <c r="AT57" s="2738"/>
      <c r="AU57" s="2738"/>
      <c r="AV57" s="2738"/>
      <c r="AW57" s="2738"/>
      <c r="AX57" s="2738"/>
      <c r="AY57" s="2738"/>
      <c r="AZ57" s="2738"/>
      <c r="BA57" s="2738"/>
      <c r="BB57" s="2738"/>
      <c r="BC57" s="2738"/>
      <c r="BD57" s="2738"/>
      <c r="BE57" s="2738"/>
      <c r="BF57" s="2738"/>
    </row>
    <row customHeight="1" ht="11.25">
      <c r="A58" s="2080" t="s">
        <v>905</v>
      </c>
      <c r="B58" s="2080"/>
      <c r="C58" s="2080"/>
      <c r="D58" s="2074"/>
      <c r="E58" s="2084"/>
      <c r="F58" s="2744"/>
      <c r="G58" s="2745"/>
      <c r="H58" s="3333" t="s">
        <v>89</v>
      </c>
      <c r="I58" s="3334"/>
      <c r="J58" s="10276"/>
      <c r="K58" s="3335"/>
      <c r="L58" s="2933"/>
      <c r="M58" s="2934"/>
      <c r="N58" s="3398"/>
      <c r="O58" s="3421"/>
      <c r="P58" s="3329"/>
      <c r="Q58" s="3331"/>
      <c r="R58" s="3331"/>
      <c r="S58" s="3332"/>
      <c r="T58" s="3331"/>
      <c r="U58" s="3331"/>
      <c r="V58" s="3331"/>
      <c r="W58" s="3331"/>
      <c r="X58" s="3331"/>
      <c r="Y58" s="3331"/>
      <c r="Z58" s="2743"/>
      <c r="AA58" s="2709">
        <v>1</v>
      </c>
      <c r="AB58" s="2093" t="s">
        <v>949</v>
      </c>
      <c r="AC58" s="2083">
        <v>5534.1</v>
      </c>
      <c r="AD58" s="2093" t="str">
        <f>AB58</f>
        <v>      Прочие амортизационные отчисления</v>
      </c>
      <c r="AE58" s="2083"/>
      <c r="AF58" s="3324"/>
      <c r="AG58" s="3325"/>
      <c r="AH58" s="3325"/>
      <c r="AI58" s="3324"/>
      <c r="AJ58" s="3325"/>
      <c r="AK58" s="3325"/>
      <c r="AL58" s="3424"/>
      <c r="AM58" s="2738"/>
      <c r="AN58" s="2738"/>
      <c r="AO58" s="2738"/>
      <c r="AP58" s="2738"/>
      <c r="AQ58" s="2738"/>
      <c r="AR58" s="2738"/>
      <c r="AS58" s="2738"/>
      <c r="AT58" s="2738"/>
      <c r="AU58" s="2738"/>
      <c r="AV58" s="2738"/>
      <c r="AW58" s="2738"/>
      <c r="AX58" s="2738"/>
      <c r="AY58" s="2738"/>
      <c r="AZ58" s="2738"/>
      <c r="BA58" s="2738"/>
      <c r="BB58" s="2738"/>
      <c r="BC58" s="2738"/>
      <c r="BD58" s="2738"/>
      <c r="BE58" s="2738"/>
      <c r="BF58" s="2738"/>
    </row>
    <row customHeight="1" ht="11.25">
      <c r="A59" s="2080" t="s">
        <v>905</v>
      </c>
      <c r="B59" s="2080"/>
      <c r="C59" s="2080"/>
      <c r="D59" s="2074"/>
      <c r="E59" s="2084"/>
      <c r="F59" s="2745"/>
      <c r="G59" s="2745"/>
      <c r="H59" s="2745"/>
      <c r="I59" s="2745"/>
      <c r="J59" s="2745"/>
      <c r="K59" s="2745"/>
      <c r="L59" s="2745"/>
      <c r="M59" s="2745"/>
      <c r="N59" s="2745"/>
      <c r="O59" s="2745"/>
      <c r="P59" s="2745"/>
      <c r="Q59" s="2745"/>
      <c r="R59" s="2745"/>
      <c r="S59" s="2745"/>
      <c r="T59" s="2745"/>
      <c r="U59" s="2745"/>
      <c r="V59" s="2745"/>
      <c r="W59" s="2745"/>
      <c r="X59" s="2745"/>
      <c r="Y59" s="2745"/>
      <c r="Z59" s="10301" t="s">
        <v>844</v>
      </c>
      <c r="AA59" s="2729" t="s">
        <v>103</v>
      </c>
      <c r="AB59" s="2093" t="s">
        <v>941</v>
      </c>
      <c r="AC59" s="2083">
        <v>4150.53</v>
      </c>
      <c r="AD59" s="2093" t="str">
        <f>AB59</f>
        <v>  Прочие</v>
      </c>
      <c r="AE59" s="2083"/>
      <c r="AF59" s="2746"/>
      <c r="AG59" s="2674"/>
      <c r="AH59" s="2674"/>
      <c r="AI59" s="2746"/>
      <c r="AJ59" s="2674"/>
      <c r="AK59" s="3423"/>
      <c r="AL59" s="3424"/>
      <c r="AM59" s="2738"/>
      <c r="AN59" s="2738"/>
      <c r="AO59" s="2738"/>
      <c r="AP59" s="2738"/>
      <c r="AQ59" s="2738"/>
      <c r="AR59" s="2738"/>
      <c r="AS59" s="2738"/>
      <c r="AT59" s="2738"/>
      <c r="AU59" s="2738"/>
      <c r="AV59" s="2738"/>
      <c r="AW59" s="2738"/>
      <c r="AX59" s="2738"/>
      <c r="AY59" s="2738"/>
      <c r="AZ59" s="2738"/>
      <c r="BA59" s="2738"/>
      <c r="BB59" s="2738"/>
      <c r="BC59" s="2738"/>
      <c r="BD59" s="2738"/>
      <c r="BE59" s="2738"/>
      <c r="BF59" s="2738"/>
    </row>
    <row customHeight="1" ht="11.25">
      <c r="A60" s="2080" t="s">
        <v>905</v>
      </c>
      <c r="B60" s="2080"/>
      <c r="C60" s="2080"/>
      <c r="D60" s="2074"/>
      <c r="E60" s="2084"/>
      <c r="F60" s="2744"/>
      <c r="G60" s="2745"/>
      <c r="H60" s="3333" t="s">
        <v>89</v>
      </c>
      <c r="I60" s="3334"/>
      <c r="J60" s="10276"/>
      <c r="K60" s="3335"/>
      <c r="L60" s="2933"/>
      <c r="M60" s="2934"/>
      <c r="N60" s="3398"/>
      <c r="O60" s="3421"/>
      <c r="P60" s="3330"/>
      <c r="Q60" s="3331"/>
      <c r="R60" s="3331"/>
      <c r="S60" s="3332"/>
      <c r="T60" s="3331"/>
      <c r="U60" s="3331"/>
      <c r="V60" s="3331"/>
      <c r="W60" s="3331"/>
      <c r="X60" s="3331"/>
      <c r="Y60" s="3331"/>
      <c r="Z60" s="2089"/>
      <c r="AA60" s="2090"/>
      <c r="AB60" s="2155" t="s">
        <v>942</v>
      </c>
      <c r="AC60" s="2094"/>
      <c r="AD60" s="2094"/>
      <c r="AE60" s="2096"/>
      <c r="AF60" s="3324"/>
      <c r="AG60" s="3325"/>
      <c r="AH60" s="3325"/>
      <c r="AI60" s="3324"/>
      <c r="AJ60" s="3325"/>
      <c r="AK60" s="3325"/>
      <c r="AL60" s="3424"/>
      <c r="AM60" s="2738"/>
      <c r="AN60" s="2738"/>
      <c r="AO60" s="2738"/>
      <c r="AP60" s="2738"/>
      <c r="AQ60" s="2738"/>
      <c r="AR60" s="2738"/>
      <c r="AS60" s="2738"/>
      <c r="AT60" s="2738"/>
      <c r="AU60" s="2738"/>
      <c r="AV60" s="2738"/>
      <c r="AW60" s="2738"/>
      <c r="AX60" s="2738"/>
      <c r="AY60" s="2738"/>
      <c r="AZ60" s="2738"/>
      <c r="BA60" s="2738"/>
      <c r="BB60" s="2738"/>
      <c r="BC60" s="2738"/>
      <c r="BD60" s="2738"/>
      <c r="BE60" s="2738"/>
      <c r="BF60" s="2738"/>
    </row>
    <row customHeight="1" ht="11.25">
      <c r="A61" s="2080" t="s">
        <v>905</v>
      </c>
      <c r="B61" s="2080"/>
      <c r="C61" s="2080"/>
      <c r="D61" s="2074"/>
      <c r="E61" s="2084"/>
      <c r="F61" s="2744"/>
      <c r="G61" s="2745"/>
      <c r="H61" s="3333" t="s">
        <v>89</v>
      </c>
      <c r="I61" s="3334"/>
      <c r="J61" s="10276"/>
      <c r="K61" s="3335"/>
      <c r="L61" s="2933"/>
      <c r="M61" s="2934"/>
      <c r="N61" s="2089"/>
      <c r="O61" s="2090"/>
      <c r="P61" s="2082" t="s">
        <v>943</v>
      </c>
      <c r="Q61" s="2090"/>
      <c r="R61" s="2090"/>
      <c r="S61" s="2090"/>
      <c r="T61" s="2090"/>
      <c r="U61" s="2090"/>
      <c r="V61" s="2090"/>
      <c r="W61" s="2090"/>
      <c r="X61" s="2090"/>
      <c r="Y61" s="2090"/>
      <c r="Z61" s="2090"/>
      <c r="AA61" s="2090"/>
      <c r="AB61" s="2090"/>
      <c r="AC61" s="2090"/>
      <c r="AD61" s="2090"/>
      <c r="AE61" s="2097"/>
      <c r="AF61" s="3324"/>
      <c r="AG61" s="3325"/>
      <c r="AH61" s="3325"/>
      <c r="AI61" s="3324"/>
      <c r="AJ61" s="3325"/>
      <c r="AK61" s="3325"/>
      <c r="AL61" s="3424"/>
      <c r="AM61" s="2738"/>
      <c r="AN61" s="2738"/>
      <c r="AO61" s="2738"/>
      <c r="AP61" s="2738"/>
      <c r="AQ61" s="2738"/>
      <c r="AR61" s="2738"/>
      <c r="AS61" s="2738"/>
      <c r="AT61" s="2738"/>
      <c r="AU61" s="2738"/>
      <c r="AV61" s="2738"/>
      <c r="AW61" s="2738"/>
      <c r="AX61" s="2738"/>
      <c r="AY61" s="2738"/>
      <c r="AZ61" s="2738"/>
      <c r="BA61" s="2738"/>
      <c r="BB61" s="2738"/>
      <c r="BC61" s="2738"/>
      <c r="BD61" s="2738"/>
      <c r="BE61" s="2738"/>
      <c r="BF61" s="2738"/>
    </row>
    <row customHeight="1" ht="11.25">
      <c r="A62" s="2080" t="s">
        <v>905</v>
      </c>
      <c r="B62" s="2080" t="s">
        <v>18</v>
      </c>
      <c r="C62" s="2080"/>
      <c r="D62" s="2074"/>
      <c r="E62" s="2084"/>
      <c r="F62" s="2744"/>
      <c r="G62" s="10301" t="s">
        <v>844</v>
      </c>
      <c r="H62" s="3333" t="s">
        <v>141</v>
      </c>
      <c r="I62" s="3334" t="s">
        <v>959</v>
      </c>
      <c r="J62" s="10276" t="s">
        <v>18</v>
      </c>
      <c r="K62" s="3335" t="s">
        <v>960</v>
      </c>
      <c r="L62" s="2933" t="s">
        <v>52</v>
      </c>
      <c r="M62" s="2934"/>
      <c r="N62" s="3422"/>
      <c r="O62" s="2091" t="s">
        <v>367</v>
      </c>
      <c r="P62" s="2092"/>
      <c r="Q62" s="2092"/>
      <c r="R62" s="2092"/>
      <c r="S62" s="2092"/>
      <c r="T62" s="2092"/>
      <c r="U62" s="2092"/>
      <c r="V62" s="2092"/>
      <c r="W62" s="2092"/>
      <c r="X62" s="2092"/>
      <c r="Y62" s="2092"/>
      <c r="Z62" s="2092"/>
      <c r="AA62" s="2092"/>
      <c r="AB62" s="2092"/>
      <c r="AC62" s="2092"/>
      <c r="AD62" s="2092"/>
      <c r="AE62" s="2092"/>
      <c r="AF62" s="3324">
        <v>4</v>
      </c>
      <c r="AG62" s="3325" t="s">
        <v>939</v>
      </c>
      <c r="AH62" s="3325" t="s">
        <v>961</v>
      </c>
      <c r="AI62" s="3324"/>
      <c r="AJ62" s="3325"/>
      <c r="AK62" s="3325"/>
      <c r="AL62" s="3424"/>
      <c r="AM62" s="2738"/>
      <c r="AN62" s="2738"/>
      <c r="AO62" s="2738"/>
      <c r="AP62" s="2738"/>
      <c r="AQ62" s="2738"/>
      <c r="AR62" s="2738"/>
      <c r="AS62" s="2738"/>
      <c r="AT62" s="2738"/>
      <c r="AU62" s="2738"/>
      <c r="AV62" s="2738"/>
      <c r="AW62" s="2738"/>
      <c r="AX62" s="2738"/>
      <c r="AY62" s="2738"/>
      <c r="AZ62" s="2738"/>
      <c r="BA62" s="2738"/>
      <c r="BB62" s="2738"/>
      <c r="BC62" s="2738"/>
      <c r="BD62" s="2738"/>
      <c r="BE62" s="2738"/>
      <c r="BF62" s="2738"/>
    </row>
    <row customHeight="1" ht="11.25">
      <c r="A63" s="2080" t="s">
        <v>905</v>
      </c>
      <c r="B63" s="2080"/>
      <c r="C63" s="2080"/>
      <c r="D63" s="2074"/>
      <c r="E63" s="2084"/>
      <c r="F63" s="2744"/>
      <c r="G63" s="2745"/>
      <c r="H63" s="3333" t="s">
        <v>105</v>
      </c>
      <c r="I63" s="3334"/>
      <c r="J63" s="10276"/>
      <c r="K63" s="3335"/>
      <c r="L63" s="2933"/>
      <c r="M63" s="2934"/>
      <c r="N63" s="3398"/>
      <c r="O63" s="3421">
        <v>1</v>
      </c>
      <c r="P63" s="3328" t="s">
        <v>52</v>
      </c>
      <c r="Q63" s="3331" t="s">
        <v>18</v>
      </c>
      <c r="R63" s="3331" t="s">
        <v>18</v>
      </c>
      <c r="S63" s="3331" t="s">
        <v>18</v>
      </c>
      <c r="T63" s="3331" t="s">
        <v>18</v>
      </c>
      <c r="U63" s="3331" t="s">
        <v>18</v>
      </c>
      <c r="V63" s="3331" t="s">
        <v>18</v>
      </c>
      <c r="W63" s="3331" t="s">
        <v>18</v>
      </c>
      <c r="X63" s="3331" t="s">
        <v>18</v>
      </c>
      <c r="Y63" s="3331"/>
      <c r="Z63" s="2089"/>
      <c r="AA63" s="2090"/>
      <c r="AB63" s="2090"/>
      <c r="AC63" s="2094"/>
      <c r="AD63" s="2094"/>
      <c r="AE63" s="2095"/>
      <c r="AF63" s="3324"/>
      <c r="AG63" s="3325"/>
      <c r="AH63" s="3325"/>
      <c r="AI63" s="3324"/>
      <c r="AJ63" s="3325"/>
      <c r="AK63" s="3325"/>
      <c r="AL63" s="3424"/>
      <c r="AM63" s="2738"/>
      <c r="AN63" s="2738"/>
      <c r="AO63" s="2738"/>
      <c r="AP63" s="2738"/>
      <c r="AQ63" s="2738"/>
      <c r="AR63" s="2738"/>
      <c r="AS63" s="2738"/>
      <c r="AT63" s="2738"/>
      <c r="AU63" s="2738"/>
      <c r="AV63" s="2738"/>
      <c r="AW63" s="2738"/>
      <c r="AX63" s="2738"/>
      <c r="AY63" s="2738"/>
      <c r="AZ63" s="2738"/>
      <c r="BA63" s="2738"/>
      <c r="BB63" s="2738"/>
      <c r="BC63" s="2738"/>
      <c r="BD63" s="2738"/>
      <c r="BE63" s="2738"/>
      <c r="BF63" s="2738"/>
    </row>
    <row customHeight="1" ht="11.25">
      <c r="A64" s="2080" t="s">
        <v>905</v>
      </c>
      <c r="B64" s="2080"/>
      <c r="C64" s="2080"/>
      <c r="D64" s="2074"/>
      <c r="E64" s="2084"/>
      <c r="F64" s="2744"/>
      <c r="G64" s="2745"/>
      <c r="H64" s="3333" t="s">
        <v>105</v>
      </c>
      <c r="I64" s="3334"/>
      <c r="J64" s="10276"/>
      <c r="K64" s="3335"/>
      <c r="L64" s="2933"/>
      <c r="M64" s="2934"/>
      <c r="N64" s="3398"/>
      <c r="O64" s="3421"/>
      <c r="P64" s="3329"/>
      <c r="Q64" s="3331"/>
      <c r="R64" s="3331"/>
      <c r="S64" s="3332"/>
      <c r="T64" s="3331"/>
      <c r="U64" s="3331"/>
      <c r="V64" s="3331"/>
      <c r="W64" s="3331"/>
      <c r="X64" s="3331"/>
      <c r="Y64" s="3331"/>
      <c r="Z64" s="2743"/>
      <c r="AA64" s="2709">
        <v>1</v>
      </c>
      <c r="AB64" s="2093" t="s">
        <v>949</v>
      </c>
      <c r="AC64" s="2083">
        <v>73090.73</v>
      </c>
      <c r="AD64" s="2093" t="str">
        <f>AB64</f>
        <v>      Прочие амортизационные отчисления</v>
      </c>
      <c r="AE64" s="2083"/>
      <c r="AF64" s="3324"/>
      <c r="AG64" s="3325"/>
      <c r="AH64" s="3325"/>
      <c r="AI64" s="3324"/>
      <c r="AJ64" s="3325"/>
      <c r="AK64" s="3325"/>
      <c r="AL64" s="3424"/>
      <c r="AM64" s="2738"/>
      <c r="AN64" s="2738"/>
      <c r="AO64" s="2738"/>
      <c r="AP64" s="2738"/>
      <c r="AQ64" s="2738"/>
      <c r="AR64" s="2738"/>
      <c r="AS64" s="2738"/>
      <c r="AT64" s="2738"/>
      <c r="AU64" s="2738"/>
      <c r="AV64" s="2738"/>
      <c r="AW64" s="2738"/>
      <c r="AX64" s="2738"/>
      <c r="AY64" s="2738"/>
      <c r="AZ64" s="2738"/>
      <c r="BA64" s="2738"/>
      <c r="BB64" s="2738"/>
      <c r="BC64" s="2738"/>
      <c r="BD64" s="2738"/>
      <c r="BE64" s="2738"/>
      <c r="BF64" s="2738"/>
    </row>
    <row customHeight="1" ht="11.25">
      <c r="A65" s="2080" t="s">
        <v>905</v>
      </c>
      <c r="B65" s="2080"/>
      <c r="C65" s="2080"/>
      <c r="D65" s="2074"/>
      <c r="E65" s="2084"/>
      <c r="F65" s="2745"/>
      <c r="G65" s="2745"/>
      <c r="H65" s="2745"/>
      <c r="I65" s="2745"/>
      <c r="J65" s="2745"/>
      <c r="K65" s="2745"/>
      <c r="L65" s="2745"/>
      <c r="M65" s="2745"/>
      <c r="N65" s="2745"/>
      <c r="O65" s="2745"/>
      <c r="P65" s="2745"/>
      <c r="Q65" s="2745"/>
      <c r="R65" s="2745"/>
      <c r="S65" s="2745"/>
      <c r="T65" s="2745"/>
      <c r="U65" s="2745"/>
      <c r="V65" s="2745"/>
      <c r="W65" s="2745"/>
      <c r="X65" s="2745"/>
      <c r="Y65" s="2745"/>
      <c r="Z65" s="10301" t="s">
        <v>844</v>
      </c>
      <c r="AA65" s="2729" t="s">
        <v>103</v>
      </c>
      <c r="AB65" s="2093" t="s">
        <v>941</v>
      </c>
      <c r="AC65" s="2083">
        <v>54817.5</v>
      </c>
      <c r="AD65" s="2093" t="str">
        <f>AB65</f>
        <v>  Прочие</v>
      </c>
      <c r="AE65" s="2083"/>
      <c r="AF65" s="2746"/>
      <c r="AG65" s="2674"/>
      <c r="AH65" s="2674"/>
      <c r="AI65" s="2746"/>
      <c r="AJ65" s="2674"/>
      <c r="AK65" s="3423"/>
      <c r="AL65" s="3424"/>
      <c r="AM65" s="2738"/>
      <c r="AN65" s="2738"/>
      <c r="AO65" s="2738"/>
      <c r="AP65" s="2738"/>
      <c r="AQ65" s="2738"/>
      <c r="AR65" s="2738"/>
      <c r="AS65" s="2738"/>
      <c r="AT65" s="2738"/>
      <c r="AU65" s="2738"/>
      <c r="AV65" s="2738"/>
      <c r="AW65" s="2738"/>
      <c r="AX65" s="2738"/>
      <c r="AY65" s="2738"/>
      <c r="AZ65" s="2738"/>
      <c r="BA65" s="2738"/>
      <c r="BB65" s="2738"/>
      <c r="BC65" s="2738"/>
      <c r="BD65" s="2738"/>
      <c r="BE65" s="2738"/>
      <c r="BF65" s="2738"/>
    </row>
    <row customHeight="1" ht="11.25">
      <c r="A66" s="2080" t="s">
        <v>905</v>
      </c>
      <c r="B66" s="2080"/>
      <c r="C66" s="2080"/>
      <c r="D66" s="2074"/>
      <c r="E66" s="2084"/>
      <c r="F66" s="2744"/>
      <c r="G66" s="2745"/>
      <c r="H66" s="3333" t="s">
        <v>105</v>
      </c>
      <c r="I66" s="3334"/>
      <c r="J66" s="10276"/>
      <c r="K66" s="3335"/>
      <c r="L66" s="2933"/>
      <c r="M66" s="2934"/>
      <c r="N66" s="3398"/>
      <c r="O66" s="3421"/>
      <c r="P66" s="3330"/>
      <c r="Q66" s="3331"/>
      <c r="R66" s="3331"/>
      <c r="S66" s="3332"/>
      <c r="T66" s="3331"/>
      <c r="U66" s="3331"/>
      <c r="V66" s="3331"/>
      <c r="W66" s="3331"/>
      <c r="X66" s="3331"/>
      <c r="Y66" s="3331"/>
      <c r="Z66" s="2089"/>
      <c r="AA66" s="2090"/>
      <c r="AB66" s="2155" t="s">
        <v>942</v>
      </c>
      <c r="AC66" s="2094"/>
      <c r="AD66" s="2094"/>
      <c r="AE66" s="2096"/>
      <c r="AF66" s="3324"/>
      <c r="AG66" s="3325"/>
      <c r="AH66" s="3325"/>
      <c r="AI66" s="3324"/>
      <c r="AJ66" s="3325"/>
      <c r="AK66" s="3325"/>
      <c r="AL66" s="3424"/>
      <c r="AM66" s="2738"/>
      <c r="AN66" s="2738"/>
      <c r="AO66" s="2738"/>
      <c r="AP66" s="2738"/>
      <c r="AQ66" s="2738"/>
      <c r="AR66" s="2738"/>
      <c r="AS66" s="2738"/>
      <c r="AT66" s="2738"/>
      <c r="AU66" s="2738"/>
      <c r="AV66" s="2738"/>
      <c r="AW66" s="2738"/>
      <c r="AX66" s="2738"/>
      <c r="AY66" s="2738"/>
      <c r="AZ66" s="2738"/>
      <c r="BA66" s="2738"/>
      <c r="BB66" s="2738"/>
      <c r="BC66" s="2738"/>
      <c r="BD66" s="2738"/>
      <c r="BE66" s="2738"/>
      <c r="BF66" s="2738"/>
    </row>
    <row customHeight="1" ht="11.25">
      <c r="A67" s="2080" t="s">
        <v>905</v>
      </c>
      <c r="B67" s="2080"/>
      <c r="C67" s="2080"/>
      <c r="D67" s="2074"/>
      <c r="E67" s="2084"/>
      <c r="F67" s="2744"/>
      <c r="G67" s="2745"/>
      <c r="H67" s="3333" t="s">
        <v>105</v>
      </c>
      <c r="I67" s="3334"/>
      <c r="J67" s="10276"/>
      <c r="K67" s="3335"/>
      <c r="L67" s="2933"/>
      <c r="M67" s="2934"/>
      <c r="N67" s="2089"/>
      <c r="O67" s="2090"/>
      <c r="P67" s="2082" t="s">
        <v>943</v>
      </c>
      <c r="Q67" s="2090"/>
      <c r="R67" s="2090"/>
      <c r="S67" s="2090"/>
      <c r="T67" s="2090"/>
      <c r="U67" s="2090"/>
      <c r="V67" s="2090"/>
      <c r="W67" s="2090"/>
      <c r="X67" s="2090"/>
      <c r="Y67" s="2090"/>
      <c r="Z67" s="2090"/>
      <c r="AA67" s="2090"/>
      <c r="AB67" s="2090"/>
      <c r="AC67" s="2090"/>
      <c r="AD67" s="2090"/>
      <c r="AE67" s="2097"/>
      <c r="AF67" s="3324"/>
      <c r="AG67" s="3325"/>
      <c r="AH67" s="3325"/>
      <c r="AI67" s="3324"/>
      <c r="AJ67" s="3325"/>
      <c r="AK67" s="3325"/>
      <c r="AL67" s="3424"/>
      <c r="AM67" s="2738"/>
      <c r="AN67" s="2738"/>
      <c r="AO67" s="2738"/>
      <c r="AP67" s="2738"/>
      <c r="AQ67" s="2738"/>
      <c r="AR67" s="2738"/>
      <c r="AS67" s="2738"/>
      <c r="AT67" s="2738"/>
      <c r="AU67" s="2738"/>
      <c r="AV67" s="2738"/>
      <c r="AW67" s="2738"/>
      <c r="AX67" s="2738"/>
      <c r="AY67" s="2738"/>
      <c r="AZ67" s="2738"/>
      <c r="BA67" s="2738"/>
      <c r="BB67" s="2738"/>
      <c r="BC67" s="2738"/>
      <c r="BD67" s="2738"/>
      <c r="BE67" s="2738"/>
      <c r="BF67" s="2738"/>
    </row>
    <row customHeight="1" ht="11.25">
      <c r="A68" s="2080" t="s">
        <v>905</v>
      </c>
      <c r="B68" s="2080" t="s">
        <v>18</v>
      </c>
      <c r="C68" s="2080"/>
      <c r="D68" s="2074"/>
      <c r="E68" s="2084"/>
      <c r="F68" s="2744"/>
      <c r="G68" s="10301" t="s">
        <v>844</v>
      </c>
      <c r="H68" s="3333" t="s">
        <v>142</v>
      </c>
      <c r="I68" s="3334" t="s">
        <v>959</v>
      </c>
      <c r="J68" s="10276" t="s">
        <v>18</v>
      </c>
      <c r="K68" s="3335" t="s">
        <v>962</v>
      </c>
      <c r="L68" s="2933" t="s">
        <v>52</v>
      </c>
      <c r="M68" s="2934"/>
      <c r="N68" s="3422"/>
      <c r="O68" s="2091" t="s">
        <v>367</v>
      </c>
      <c r="P68" s="2092"/>
      <c r="Q68" s="2092"/>
      <c r="R68" s="2092"/>
      <c r="S68" s="2092"/>
      <c r="T68" s="2092"/>
      <c r="U68" s="2092"/>
      <c r="V68" s="2092"/>
      <c r="W68" s="2092"/>
      <c r="X68" s="2092"/>
      <c r="Y68" s="2092"/>
      <c r="Z68" s="2092"/>
      <c r="AA68" s="2092"/>
      <c r="AB68" s="2092"/>
      <c r="AC68" s="2092"/>
      <c r="AD68" s="2092"/>
      <c r="AE68" s="2092"/>
      <c r="AF68" s="3324">
        <v>6</v>
      </c>
      <c r="AG68" s="3325" t="s">
        <v>939</v>
      </c>
      <c r="AH68" s="3325" t="s">
        <v>940</v>
      </c>
      <c r="AI68" s="3324"/>
      <c r="AJ68" s="3325"/>
      <c r="AK68" s="3325"/>
      <c r="AL68" s="3424"/>
      <c r="AM68" s="2738"/>
      <c r="AN68" s="2738"/>
      <c r="AO68" s="2738"/>
      <c r="AP68" s="2738"/>
      <c r="AQ68" s="2738"/>
      <c r="AR68" s="2738"/>
      <c r="AS68" s="2738"/>
      <c r="AT68" s="2738"/>
      <c r="AU68" s="2738"/>
      <c r="AV68" s="2738"/>
      <c r="AW68" s="2738"/>
      <c r="AX68" s="2738"/>
      <c r="AY68" s="2738"/>
      <c r="AZ68" s="2738"/>
      <c r="BA68" s="2738"/>
      <c r="BB68" s="2738"/>
      <c r="BC68" s="2738"/>
      <c r="BD68" s="2738"/>
      <c r="BE68" s="2738"/>
      <c r="BF68" s="2738"/>
    </row>
    <row customHeight="1" ht="11.25">
      <c r="A69" s="2080" t="s">
        <v>905</v>
      </c>
      <c r="B69" s="2080"/>
      <c r="C69" s="2080"/>
      <c r="D69" s="2074"/>
      <c r="E69" s="2084"/>
      <c r="F69" s="2744"/>
      <c r="G69" s="2745"/>
      <c r="H69" s="3333" t="s">
        <v>141</v>
      </c>
      <c r="I69" s="3334"/>
      <c r="J69" s="10276"/>
      <c r="K69" s="3335"/>
      <c r="L69" s="2933"/>
      <c r="M69" s="2934"/>
      <c r="N69" s="3398"/>
      <c r="O69" s="3421">
        <v>1</v>
      </c>
      <c r="P69" s="3328" t="s">
        <v>52</v>
      </c>
      <c r="Q69" s="3331" t="s">
        <v>18</v>
      </c>
      <c r="R69" s="3331" t="s">
        <v>18</v>
      </c>
      <c r="S69" s="3331" t="s">
        <v>18</v>
      </c>
      <c r="T69" s="3331" t="s">
        <v>18</v>
      </c>
      <c r="U69" s="3331" t="s">
        <v>18</v>
      </c>
      <c r="V69" s="3331" t="s">
        <v>18</v>
      </c>
      <c r="W69" s="3331" t="s">
        <v>18</v>
      </c>
      <c r="X69" s="3331" t="s">
        <v>18</v>
      </c>
      <c r="Y69" s="3331"/>
      <c r="Z69" s="2089"/>
      <c r="AA69" s="2090"/>
      <c r="AB69" s="2090"/>
      <c r="AC69" s="2094"/>
      <c r="AD69" s="2094"/>
      <c r="AE69" s="2095"/>
      <c r="AF69" s="3324"/>
      <c r="AG69" s="3325"/>
      <c r="AH69" s="3325"/>
      <c r="AI69" s="3324"/>
      <c r="AJ69" s="3325"/>
      <c r="AK69" s="3325"/>
      <c r="AL69" s="3424"/>
      <c r="AM69" s="2738"/>
      <c r="AN69" s="2738"/>
      <c r="AO69" s="2738"/>
      <c r="AP69" s="2738"/>
      <c r="AQ69" s="2738"/>
      <c r="AR69" s="2738"/>
      <c r="AS69" s="2738"/>
      <c r="AT69" s="2738"/>
      <c r="AU69" s="2738"/>
      <c r="AV69" s="2738"/>
      <c r="AW69" s="2738"/>
      <c r="AX69" s="2738"/>
      <c r="AY69" s="2738"/>
      <c r="AZ69" s="2738"/>
      <c r="BA69" s="2738"/>
      <c r="BB69" s="2738"/>
      <c r="BC69" s="2738"/>
      <c r="BD69" s="2738"/>
      <c r="BE69" s="2738"/>
      <c r="BF69" s="2738"/>
    </row>
    <row customHeight="1" ht="11.25">
      <c r="A70" s="2080" t="s">
        <v>905</v>
      </c>
      <c r="B70" s="2080"/>
      <c r="C70" s="2080"/>
      <c r="D70" s="2074"/>
      <c r="E70" s="2084"/>
      <c r="F70" s="2744"/>
      <c r="G70" s="2745"/>
      <c r="H70" s="3333" t="s">
        <v>141</v>
      </c>
      <c r="I70" s="3334"/>
      <c r="J70" s="10276"/>
      <c r="K70" s="3335"/>
      <c r="L70" s="2933"/>
      <c r="M70" s="2934"/>
      <c r="N70" s="3398"/>
      <c r="O70" s="3421"/>
      <c r="P70" s="3329"/>
      <c r="Q70" s="3331"/>
      <c r="R70" s="3331"/>
      <c r="S70" s="3332"/>
      <c r="T70" s="3331"/>
      <c r="U70" s="3331"/>
      <c r="V70" s="3331"/>
      <c r="W70" s="3331"/>
      <c r="X70" s="3331"/>
      <c r="Y70" s="3331"/>
      <c r="Z70" s="2743"/>
      <c r="AA70" s="2709">
        <v>1</v>
      </c>
      <c r="AB70" s="2093" t="s">
        <v>949</v>
      </c>
      <c r="AC70" s="2083">
        <v>14285.78</v>
      </c>
      <c r="AD70" s="2093" t="str">
        <f>AB70</f>
        <v>      Прочие амортизационные отчисления</v>
      </c>
      <c r="AE70" s="2083"/>
      <c r="AF70" s="3324"/>
      <c r="AG70" s="3325"/>
      <c r="AH70" s="3325"/>
      <c r="AI70" s="3324"/>
      <c r="AJ70" s="3325"/>
      <c r="AK70" s="3325"/>
      <c r="AL70" s="3424"/>
      <c r="AM70" s="2738"/>
      <c r="AN70" s="2738"/>
      <c r="AO70" s="2738"/>
      <c r="AP70" s="2738"/>
      <c r="AQ70" s="2738"/>
      <c r="AR70" s="2738"/>
      <c r="AS70" s="2738"/>
      <c r="AT70" s="2738"/>
      <c r="AU70" s="2738"/>
      <c r="AV70" s="2738"/>
      <c r="AW70" s="2738"/>
      <c r="AX70" s="2738"/>
      <c r="AY70" s="2738"/>
      <c r="AZ70" s="2738"/>
      <c r="BA70" s="2738"/>
      <c r="BB70" s="2738"/>
      <c r="BC70" s="2738"/>
      <c r="BD70" s="2738"/>
      <c r="BE70" s="2738"/>
      <c r="BF70" s="2738"/>
    </row>
    <row customHeight="1" ht="11.25">
      <c r="A71" s="2080" t="s">
        <v>905</v>
      </c>
      <c r="B71" s="2080"/>
      <c r="C71" s="2080"/>
      <c r="D71" s="2074"/>
      <c r="E71" s="2084"/>
      <c r="F71" s="2745"/>
      <c r="G71" s="2745"/>
      <c r="H71" s="2745"/>
      <c r="I71" s="2745"/>
      <c r="J71" s="2745"/>
      <c r="K71" s="2745"/>
      <c r="L71" s="2745"/>
      <c r="M71" s="2745"/>
      <c r="N71" s="2745"/>
      <c r="O71" s="2745"/>
      <c r="P71" s="2745"/>
      <c r="Q71" s="2745"/>
      <c r="R71" s="2745"/>
      <c r="S71" s="2745"/>
      <c r="T71" s="2745"/>
      <c r="U71" s="2745"/>
      <c r="V71" s="2745"/>
      <c r="W71" s="2745"/>
      <c r="X71" s="2745"/>
      <c r="Y71" s="2745"/>
      <c r="Z71" s="10301" t="s">
        <v>844</v>
      </c>
      <c r="AA71" s="2729" t="s">
        <v>103</v>
      </c>
      <c r="AB71" s="2093" t="s">
        <v>941</v>
      </c>
      <c r="AC71" s="2083">
        <v>10714.22</v>
      </c>
      <c r="AD71" s="2093" t="str">
        <f>AB71</f>
        <v>  Прочие</v>
      </c>
      <c r="AE71" s="2083"/>
      <c r="AF71" s="2746"/>
      <c r="AG71" s="2674"/>
      <c r="AH71" s="2674"/>
      <c r="AI71" s="2746"/>
      <c r="AJ71" s="2674"/>
      <c r="AK71" s="3423"/>
      <c r="AL71" s="3424"/>
      <c r="AM71" s="2738"/>
      <c r="AN71" s="2738"/>
      <c r="AO71" s="2738"/>
      <c r="AP71" s="2738"/>
      <c r="AQ71" s="2738"/>
      <c r="AR71" s="2738"/>
      <c r="AS71" s="2738"/>
      <c r="AT71" s="2738"/>
      <c r="AU71" s="2738"/>
      <c r="AV71" s="2738"/>
      <c r="AW71" s="2738"/>
      <c r="AX71" s="2738"/>
      <c r="AY71" s="2738"/>
      <c r="AZ71" s="2738"/>
      <c r="BA71" s="2738"/>
      <c r="BB71" s="2738"/>
      <c r="BC71" s="2738"/>
      <c r="BD71" s="2738"/>
      <c r="BE71" s="2738"/>
      <c r="BF71" s="2738"/>
    </row>
    <row customHeight="1" ht="11.25">
      <c r="A72" s="2080" t="s">
        <v>905</v>
      </c>
      <c r="B72" s="2080"/>
      <c r="C72" s="2080"/>
      <c r="D72" s="2074"/>
      <c r="E72" s="2084"/>
      <c r="F72" s="2744"/>
      <c r="G72" s="2745"/>
      <c r="H72" s="3333" t="s">
        <v>141</v>
      </c>
      <c r="I72" s="3334"/>
      <c r="J72" s="10276"/>
      <c r="K72" s="3335"/>
      <c r="L72" s="2933"/>
      <c r="M72" s="2934"/>
      <c r="N72" s="3398"/>
      <c r="O72" s="3421"/>
      <c r="P72" s="3330"/>
      <c r="Q72" s="3331"/>
      <c r="R72" s="3331"/>
      <c r="S72" s="3332"/>
      <c r="T72" s="3331"/>
      <c r="U72" s="3331"/>
      <c r="V72" s="3331"/>
      <c r="W72" s="3331"/>
      <c r="X72" s="3331"/>
      <c r="Y72" s="3331"/>
      <c r="Z72" s="2089"/>
      <c r="AA72" s="2090"/>
      <c r="AB72" s="2155" t="s">
        <v>942</v>
      </c>
      <c r="AC72" s="2094"/>
      <c r="AD72" s="2094"/>
      <c r="AE72" s="2096"/>
      <c r="AF72" s="3324"/>
      <c r="AG72" s="3325"/>
      <c r="AH72" s="3325"/>
      <c r="AI72" s="3324"/>
      <c r="AJ72" s="3325"/>
      <c r="AK72" s="3325"/>
      <c r="AL72" s="3424"/>
      <c r="AM72" s="2738"/>
      <c r="AN72" s="2738"/>
      <c r="AO72" s="2738"/>
      <c r="AP72" s="2738"/>
      <c r="AQ72" s="2738"/>
      <c r="AR72" s="2738"/>
      <c r="AS72" s="2738"/>
      <c r="AT72" s="2738"/>
      <c r="AU72" s="2738"/>
      <c r="AV72" s="2738"/>
      <c r="AW72" s="2738"/>
      <c r="AX72" s="2738"/>
      <c r="AY72" s="2738"/>
      <c r="AZ72" s="2738"/>
      <c r="BA72" s="2738"/>
      <c r="BB72" s="2738"/>
      <c r="BC72" s="2738"/>
      <c r="BD72" s="2738"/>
      <c r="BE72" s="2738"/>
      <c r="BF72" s="2738"/>
    </row>
    <row customHeight="1" ht="11.25">
      <c r="A73" s="2080" t="s">
        <v>905</v>
      </c>
      <c r="B73" s="2080"/>
      <c r="C73" s="2080"/>
      <c r="D73" s="2074"/>
      <c r="E73" s="2084"/>
      <c r="F73" s="2744"/>
      <c r="G73" s="2745"/>
      <c r="H73" s="3333" t="s">
        <v>141</v>
      </c>
      <c r="I73" s="3334"/>
      <c r="J73" s="10276"/>
      <c r="K73" s="3335"/>
      <c r="L73" s="2933"/>
      <c r="M73" s="2934"/>
      <c r="N73" s="2089"/>
      <c r="O73" s="2090"/>
      <c r="P73" s="2082" t="s">
        <v>943</v>
      </c>
      <c r="Q73" s="2090"/>
      <c r="R73" s="2090"/>
      <c r="S73" s="2090"/>
      <c r="T73" s="2090"/>
      <c r="U73" s="2090"/>
      <c r="V73" s="2090"/>
      <c r="W73" s="2090"/>
      <c r="X73" s="2090"/>
      <c r="Y73" s="2090"/>
      <c r="Z73" s="2090"/>
      <c r="AA73" s="2090"/>
      <c r="AB73" s="2090"/>
      <c r="AC73" s="2090"/>
      <c r="AD73" s="2090"/>
      <c r="AE73" s="2097"/>
      <c r="AF73" s="3324"/>
      <c r="AG73" s="3325"/>
      <c r="AH73" s="3325"/>
      <c r="AI73" s="3324"/>
      <c r="AJ73" s="3325"/>
      <c r="AK73" s="3325"/>
      <c r="AL73" s="3424"/>
      <c r="AM73" s="2738"/>
      <c r="AN73" s="2738"/>
      <c r="AO73" s="2738"/>
      <c r="AP73" s="2738"/>
      <c r="AQ73" s="2738"/>
      <c r="AR73" s="2738"/>
      <c r="AS73" s="2738"/>
      <c r="AT73" s="2738"/>
      <c r="AU73" s="2738"/>
      <c r="AV73" s="2738"/>
      <c r="AW73" s="2738"/>
      <c r="AX73" s="2738"/>
      <c r="AY73" s="2738"/>
      <c r="AZ73" s="2738"/>
      <c r="BA73" s="2738"/>
      <c r="BB73" s="2738"/>
      <c r="BC73" s="2738"/>
      <c r="BD73" s="2738"/>
      <c r="BE73" s="2738"/>
      <c r="BF73" s="2738"/>
    </row>
    <row customHeight="1" ht="11.25">
      <c r="A74" s="2080" t="s">
        <v>905</v>
      </c>
      <c r="B74" s="2080" t="s">
        <v>18</v>
      </c>
      <c r="C74" s="2080"/>
      <c r="D74" s="2074"/>
      <c r="E74" s="2084"/>
      <c r="F74" s="2744"/>
      <c r="G74" s="10301" t="s">
        <v>844</v>
      </c>
      <c r="H74" s="3333" t="s">
        <v>143</v>
      </c>
      <c r="I74" s="3334" t="s">
        <v>959</v>
      </c>
      <c r="J74" s="10276" t="s">
        <v>18</v>
      </c>
      <c r="K74" s="3335" t="s">
        <v>963</v>
      </c>
      <c r="L74" s="2933" t="s">
        <v>52</v>
      </c>
      <c r="M74" s="2934"/>
      <c r="N74" s="3422"/>
      <c r="O74" s="2091" t="s">
        <v>367</v>
      </c>
      <c r="P74" s="2092"/>
      <c r="Q74" s="2092"/>
      <c r="R74" s="2092"/>
      <c r="S74" s="2092"/>
      <c r="T74" s="2092"/>
      <c r="U74" s="2092"/>
      <c r="V74" s="2092"/>
      <c r="W74" s="2092"/>
      <c r="X74" s="2092"/>
      <c r="Y74" s="2092"/>
      <c r="Z74" s="2092"/>
      <c r="AA74" s="2092"/>
      <c r="AB74" s="2092"/>
      <c r="AC74" s="2092"/>
      <c r="AD74" s="2092"/>
      <c r="AE74" s="2092"/>
      <c r="AF74" s="3324">
        <v>4</v>
      </c>
      <c r="AG74" s="3325" t="s">
        <v>939</v>
      </c>
      <c r="AH74" s="3325" t="s">
        <v>961</v>
      </c>
      <c r="AI74" s="3324"/>
      <c r="AJ74" s="3325"/>
      <c r="AK74" s="3325"/>
      <c r="AL74" s="3424"/>
      <c r="AM74" s="2738"/>
      <c r="AN74" s="2738"/>
      <c r="AO74" s="2738"/>
      <c r="AP74" s="2738"/>
      <c r="AQ74" s="2738"/>
      <c r="AR74" s="2738"/>
      <c r="AS74" s="2738"/>
      <c r="AT74" s="2738"/>
      <c r="AU74" s="2738"/>
      <c r="AV74" s="2738"/>
      <c r="AW74" s="2738"/>
      <c r="AX74" s="2738"/>
      <c r="AY74" s="2738"/>
      <c r="AZ74" s="2738"/>
      <c r="BA74" s="2738"/>
      <c r="BB74" s="2738"/>
      <c r="BC74" s="2738"/>
      <c r="BD74" s="2738"/>
      <c r="BE74" s="2738"/>
      <c r="BF74" s="2738"/>
    </row>
    <row customHeight="1" ht="11.25">
      <c r="A75" s="2080" t="s">
        <v>905</v>
      </c>
      <c r="B75" s="2080"/>
      <c r="C75" s="2080"/>
      <c r="D75" s="2074"/>
      <c r="E75" s="2084"/>
      <c r="F75" s="2744"/>
      <c r="G75" s="2745"/>
      <c r="H75" s="3333" t="s">
        <v>142</v>
      </c>
      <c r="I75" s="3334"/>
      <c r="J75" s="10276"/>
      <c r="K75" s="3335"/>
      <c r="L75" s="2933"/>
      <c r="M75" s="2934"/>
      <c r="N75" s="3398"/>
      <c r="O75" s="3421">
        <v>1</v>
      </c>
      <c r="P75" s="3328" t="s">
        <v>52</v>
      </c>
      <c r="Q75" s="3331" t="s">
        <v>18</v>
      </c>
      <c r="R75" s="3331" t="s">
        <v>18</v>
      </c>
      <c r="S75" s="3331" t="s">
        <v>18</v>
      </c>
      <c r="T75" s="3331" t="s">
        <v>18</v>
      </c>
      <c r="U75" s="3331" t="s">
        <v>18</v>
      </c>
      <c r="V75" s="3331" t="s">
        <v>18</v>
      </c>
      <c r="W75" s="3331" t="s">
        <v>18</v>
      </c>
      <c r="X75" s="3331" t="s">
        <v>18</v>
      </c>
      <c r="Y75" s="3331"/>
      <c r="Z75" s="2089"/>
      <c r="AA75" s="2090"/>
      <c r="AB75" s="2090"/>
      <c r="AC75" s="2094"/>
      <c r="AD75" s="2094"/>
      <c r="AE75" s="2095"/>
      <c r="AF75" s="3324"/>
      <c r="AG75" s="3325"/>
      <c r="AH75" s="3325"/>
      <c r="AI75" s="3324"/>
      <c r="AJ75" s="3325"/>
      <c r="AK75" s="3325"/>
      <c r="AL75" s="3424"/>
      <c r="AM75" s="2738"/>
      <c r="AN75" s="2738"/>
      <c r="AO75" s="2738"/>
      <c r="AP75" s="2738"/>
      <c r="AQ75" s="2738"/>
      <c r="AR75" s="2738"/>
      <c r="AS75" s="2738"/>
      <c r="AT75" s="2738"/>
      <c r="AU75" s="2738"/>
      <c r="AV75" s="2738"/>
      <c r="AW75" s="2738"/>
      <c r="AX75" s="2738"/>
      <c r="AY75" s="2738"/>
      <c r="AZ75" s="2738"/>
      <c r="BA75" s="2738"/>
      <c r="BB75" s="2738"/>
      <c r="BC75" s="2738"/>
      <c r="BD75" s="2738"/>
      <c r="BE75" s="2738"/>
      <c r="BF75" s="2738"/>
    </row>
    <row customHeight="1" ht="11.25">
      <c r="A76" s="2080" t="s">
        <v>905</v>
      </c>
      <c r="B76" s="2080"/>
      <c r="C76" s="2080"/>
      <c r="D76" s="2074"/>
      <c r="E76" s="2084"/>
      <c r="F76" s="2744"/>
      <c r="G76" s="2745"/>
      <c r="H76" s="3333" t="s">
        <v>142</v>
      </c>
      <c r="I76" s="3334"/>
      <c r="J76" s="10276"/>
      <c r="K76" s="3335"/>
      <c r="L76" s="2933"/>
      <c r="M76" s="2934"/>
      <c r="N76" s="3398"/>
      <c r="O76" s="3421"/>
      <c r="P76" s="3329"/>
      <c r="Q76" s="3331"/>
      <c r="R76" s="3331"/>
      <c r="S76" s="3332"/>
      <c r="T76" s="3331"/>
      <c r="U76" s="3331"/>
      <c r="V76" s="3331"/>
      <c r="W76" s="3331"/>
      <c r="X76" s="3331"/>
      <c r="Y76" s="3331"/>
      <c r="Z76" s="2743"/>
      <c r="AA76" s="2709">
        <v>1</v>
      </c>
      <c r="AB76" s="2093" t="s">
        <v>949</v>
      </c>
      <c r="AC76" s="2083">
        <v>78428.78</v>
      </c>
      <c r="AD76" s="2093" t="str">
        <f>AB76</f>
        <v>      Прочие амортизационные отчисления</v>
      </c>
      <c r="AE76" s="2083"/>
      <c r="AF76" s="3324"/>
      <c r="AG76" s="3325"/>
      <c r="AH76" s="3325"/>
      <c r="AI76" s="3324"/>
      <c r="AJ76" s="3325"/>
      <c r="AK76" s="3325"/>
      <c r="AL76" s="3424"/>
      <c r="AM76" s="2738"/>
      <c r="AN76" s="2738"/>
      <c r="AO76" s="2738"/>
      <c r="AP76" s="2738"/>
      <c r="AQ76" s="2738"/>
      <c r="AR76" s="2738"/>
      <c r="AS76" s="2738"/>
      <c r="AT76" s="2738"/>
      <c r="AU76" s="2738"/>
      <c r="AV76" s="2738"/>
      <c r="AW76" s="2738"/>
      <c r="AX76" s="2738"/>
      <c r="AY76" s="2738"/>
      <c r="AZ76" s="2738"/>
      <c r="BA76" s="2738"/>
      <c r="BB76" s="2738"/>
      <c r="BC76" s="2738"/>
      <c r="BD76" s="2738"/>
      <c r="BE76" s="2738"/>
      <c r="BF76" s="2738"/>
    </row>
    <row customHeight="1" ht="11.25">
      <c r="A77" s="2080" t="s">
        <v>905</v>
      </c>
      <c r="B77" s="2080"/>
      <c r="C77" s="2080"/>
      <c r="D77" s="2074"/>
      <c r="E77" s="2084"/>
      <c r="F77" s="2745"/>
      <c r="G77" s="2745"/>
      <c r="H77" s="2745"/>
      <c r="I77" s="2745"/>
      <c r="J77" s="2745"/>
      <c r="K77" s="2745"/>
      <c r="L77" s="2745"/>
      <c r="M77" s="2745"/>
      <c r="N77" s="2745"/>
      <c r="O77" s="2745"/>
      <c r="P77" s="2745"/>
      <c r="Q77" s="2745"/>
      <c r="R77" s="2745"/>
      <c r="S77" s="2745"/>
      <c r="T77" s="2745"/>
      <c r="U77" s="2745"/>
      <c r="V77" s="2745"/>
      <c r="W77" s="2745"/>
      <c r="X77" s="2745"/>
      <c r="Y77" s="2745"/>
      <c r="Z77" s="10301" t="s">
        <v>844</v>
      </c>
      <c r="AA77" s="2729" t="s">
        <v>103</v>
      </c>
      <c r="AB77" s="2093" t="s">
        <v>941</v>
      </c>
      <c r="AC77" s="2083">
        <v>58821</v>
      </c>
      <c r="AD77" s="2093" t="str">
        <f>AB77</f>
        <v>  Прочие</v>
      </c>
      <c r="AE77" s="2083"/>
      <c r="AF77" s="2746"/>
      <c r="AG77" s="2674"/>
      <c r="AH77" s="2674"/>
      <c r="AI77" s="2746"/>
      <c r="AJ77" s="2674"/>
      <c r="AK77" s="3423"/>
      <c r="AL77" s="3424"/>
      <c r="AM77" s="2738"/>
      <c r="AN77" s="2738"/>
      <c r="AO77" s="2738"/>
      <c r="AP77" s="2738"/>
      <c r="AQ77" s="2738"/>
      <c r="AR77" s="2738"/>
      <c r="AS77" s="2738"/>
      <c r="AT77" s="2738"/>
      <c r="AU77" s="2738"/>
      <c r="AV77" s="2738"/>
      <c r="AW77" s="2738"/>
      <c r="AX77" s="2738"/>
      <c r="AY77" s="2738"/>
      <c r="AZ77" s="2738"/>
      <c r="BA77" s="2738"/>
      <c r="BB77" s="2738"/>
      <c r="BC77" s="2738"/>
      <c r="BD77" s="2738"/>
      <c r="BE77" s="2738"/>
      <c r="BF77" s="2738"/>
    </row>
    <row customHeight="1" ht="11.25">
      <c r="A78" s="2080" t="s">
        <v>905</v>
      </c>
      <c r="B78" s="2080"/>
      <c r="C78" s="2080"/>
      <c r="D78" s="2074"/>
      <c r="E78" s="2084"/>
      <c r="F78" s="2744"/>
      <c r="G78" s="2745"/>
      <c r="H78" s="3333" t="s">
        <v>142</v>
      </c>
      <c r="I78" s="3334"/>
      <c r="J78" s="10276"/>
      <c r="K78" s="3335"/>
      <c r="L78" s="2933"/>
      <c r="M78" s="2934"/>
      <c r="N78" s="3398"/>
      <c r="O78" s="3421"/>
      <c r="P78" s="3330"/>
      <c r="Q78" s="3331"/>
      <c r="R78" s="3331"/>
      <c r="S78" s="3332"/>
      <c r="T78" s="3331"/>
      <c r="U78" s="3331"/>
      <c r="V78" s="3331"/>
      <c r="W78" s="3331"/>
      <c r="X78" s="3331"/>
      <c r="Y78" s="3331"/>
      <c r="Z78" s="2089"/>
      <c r="AA78" s="2090"/>
      <c r="AB78" s="2155" t="s">
        <v>942</v>
      </c>
      <c r="AC78" s="2094"/>
      <c r="AD78" s="2094"/>
      <c r="AE78" s="2096"/>
      <c r="AF78" s="3324"/>
      <c r="AG78" s="3325"/>
      <c r="AH78" s="3325"/>
      <c r="AI78" s="3324"/>
      <c r="AJ78" s="3325"/>
      <c r="AK78" s="3325"/>
      <c r="AL78" s="3424"/>
      <c r="AM78" s="2738"/>
      <c r="AN78" s="2738"/>
      <c r="AO78" s="2738"/>
      <c r="AP78" s="2738"/>
      <c r="AQ78" s="2738"/>
      <c r="AR78" s="2738"/>
      <c r="AS78" s="2738"/>
      <c r="AT78" s="2738"/>
      <c r="AU78" s="2738"/>
      <c r="AV78" s="2738"/>
      <c r="AW78" s="2738"/>
      <c r="AX78" s="2738"/>
      <c r="AY78" s="2738"/>
      <c r="AZ78" s="2738"/>
      <c r="BA78" s="2738"/>
      <c r="BB78" s="2738"/>
      <c r="BC78" s="2738"/>
      <c r="BD78" s="2738"/>
      <c r="BE78" s="2738"/>
      <c r="BF78" s="2738"/>
    </row>
    <row customHeight="1" ht="11.25">
      <c r="A79" s="2080" t="s">
        <v>905</v>
      </c>
      <c r="B79" s="2080"/>
      <c r="C79" s="2080"/>
      <c r="D79" s="2074"/>
      <c r="E79" s="2084"/>
      <c r="F79" s="2744"/>
      <c r="G79" s="2745"/>
      <c r="H79" s="3333" t="s">
        <v>142</v>
      </c>
      <c r="I79" s="3334"/>
      <c r="J79" s="10276"/>
      <c r="K79" s="3335"/>
      <c r="L79" s="2933"/>
      <c r="M79" s="2934"/>
      <c r="N79" s="2089"/>
      <c r="O79" s="2090"/>
      <c r="P79" s="2082" t="s">
        <v>943</v>
      </c>
      <c r="Q79" s="2090"/>
      <c r="R79" s="2090"/>
      <c r="S79" s="2090"/>
      <c r="T79" s="2090"/>
      <c r="U79" s="2090"/>
      <c r="V79" s="2090"/>
      <c r="W79" s="2090"/>
      <c r="X79" s="2090"/>
      <c r="Y79" s="2090"/>
      <c r="Z79" s="2090"/>
      <c r="AA79" s="2090"/>
      <c r="AB79" s="2090"/>
      <c r="AC79" s="2090"/>
      <c r="AD79" s="2090"/>
      <c r="AE79" s="2097"/>
      <c r="AF79" s="3324"/>
      <c r="AG79" s="3325"/>
      <c r="AH79" s="3325"/>
      <c r="AI79" s="3324"/>
      <c r="AJ79" s="3325"/>
      <c r="AK79" s="3325"/>
      <c r="AL79" s="3424"/>
      <c r="AM79" s="2738"/>
      <c r="AN79" s="2738"/>
      <c r="AO79" s="2738"/>
      <c r="AP79" s="2738"/>
      <c r="AQ79" s="2738"/>
      <c r="AR79" s="2738"/>
      <c r="AS79" s="2738"/>
      <c r="AT79" s="2738"/>
      <c r="AU79" s="2738"/>
      <c r="AV79" s="2738"/>
      <c r="AW79" s="2738"/>
      <c r="AX79" s="2738"/>
      <c r="AY79" s="2738"/>
      <c r="AZ79" s="2738"/>
      <c r="BA79" s="2738"/>
      <c r="BB79" s="2738"/>
      <c r="BC79" s="2738"/>
      <c r="BD79" s="2738"/>
      <c r="BE79" s="2738"/>
      <c r="BF79" s="2738"/>
    </row>
    <row customHeight="1" ht="11.25">
      <c r="A80" s="2080" t="s">
        <v>905</v>
      </c>
      <c r="B80" s="2080" t="s">
        <v>18</v>
      </c>
      <c r="C80" s="2080"/>
      <c r="D80" s="2074"/>
      <c r="E80" s="2084"/>
      <c r="F80" s="2744"/>
      <c r="G80" s="10301" t="s">
        <v>844</v>
      </c>
      <c r="H80" s="3333" t="s">
        <v>144</v>
      </c>
      <c r="I80" s="3334" t="s">
        <v>959</v>
      </c>
      <c r="J80" s="10276" t="s">
        <v>18</v>
      </c>
      <c r="K80" s="3335" t="s">
        <v>964</v>
      </c>
      <c r="L80" s="2933" t="s">
        <v>52</v>
      </c>
      <c r="M80" s="2934"/>
      <c r="N80" s="3422"/>
      <c r="O80" s="2091" t="s">
        <v>367</v>
      </c>
      <c r="P80" s="2092"/>
      <c r="Q80" s="2092"/>
      <c r="R80" s="2092"/>
      <c r="S80" s="2092"/>
      <c r="T80" s="2092"/>
      <c r="U80" s="2092"/>
      <c r="V80" s="2092"/>
      <c r="W80" s="2092"/>
      <c r="X80" s="2092"/>
      <c r="Y80" s="2092"/>
      <c r="Z80" s="2092"/>
      <c r="AA80" s="2092"/>
      <c r="AB80" s="2092"/>
      <c r="AC80" s="2092"/>
      <c r="AD80" s="2092"/>
      <c r="AE80" s="2092"/>
      <c r="AF80" s="3324">
        <v>3</v>
      </c>
      <c r="AG80" s="3325" t="s">
        <v>939</v>
      </c>
      <c r="AH80" s="3325" t="s">
        <v>948</v>
      </c>
      <c r="AI80" s="3324"/>
      <c r="AJ80" s="3325"/>
      <c r="AK80" s="3325"/>
      <c r="AL80" s="3424"/>
      <c r="AM80" s="2738"/>
      <c r="AN80" s="2738"/>
      <c r="AO80" s="2738"/>
      <c r="AP80" s="2738"/>
      <c r="AQ80" s="2738"/>
      <c r="AR80" s="2738"/>
      <c r="AS80" s="2738"/>
      <c r="AT80" s="2738"/>
      <c r="AU80" s="2738"/>
      <c r="AV80" s="2738"/>
      <c r="AW80" s="2738"/>
      <c r="AX80" s="2738"/>
      <c r="AY80" s="2738"/>
      <c r="AZ80" s="2738"/>
      <c r="BA80" s="2738"/>
      <c r="BB80" s="2738"/>
      <c r="BC80" s="2738"/>
      <c r="BD80" s="2738"/>
      <c r="BE80" s="2738"/>
      <c r="BF80" s="2738"/>
    </row>
    <row customHeight="1" ht="11.25">
      <c r="A81" s="2080" t="s">
        <v>905</v>
      </c>
      <c r="B81" s="2080"/>
      <c r="C81" s="2080"/>
      <c r="D81" s="2074"/>
      <c r="E81" s="2084"/>
      <c r="F81" s="2744"/>
      <c r="G81" s="2745"/>
      <c r="H81" s="3333" t="s">
        <v>143</v>
      </c>
      <c r="I81" s="3334"/>
      <c r="J81" s="10276"/>
      <c r="K81" s="3335"/>
      <c r="L81" s="2933"/>
      <c r="M81" s="2934"/>
      <c r="N81" s="3398"/>
      <c r="O81" s="3421">
        <v>1</v>
      </c>
      <c r="P81" s="3328" t="s">
        <v>52</v>
      </c>
      <c r="Q81" s="3331" t="s">
        <v>18</v>
      </c>
      <c r="R81" s="3331" t="s">
        <v>18</v>
      </c>
      <c r="S81" s="3331" t="s">
        <v>18</v>
      </c>
      <c r="T81" s="3331" t="s">
        <v>18</v>
      </c>
      <c r="U81" s="3331" t="s">
        <v>18</v>
      </c>
      <c r="V81" s="3331" t="s">
        <v>18</v>
      </c>
      <c r="W81" s="3331" t="s">
        <v>18</v>
      </c>
      <c r="X81" s="3331" t="s">
        <v>18</v>
      </c>
      <c r="Y81" s="3331"/>
      <c r="Z81" s="2089"/>
      <c r="AA81" s="2090"/>
      <c r="AB81" s="2090"/>
      <c r="AC81" s="2094"/>
      <c r="AD81" s="2094"/>
      <c r="AE81" s="2095"/>
      <c r="AF81" s="3324"/>
      <c r="AG81" s="3325"/>
      <c r="AH81" s="3325"/>
      <c r="AI81" s="3324"/>
      <c r="AJ81" s="3325"/>
      <c r="AK81" s="3325"/>
      <c r="AL81" s="3424"/>
      <c r="AM81" s="2738"/>
      <c r="AN81" s="2738"/>
      <c r="AO81" s="2738"/>
      <c r="AP81" s="2738"/>
      <c r="AQ81" s="2738"/>
      <c r="AR81" s="2738"/>
      <c r="AS81" s="2738"/>
      <c r="AT81" s="2738"/>
      <c r="AU81" s="2738"/>
      <c r="AV81" s="2738"/>
      <c r="AW81" s="2738"/>
      <c r="AX81" s="2738"/>
      <c r="AY81" s="2738"/>
      <c r="AZ81" s="2738"/>
      <c r="BA81" s="2738"/>
      <c r="BB81" s="2738"/>
      <c r="BC81" s="2738"/>
      <c r="BD81" s="2738"/>
      <c r="BE81" s="2738"/>
      <c r="BF81" s="2738"/>
    </row>
    <row customHeight="1" ht="11.25">
      <c r="A82" s="2080" t="s">
        <v>905</v>
      </c>
      <c r="B82" s="2080"/>
      <c r="C82" s="2080"/>
      <c r="D82" s="2074"/>
      <c r="E82" s="2084"/>
      <c r="F82" s="2744"/>
      <c r="G82" s="2745"/>
      <c r="H82" s="3333" t="s">
        <v>143</v>
      </c>
      <c r="I82" s="3334"/>
      <c r="J82" s="10276"/>
      <c r="K82" s="3335"/>
      <c r="L82" s="2933"/>
      <c r="M82" s="2934"/>
      <c r="N82" s="3398"/>
      <c r="O82" s="3421"/>
      <c r="P82" s="3329"/>
      <c r="Q82" s="3331"/>
      <c r="R82" s="3331"/>
      <c r="S82" s="3332"/>
      <c r="T82" s="3331"/>
      <c r="U82" s="3331"/>
      <c r="V82" s="3331"/>
      <c r="W82" s="3331"/>
      <c r="X82" s="3331"/>
      <c r="Y82" s="3331"/>
      <c r="Z82" s="2743"/>
      <c r="AA82" s="2709">
        <v>1</v>
      </c>
      <c r="AB82" s="2093" t="s">
        <v>949</v>
      </c>
      <c r="AC82" s="2083">
        <v>52776.11</v>
      </c>
      <c r="AD82" s="2093" t="str">
        <f>AB82</f>
        <v>      Прочие амортизационные отчисления</v>
      </c>
      <c r="AE82" s="2083"/>
      <c r="AF82" s="3324"/>
      <c r="AG82" s="3325"/>
      <c r="AH82" s="3325"/>
      <c r="AI82" s="3324"/>
      <c r="AJ82" s="3325"/>
      <c r="AK82" s="3325"/>
      <c r="AL82" s="3424"/>
      <c r="AM82" s="2738"/>
      <c r="AN82" s="2738"/>
      <c r="AO82" s="2738"/>
      <c r="AP82" s="2738"/>
      <c r="AQ82" s="2738"/>
      <c r="AR82" s="2738"/>
      <c r="AS82" s="2738"/>
      <c r="AT82" s="2738"/>
      <c r="AU82" s="2738"/>
      <c r="AV82" s="2738"/>
      <c r="AW82" s="2738"/>
      <c r="AX82" s="2738"/>
      <c r="AY82" s="2738"/>
      <c r="AZ82" s="2738"/>
      <c r="BA82" s="2738"/>
      <c r="BB82" s="2738"/>
      <c r="BC82" s="2738"/>
      <c r="BD82" s="2738"/>
      <c r="BE82" s="2738"/>
      <c r="BF82" s="2738"/>
    </row>
    <row customHeight="1" ht="11.25">
      <c r="A83" s="2080" t="s">
        <v>905</v>
      </c>
      <c r="B83" s="2080"/>
      <c r="C83" s="2080"/>
      <c r="D83" s="2074"/>
      <c r="E83" s="2084"/>
      <c r="F83" s="2745"/>
      <c r="G83" s="2745"/>
      <c r="H83" s="2745"/>
      <c r="I83" s="2745"/>
      <c r="J83" s="2745"/>
      <c r="K83" s="2745"/>
      <c r="L83" s="2745"/>
      <c r="M83" s="2745"/>
      <c r="N83" s="2745"/>
      <c r="O83" s="2745"/>
      <c r="P83" s="2745"/>
      <c r="Q83" s="2745"/>
      <c r="R83" s="2745"/>
      <c r="S83" s="2745"/>
      <c r="T83" s="2745"/>
      <c r="U83" s="2745"/>
      <c r="V83" s="2745"/>
      <c r="W83" s="2745"/>
      <c r="X83" s="2745"/>
      <c r="Y83" s="2745"/>
      <c r="Z83" s="10301" t="s">
        <v>844</v>
      </c>
      <c r="AA83" s="2729" t="s">
        <v>103</v>
      </c>
      <c r="AB83" s="2093" t="s">
        <v>941</v>
      </c>
      <c r="AC83" s="2083">
        <v>39581.69</v>
      </c>
      <c r="AD83" s="2093" t="str">
        <f>AB83</f>
        <v>  Прочие</v>
      </c>
      <c r="AE83" s="2083"/>
      <c r="AF83" s="2746"/>
      <c r="AG83" s="2674"/>
      <c r="AH83" s="2674"/>
      <c r="AI83" s="2746"/>
      <c r="AJ83" s="2674"/>
      <c r="AK83" s="3423"/>
      <c r="AL83" s="3424"/>
      <c r="AM83" s="2738"/>
      <c r="AN83" s="2738"/>
      <c r="AO83" s="2738"/>
      <c r="AP83" s="2738"/>
      <c r="AQ83" s="2738"/>
      <c r="AR83" s="2738"/>
      <c r="AS83" s="2738"/>
      <c r="AT83" s="2738"/>
      <c r="AU83" s="2738"/>
      <c r="AV83" s="2738"/>
      <c r="AW83" s="2738"/>
      <c r="AX83" s="2738"/>
      <c r="AY83" s="2738"/>
      <c r="AZ83" s="2738"/>
      <c r="BA83" s="2738"/>
      <c r="BB83" s="2738"/>
      <c r="BC83" s="2738"/>
      <c r="BD83" s="2738"/>
      <c r="BE83" s="2738"/>
      <c r="BF83" s="2738"/>
    </row>
    <row customHeight="1" ht="11.25">
      <c r="A84" s="2080" t="s">
        <v>905</v>
      </c>
      <c r="B84" s="2080"/>
      <c r="C84" s="2080"/>
      <c r="D84" s="2074"/>
      <c r="E84" s="2084"/>
      <c r="F84" s="2744"/>
      <c r="G84" s="2745"/>
      <c r="H84" s="3333" t="s">
        <v>143</v>
      </c>
      <c r="I84" s="3334"/>
      <c r="J84" s="10276"/>
      <c r="K84" s="3335"/>
      <c r="L84" s="2933"/>
      <c r="M84" s="2934"/>
      <c r="N84" s="3398"/>
      <c r="O84" s="3421"/>
      <c r="P84" s="3330"/>
      <c r="Q84" s="3331"/>
      <c r="R84" s="3331"/>
      <c r="S84" s="3332"/>
      <c r="T84" s="3331"/>
      <c r="U84" s="3331"/>
      <c r="V84" s="3331"/>
      <c r="W84" s="3331"/>
      <c r="X84" s="3331"/>
      <c r="Y84" s="3331"/>
      <c r="Z84" s="2089"/>
      <c r="AA84" s="2090"/>
      <c r="AB84" s="2155" t="s">
        <v>942</v>
      </c>
      <c r="AC84" s="2094"/>
      <c r="AD84" s="2094"/>
      <c r="AE84" s="2096"/>
      <c r="AF84" s="3324"/>
      <c r="AG84" s="3325"/>
      <c r="AH84" s="3325"/>
      <c r="AI84" s="3324"/>
      <c r="AJ84" s="3325"/>
      <c r="AK84" s="3325"/>
      <c r="AL84" s="3424"/>
      <c r="AM84" s="2738"/>
      <c r="AN84" s="2738"/>
      <c r="AO84" s="2738"/>
      <c r="AP84" s="2738"/>
      <c r="AQ84" s="2738"/>
      <c r="AR84" s="2738"/>
      <c r="AS84" s="2738"/>
      <c r="AT84" s="2738"/>
      <c r="AU84" s="2738"/>
      <c r="AV84" s="2738"/>
      <c r="AW84" s="2738"/>
      <c r="AX84" s="2738"/>
      <c r="AY84" s="2738"/>
      <c r="AZ84" s="2738"/>
      <c r="BA84" s="2738"/>
      <c r="BB84" s="2738"/>
      <c r="BC84" s="2738"/>
      <c r="BD84" s="2738"/>
      <c r="BE84" s="2738"/>
      <c r="BF84" s="2738"/>
    </row>
    <row customHeight="1" ht="11.25">
      <c r="A85" s="2080" t="s">
        <v>905</v>
      </c>
      <c r="B85" s="2080"/>
      <c r="C85" s="2080"/>
      <c r="D85" s="2074"/>
      <c r="E85" s="2084"/>
      <c r="F85" s="2744"/>
      <c r="G85" s="2745"/>
      <c r="H85" s="3333" t="s">
        <v>143</v>
      </c>
      <c r="I85" s="3334"/>
      <c r="J85" s="10276"/>
      <c r="K85" s="3335"/>
      <c r="L85" s="2933"/>
      <c r="M85" s="2934"/>
      <c r="N85" s="2089"/>
      <c r="O85" s="2090"/>
      <c r="P85" s="2082" t="s">
        <v>943</v>
      </c>
      <c r="Q85" s="2090"/>
      <c r="R85" s="2090"/>
      <c r="S85" s="2090"/>
      <c r="T85" s="2090"/>
      <c r="U85" s="2090"/>
      <c r="V85" s="2090"/>
      <c r="W85" s="2090"/>
      <c r="X85" s="2090"/>
      <c r="Y85" s="2090"/>
      <c r="Z85" s="2090"/>
      <c r="AA85" s="2090"/>
      <c r="AB85" s="2090"/>
      <c r="AC85" s="2090"/>
      <c r="AD85" s="2090"/>
      <c r="AE85" s="2097"/>
      <c r="AF85" s="3324"/>
      <c r="AG85" s="3325"/>
      <c r="AH85" s="3325"/>
      <c r="AI85" s="3324"/>
      <c r="AJ85" s="3325"/>
      <c r="AK85" s="3325"/>
      <c r="AL85" s="3424"/>
      <c r="AM85" s="2738"/>
      <c r="AN85" s="2738"/>
      <c r="AO85" s="2738"/>
      <c r="AP85" s="2738"/>
      <c r="AQ85" s="2738"/>
      <c r="AR85" s="2738"/>
      <c r="AS85" s="2738"/>
      <c r="AT85" s="2738"/>
      <c r="AU85" s="2738"/>
      <c r="AV85" s="2738"/>
      <c r="AW85" s="2738"/>
      <c r="AX85" s="2738"/>
      <c r="AY85" s="2738"/>
      <c r="AZ85" s="2738"/>
      <c r="BA85" s="2738"/>
      <c r="BB85" s="2738"/>
      <c r="BC85" s="2738"/>
      <c r="BD85" s="2738"/>
      <c r="BE85" s="2738"/>
      <c r="BF85" s="2738"/>
    </row>
    <row customHeight="1" ht="12">
      <c r="A86" s="2080" t="s">
        <v>905</v>
      </c>
      <c r="B86" s="2080"/>
      <c r="C86" s="2080"/>
      <c r="D86" s="2074"/>
      <c r="E86" s="2084"/>
      <c r="F86" s="3354"/>
      <c r="G86" s="2104"/>
      <c r="H86" s="2104"/>
      <c r="I86" s="3352" t="s">
        <v>965</v>
      </c>
      <c r="J86" s="3352"/>
      <c r="K86" s="3352"/>
      <c r="L86" s="2087"/>
      <c r="M86" s="2087"/>
      <c r="N86" s="2088"/>
      <c r="O86" s="2088"/>
      <c r="P86" s="2088"/>
      <c r="Q86" s="2088"/>
      <c r="R86" s="2088"/>
      <c r="S86" s="2088"/>
      <c r="T86" s="2088"/>
      <c r="U86" s="2088"/>
      <c r="V86" s="2088"/>
      <c r="W86" s="2088"/>
      <c r="X86" s="2088"/>
      <c r="Y86" s="2088"/>
      <c r="Z86" s="2088"/>
      <c r="AA86" s="2088"/>
      <c r="AB86" s="2088"/>
      <c r="AC86" s="2088"/>
      <c r="AD86" s="2088"/>
      <c r="AE86" s="2088"/>
      <c r="AF86" s="2088"/>
      <c r="AG86" s="2087"/>
      <c r="AH86" s="2087"/>
      <c r="AI86" s="2088"/>
      <c r="AJ86" s="2087"/>
      <c r="AK86" s="2088"/>
      <c r="AL86" s="3424"/>
      <c r="AM86" s="2738"/>
      <c r="AN86" s="2738"/>
      <c r="AO86" s="2738"/>
      <c r="AP86" s="2738"/>
      <c r="AQ86" s="2738"/>
      <c r="AR86" s="2738"/>
      <c r="AS86" s="2738"/>
      <c r="AT86" s="2738"/>
      <c r="AU86" s="2738"/>
      <c r="AV86" s="2738"/>
      <c r="AW86" s="2738"/>
      <c r="AX86" s="2738"/>
      <c r="AY86" s="2738"/>
      <c r="AZ86" s="2738"/>
      <c r="BA86" s="2738"/>
      <c r="BB86" s="2738"/>
      <c r="BC86" s="2738"/>
      <c r="BD86" s="2738"/>
      <c r="BE86" s="2738"/>
      <c r="BF86" s="2738"/>
    </row>
    <row customHeight="1" ht="24.75">
      <c r="A87" s="2080" t="s">
        <v>905</v>
      </c>
      <c r="B87" s="2080" t="s">
        <v>18</v>
      </c>
      <c r="C87" s="2080"/>
      <c r="D87" s="2074"/>
      <c r="E87" s="2084"/>
      <c r="F87" s="3353">
        <v>2025</v>
      </c>
      <c r="G87" s="3333"/>
      <c r="H87" s="3333" t="s">
        <v>102</v>
      </c>
      <c r="I87" s="3334" t="s">
        <v>937</v>
      </c>
      <c r="J87" s="13092" t="s">
        <v>18</v>
      </c>
      <c r="K87" s="3335" t="s">
        <v>938</v>
      </c>
      <c r="L87" s="3325" t="s">
        <v>52</v>
      </c>
      <c r="M87" s="2934"/>
      <c r="N87" s="2092"/>
      <c r="O87" s="2091" t="s">
        <v>367</v>
      </c>
      <c r="P87" s="2092"/>
      <c r="Q87" s="2092"/>
      <c r="R87" s="2092"/>
      <c r="S87" s="2092"/>
      <c r="T87" s="2092"/>
      <c r="U87" s="2092"/>
      <c r="V87" s="2092"/>
      <c r="W87" s="2092"/>
      <c r="X87" s="2092"/>
      <c r="Y87" s="2092"/>
      <c r="Z87" s="2092"/>
      <c r="AA87" s="2092"/>
      <c r="AB87" s="2092"/>
      <c r="AC87" s="2092"/>
      <c r="AD87" s="2092"/>
      <c r="AE87" s="2092"/>
      <c r="AF87" s="3324">
        <v>4</v>
      </c>
      <c r="AG87" s="3325" t="s">
        <v>939</v>
      </c>
      <c r="AH87" s="3325" t="s">
        <v>940</v>
      </c>
      <c r="AI87" s="3324"/>
      <c r="AJ87" s="3325"/>
      <c r="AK87" s="3325"/>
      <c r="AL87" s="3424"/>
      <c r="AM87" s="2738"/>
      <c r="AN87" s="2738"/>
      <c r="AO87" s="2738"/>
      <c r="AP87" s="2738"/>
      <c r="AQ87" s="2738"/>
      <c r="AR87" s="2738"/>
      <c r="AS87" s="2738"/>
      <c r="AT87" s="2738"/>
      <c r="AU87" s="2738"/>
      <c r="AV87" s="2738"/>
      <c r="AW87" s="2738"/>
      <c r="AX87" s="2738"/>
      <c r="AY87" s="2738"/>
      <c r="AZ87" s="2738"/>
      <c r="BA87" s="2738"/>
      <c r="BB87" s="2738"/>
      <c r="BC87" s="2738"/>
      <c r="BD87" s="2738"/>
      <c r="BE87" s="2738"/>
      <c r="BF87" s="2738"/>
    </row>
    <row customHeight="1" ht="27.75">
      <c r="A88" s="2080" t="s">
        <v>905</v>
      </c>
      <c r="B88" s="2080"/>
      <c r="C88" s="2080"/>
      <c r="D88" s="2074"/>
      <c r="E88" s="2084"/>
      <c r="F88" s="3353"/>
      <c r="G88" s="3333"/>
      <c r="H88" s="3333"/>
      <c r="I88" s="3334"/>
      <c r="J88" s="13092"/>
      <c r="K88" s="3335"/>
      <c r="L88" s="3325"/>
      <c r="M88" s="2934"/>
      <c r="N88" s="3326"/>
      <c r="O88" s="3327">
        <v>1</v>
      </c>
      <c r="P88" s="3328" t="s">
        <v>52</v>
      </c>
      <c r="Q88" s="3331" t="s">
        <v>18</v>
      </c>
      <c r="R88" s="3331" t="s">
        <v>18</v>
      </c>
      <c r="S88" s="3331" t="s">
        <v>18</v>
      </c>
      <c r="T88" s="3331" t="s">
        <v>18</v>
      </c>
      <c r="U88" s="3331" t="s">
        <v>18</v>
      </c>
      <c r="V88" s="3331" t="s">
        <v>18</v>
      </c>
      <c r="W88" s="3331" t="s">
        <v>18</v>
      </c>
      <c r="X88" s="3331" t="s">
        <v>18</v>
      </c>
      <c r="Y88" s="3331"/>
      <c r="Z88" s="2089"/>
      <c r="AA88" s="2090"/>
      <c r="AB88" s="2090"/>
      <c r="AC88" s="2094"/>
      <c r="AD88" s="2094"/>
      <c r="AE88" s="2095"/>
      <c r="AF88" s="3324"/>
      <c r="AG88" s="3325"/>
      <c r="AH88" s="3325"/>
      <c r="AI88" s="3324"/>
      <c r="AJ88" s="3325"/>
      <c r="AK88" s="3325"/>
      <c r="AL88" s="3424"/>
      <c r="AM88" s="2738"/>
      <c r="AN88" s="2738"/>
      <c r="AO88" s="2738"/>
      <c r="AP88" s="2738"/>
      <c r="AQ88" s="2738"/>
      <c r="AR88" s="2738"/>
      <c r="AS88" s="2738"/>
      <c r="AT88" s="2738"/>
      <c r="AU88" s="2738"/>
      <c r="AV88" s="2738"/>
      <c r="AW88" s="2738"/>
      <c r="AX88" s="2738"/>
      <c r="AY88" s="2738"/>
      <c r="AZ88" s="2738"/>
      <c r="BA88" s="2738"/>
      <c r="BB88" s="2738"/>
      <c r="BC88" s="2738"/>
      <c r="BD88" s="2738"/>
      <c r="BE88" s="2738"/>
      <c r="BF88" s="2738"/>
    </row>
    <row customHeight="1" ht="24.75">
      <c r="A89" s="2080" t="s">
        <v>905</v>
      </c>
      <c r="B89" s="2080"/>
      <c r="C89" s="2080"/>
      <c r="D89" s="2074"/>
      <c r="E89" s="2084"/>
      <c r="F89" s="3353"/>
      <c r="G89" s="3333"/>
      <c r="H89" s="3333"/>
      <c r="I89" s="3334"/>
      <c r="J89" s="13092"/>
      <c r="K89" s="3335"/>
      <c r="L89" s="3325"/>
      <c r="M89" s="2934"/>
      <c r="N89" s="3326"/>
      <c r="O89" s="3327"/>
      <c r="P89" s="3329"/>
      <c r="Q89" s="3331"/>
      <c r="R89" s="3331"/>
      <c r="S89" s="3332"/>
      <c r="T89" s="3331"/>
      <c r="U89" s="3331"/>
      <c r="V89" s="3331"/>
      <c r="W89" s="3331"/>
      <c r="X89" s="3331"/>
      <c r="Y89" s="3331"/>
      <c r="Z89" s="2743"/>
      <c r="AA89" s="2709">
        <v>1</v>
      </c>
      <c r="AB89" s="2093" t="s">
        <v>941</v>
      </c>
      <c r="AC89" s="2083">
        <v>1550000</v>
      </c>
      <c r="AD89" s="2093" t="str">
        <f>AB89</f>
        <v>  Прочие</v>
      </c>
      <c r="AE89" s="2083"/>
      <c r="AF89" s="3324"/>
      <c r="AG89" s="3325"/>
      <c r="AH89" s="3325"/>
      <c r="AI89" s="3324"/>
      <c r="AJ89" s="3325"/>
      <c r="AK89" s="3325"/>
      <c r="AL89" s="3424"/>
      <c r="AM89" s="2738"/>
      <c r="AN89" s="2738"/>
      <c r="AO89" s="2738"/>
      <c r="AP89" s="2738"/>
      <c r="AQ89" s="2738"/>
      <c r="AR89" s="2738"/>
      <c r="AS89" s="2738"/>
      <c r="AT89" s="2738"/>
      <c r="AU89" s="2738"/>
      <c r="AV89" s="2738"/>
      <c r="AW89" s="2738"/>
      <c r="AX89" s="2738"/>
      <c r="AY89" s="2738"/>
      <c r="AZ89" s="2738"/>
      <c r="BA89" s="2738"/>
      <c r="BB89" s="2738"/>
      <c r="BC89" s="2738"/>
      <c r="BD89" s="2738"/>
      <c r="BE89" s="2738"/>
      <c r="BF89" s="2738"/>
    </row>
    <row customHeight="1" ht="24">
      <c r="A90" s="2080" t="s">
        <v>905</v>
      </c>
      <c r="B90" s="2080"/>
      <c r="C90" s="2080"/>
      <c r="D90" s="2074"/>
      <c r="E90" s="2084"/>
      <c r="F90" s="3353"/>
      <c r="G90" s="3333"/>
      <c r="H90" s="3333"/>
      <c r="I90" s="3334"/>
      <c r="J90" s="13092"/>
      <c r="K90" s="3335"/>
      <c r="L90" s="3325"/>
      <c r="M90" s="2934"/>
      <c r="N90" s="3326"/>
      <c r="O90" s="3327"/>
      <c r="P90" s="3330"/>
      <c r="Q90" s="3331"/>
      <c r="R90" s="3331"/>
      <c r="S90" s="3332"/>
      <c r="T90" s="3331"/>
      <c r="U90" s="3331"/>
      <c r="V90" s="3331"/>
      <c r="W90" s="3331"/>
      <c r="X90" s="3331"/>
      <c r="Y90" s="3331"/>
      <c r="Z90" s="2089"/>
      <c r="AA90" s="2090"/>
      <c r="AB90" s="2155" t="s">
        <v>942</v>
      </c>
      <c r="AC90" s="2094"/>
      <c r="AD90" s="2094"/>
      <c r="AE90" s="2096"/>
      <c r="AF90" s="3324"/>
      <c r="AG90" s="3325"/>
      <c r="AH90" s="3325"/>
      <c r="AI90" s="3324"/>
      <c r="AJ90" s="3325"/>
      <c r="AK90" s="3325"/>
      <c r="AL90" s="3424"/>
      <c r="AM90" s="2738"/>
      <c r="AN90" s="2738"/>
      <c r="AO90" s="2738"/>
      <c r="AP90" s="2738"/>
      <c r="AQ90" s="2738"/>
      <c r="AR90" s="2738"/>
      <c r="AS90" s="2738"/>
      <c r="AT90" s="2738"/>
      <c r="AU90" s="2738"/>
      <c r="AV90" s="2738"/>
      <c r="AW90" s="2738"/>
      <c r="AX90" s="2738"/>
      <c r="AY90" s="2738"/>
      <c r="AZ90" s="2738"/>
      <c r="BA90" s="2738"/>
      <c r="BB90" s="2738"/>
      <c r="BC90" s="2738"/>
      <c r="BD90" s="2738"/>
      <c r="BE90" s="2738"/>
      <c r="BF90" s="2738"/>
    </row>
    <row customHeight="1" ht="11.25">
      <c r="A91" s="2080" t="s">
        <v>905</v>
      </c>
      <c r="B91" s="2080"/>
      <c r="C91" s="2080"/>
      <c r="D91" s="2074"/>
      <c r="E91" s="2084"/>
      <c r="F91" s="3353"/>
      <c r="G91" s="3333"/>
      <c r="H91" s="3333"/>
      <c r="I91" s="3334"/>
      <c r="J91" s="13092"/>
      <c r="K91" s="3335"/>
      <c r="L91" s="3325"/>
      <c r="M91" s="2934"/>
      <c r="N91" s="2090"/>
      <c r="O91" s="2090"/>
      <c r="P91" s="2082" t="s">
        <v>943</v>
      </c>
      <c r="Q91" s="2090"/>
      <c r="R91" s="2090"/>
      <c r="S91" s="2090"/>
      <c r="T91" s="2090"/>
      <c r="U91" s="2090"/>
      <c r="V91" s="2090"/>
      <c r="W91" s="2090"/>
      <c r="X91" s="2090"/>
      <c r="Y91" s="2090"/>
      <c r="Z91" s="2090"/>
      <c r="AA91" s="2090"/>
      <c r="AB91" s="2090"/>
      <c r="AC91" s="2090"/>
      <c r="AD91" s="2090"/>
      <c r="AE91" s="2097"/>
      <c r="AF91" s="3324"/>
      <c r="AG91" s="3325"/>
      <c r="AH91" s="3325"/>
      <c r="AI91" s="3324"/>
      <c r="AJ91" s="3325"/>
      <c r="AK91" s="3325"/>
      <c r="AL91" s="3424"/>
      <c r="AM91" s="2738"/>
      <c r="AN91" s="2738"/>
      <c r="AO91" s="2738"/>
      <c r="AP91" s="2738"/>
      <c r="AQ91" s="2738"/>
      <c r="AR91" s="2738"/>
      <c r="AS91" s="2738"/>
      <c r="AT91" s="2738"/>
      <c r="AU91" s="2738"/>
      <c r="AV91" s="2738"/>
      <c r="AW91" s="2738"/>
      <c r="AX91" s="2738"/>
      <c r="AY91" s="2738"/>
      <c r="AZ91" s="2738"/>
      <c r="BA91" s="2738"/>
      <c r="BB91" s="2738"/>
      <c r="BC91" s="2738"/>
      <c r="BD91" s="2738"/>
      <c r="BE91" s="2738"/>
      <c r="BF91" s="2738"/>
    </row>
    <row customHeight="1" ht="11.25">
      <c r="A92" s="2080" t="s">
        <v>905</v>
      </c>
      <c r="B92" s="2080" t="s">
        <v>944</v>
      </c>
      <c r="C92" s="2080"/>
      <c r="D92" s="2074"/>
      <c r="E92" s="2084"/>
      <c r="F92" s="2744"/>
      <c r="G92" s="13093" t="s">
        <v>844</v>
      </c>
      <c r="H92" s="3333" t="s">
        <v>103</v>
      </c>
      <c r="I92" s="3334" t="s">
        <v>945</v>
      </c>
      <c r="J92" s="3303" t="s">
        <v>946</v>
      </c>
      <c r="K92" s="3335" t="s">
        <v>947</v>
      </c>
      <c r="L92" s="2933" t="s">
        <v>52</v>
      </c>
      <c r="M92" s="2934"/>
      <c r="N92" s="3422"/>
      <c r="O92" s="2091" t="s">
        <v>367</v>
      </c>
      <c r="P92" s="2092"/>
      <c r="Q92" s="2092"/>
      <c r="R92" s="2092"/>
      <c r="S92" s="2092"/>
      <c r="T92" s="2092"/>
      <c r="U92" s="2092"/>
      <c r="V92" s="2092"/>
      <c r="W92" s="2092"/>
      <c r="X92" s="2092"/>
      <c r="Y92" s="2092"/>
      <c r="Z92" s="2092"/>
      <c r="AA92" s="2092"/>
      <c r="AB92" s="2092"/>
      <c r="AC92" s="2092"/>
      <c r="AD92" s="2092"/>
      <c r="AE92" s="2092"/>
      <c r="AF92" s="3324">
        <v>8</v>
      </c>
      <c r="AG92" s="3325" t="s">
        <v>939</v>
      </c>
      <c r="AH92" s="3325" t="s">
        <v>948</v>
      </c>
      <c r="AI92" s="3324"/>
      <c r="AJ92" s="3325"/>
      <c r="AK92" s="3325"/>
      <c r="AL92" s="3424"/>
      <c r="AM92" s="2738"/>
      <c r="AN92" s="2738"/>
      <c r="AO92" s="2738"/>
      <c r="AP92" s="2738"/>
      <c r="AQ92" s="2738"/>
      <c r="AR92" s="2738"/>
      <c r="AS92" s="2738"/>
      <c r="AT92" s="2738"/>
      <c r="AU92" s="2738"/>
      <c r="AV92" s="2738"/>
      <c r="AW92" s="2738"/>
      <c r="AX92" s="2738"/>
      <c r="AY92" s="2738"/>
      <c r="AZ92" s="2738"/>
      <c r="BA92" s="2738"/>
      <c r="BB92" s="2738"/>
      <c r="BC92" s="2738"/>
      <c r="BD92" s="2738"/>
      <c r="BE92" s="2738"/>
      <c r="BF92" s="2738"/>
    </row>
    <row customHeight="1" ht="11.25">
      <c r="A93" s="2080" t="s">
        <v>905</v>
      </c>
      <c r="B93" s="2080"/>
      <c r="C93" s="2080"/>
      <c r="D93" s="2074"/>
      <c r="E93" s="2084"/>
      <c r="F93" s="2744"/>
      <c r="G93" s="2745"/>
      <c r="H93" s="3333" t="s">
        <v>102</v>
      </c>
      <c r="I93" s="3334"/>
      <c r="J93" s="3303"/>
      <c r="K93" s="3335"/>
      <c r="L93" s="2933"/>
      <c r="M93" s="2934"/>
      <c r="N93" s="3398"/>
      <c r="O93" s="3421">
        <v>1</v>
      </c>
      <c r="P93" s="3328" t="s">
        <v>52</v>
      </c>
      <c r="Q93" s="3331" t="s">
        <v>18</v>
      </c>
      <c r="R93" s="3331" t="s">
        <v>18</v>
      </c>
      <c r="S93" s="3331" t="s">
        <v>18</v>
      </c>
      <c r="T93" s="3331" t="s">
        <v>18</v>
      </c>
      <c r="U93" s="3331" t="s">
        <v>18</v>
      </c>
      <c r="V93" s="3331" t="s">
        <v>18</v>
      </c>
      <c r="W93" s="3331" t="s">
        <v>18</v>
      </c>
      <c r="X93" s="3331" t="s">
        <v>18</v>
      </c>
      <c r="Y93" s="3331"/>
      <c r="Z93" s="2089"/>
      <c r="AA93" s="2090"/>
      <c r="AB93" s="2090"/>
      <c r="AC93" s="2094"/>
      <c r="AD93" s="2094"/>
      <c r="AE93" s="2095"/>
      <c r="AF93" s="3324"/>
      <c r="AG93" s="3325"/>
      <c r="AH93" s="3325"/>
      <c r="AI93" s="3324"/>
      <c r="AJ93" s="3325"/>
      <c r="AK93" s="3325"/>
      <c r="AL93" s="3424"/>
      <c r="AM93" s="2738"/>
      <c r="AN93" s="2738"/>
      <c r="AO93" s="2738"/>
      <c r="AP93" s="2738"/>
      <c r="AQ93" s="2738"/>
      <c r="AR93" s="2738"/>
      <c r="AS93" s="2738"/>
      <c r="AT93" s="2738"/>
      <c r="AU93" s="2738"/>
      <c r="AV93" s="2738"/>
      <c r="AW93" s="2738"/>
      <c r="AX93" s="2738"/>
      <c r="AY93" s="2738"/>
      <c r="AZ93" s="2738"/>
      <c r="BA93" s="2738"/>
      <c r="BB93" s="2738"/>
      <c r="BC93" s="2738"/>
      <c r="BD93" s="2738"/>
      <c r="BE93" s="2738"/>
      <c r="BF93" s="2738"/>
    </row>
    <row customHeight="1" ht="11.25">
      <c r="A94" s="2080" t="s">
        <v>905</v>
      </c>
      <c r="B94" s="2080"/>
      <c r="C94" s="2080"/>
      <c r="D94" s="2074"/>
      <c r="E94" s="2084"/>
      <c r="F94" s="2744"/>
      <c r="G94" s="2745"/>
      <c r="H94" s="3333" t="s">
        <v>102</v>
      </c>
      <c r="I94" s="3334"/>
      <c r="J94" s="3303"/>
      <c r="K94" s="3335"/>
      <c r="L94" s="2933"/>
      <c r="M94" s="2934"/>
      <c r="N94" s="3398"/>
      <c r="O94" s="3421"/>
      <c r="P94" s="3329"/>
      <c r="Q94" s="3331"/>
      <c r="R94" s="3331"/>
      <c r="S94" s="3332"/>
      <c r="T94" s="3331"/>
      <c r="U94" s="3331"/>
      <c r="V94" s="3331"/>
      <c r="W94" s="3331"/>
      <c r="X94" s="3331"/>
      <c r="Y94" s="3331"/>
      <c r="Z94" s="2743"/>
      <c r="AA94" s="2709">
        <v>1</v>
      </c>
      <c r="AB94" s="2093" t="s">
        <v>949</v>
      </c>
      <c r="AC94" s="2083">
        <v>265157.49</v>
      </c>
      <c r="AD94" s="2093" t="str">
        <f>AB94</f>
        <v>      Прочие амортизационные отчисления</v>
      </c>
      <c r="AE94" s="2083"/>
      <c r="AF94" s="3324"/>
      <c r="AG94" s="3325"/>
      <c r="AH94" s="3325"/>
      <c r="AI94" s="3324"/>
      <c r="AJ94" s="3325"/>
      <c r="AK94" s="3325"/>
      <c r="AL94" s="3424"/>
      <c r="AM94" s="2738"/>
      <c r="AN94" s="2738"/>
      <c r="AO94" s="2738"/>
      <c r="AP94" s="2738"/>
      <c r="AQ94" s="2738"/>
      <c r="AR94" s="2738"/>
      <c r="AS94" s="2738"/>
      <c r="AT94" s="2738"/>
      <c r="AU94" s="2738"/>
      <c r="AV94" s="2738"/>
      <c r="AW94" s="2738"/>
      <c r="AX94" s="2738"/>
      <c r="AY94" s="2738"/>
      <c r="AZ94" s="2738"/>
      <c r="BA94" s="2738"/>
      <c r="BB94" s="2738"/>
      <c r="BC94" s="2738"/>
      <c r="BD94" s="2738"/>
      <c r="BE94" s="2738"/>
      <c r="BF94" s="2738"/>
    </row>
    <row customHeight="1" ht="11.25">
      <c r="A95" s="2080" t="s">
        <v>905</v>
      </c>
      <c r="B95" s="2080"/>
      <c r="C95" s="2080"/>
      <c r="D95" s="2074"/>
      <c r="E95" s="2084"/>
      <c r="F95" s="2745"/>
      <c r="G95" s="2745"/>
      <c r="H95" s="2745"/>
      <c r="I95" s="2745"/>
      <c r="J95" s="2745"/>
      <c r="K95" s="2745"/>
      <c r="L95" s="2745"/>
      <c r="M95" s="2745"/>
      <c r="N95" s="2745"/>
      <c r="O95" s="2745"/>
      <c r="P95" s="2745"/>
      <c r="Q95" s="2745"/>
      <c r="R95" s="2745"/>
      <c r="S95" s="2745"/>
      <c r="T95" s="2745"/>
      <c r="U95" s="2745"/>
      <c r="V95" s="2745"/>
      <c r="W95" s="2745"/>
      <c r="X95" s="2745"/>
      <c r="Y95" s="2745"/>
      <c r="Z95" s="13093" t="s">
        <v>844</v>
      </c>
      <c r="AA95" s="2729" t="s">
        <v>103</v>
      </c>
      <c r="AB95" s="2093" t="s">
        <v>941</v>
      </c>
      <c r="AC95" s="2083">
        <v>76130.58</v>
      </c>
      <c r="AD95" s="2093" t="str">
        <f>AB95</f>
        <v>  Прочие</v>
      </c>
      <c r="AE95" s="2083"/>
      <c r="AF95" s="2746"/>
      <c r="AG95" s="2674"/>
      <c r="AH95" s="2674"/>
      <c r="AI95" s="2746"/>
      <c r="AJ95" s="2674"/>
      <c r="AK95" s="3423"/>
      <c r="AL95" s="3424"/>
      <c r="AM95" s="2738"/>
      <c r="AN95" s="2738"/>
      <c r="AO95" s="2738"/>
      <c r="AP95" s="2738"/>
      <c r="AQ95" s="2738"/>
      <c r="AR95" s="2738"/>
      <c r="AS95" s="2738"/>
      <c r="AT95" s="2738"/>
      <c r="AU95" s="2738"/>
      <c r="AV95" s="2738"/>
      <c r="AW95" s="2738"/>
      <c r="AX95" s="2738"/>
      <c r="AY95" s="2738"/>
      <c r="AZ95" s="2738"/>
      <c r="BA95" s="2738"/>
      <c r="BB95" s="2738"/>
      <c r="BC95" s="2738"/>
      <c r="BD95" s="2738"/>
      <c r="BE95" s="2738"/>
      <c r="BF95" s="2738"/>
    </row>
    <row customHeight="1" ht="11.25">
      <c r="A96" s="2080" t="s">
        <v>905</v>
      </c>
      <c r="B96" s="2080"/>
      <c r="C96" s="2080"/>
      <c r="D96" s="2074"/>
      <c r="E96" s="2084"/>
      <c r="F96" s="2744"/>
      <c r="G96" s="2745"/>
      <c r="H96" s="3333" t="s">
        <v>102</v>
      </c>
      <c r="I96" s="3334"/>
      <c r="J96" s="3303"/>
      <c r="K96" s="3335"/>
      <c r="L96" s="2933"/>
      <c r="M96" s="2934"/>
      <c r="N96" s="3398"/>
      <c r="O96" s="3421"/>
      <c r="P96" s="3330"/>
      <c r="Q96" s="3331"/>
      <c r="R96" s="3331"/>
      <c r="S96" s="3332"/>
      <c r="T96" s="3331"/>
      <c r="U96" s="3331"/>
      <c r="V96" s="3331"/>
      <c r="W96" s="3331"/>
      <c r="X96" s="3331"/>
      <c r="Y96" s="3331"/>
      <c r="Z96" s="2089"/>
      <c r="AA96" s="2090"/>
      <c r="AB96" s="2155" t="s">
        <v>942</v>
      </c>
      <c r="AC96" s="2094"/>
      <c r="AD96" s="2094"/>
      <c r="AE96" s="2096"/>
      <c r="AF96" s="3324"/>
      <c r="AG96" s="3325"/>
      <c r="AH96" s="3325"/>
      <c r="AI96" s="3324"/>
      <c r="AJ96" s="3325"/>
      <c r="AK96" s="3325"/>
      <c r="AL96" s="3424"/>
      <c r="AM96" s="2738"/>
      <c r="AN96" s="2738"/>
      <c r="AO96" s="2738"/>
      <c r="AP96" s="2738"/>
      <c r="AQ96" s="2738"/>
      <c r="AR96" s="2738"/>
      <c r="AS96" s="2738"/>
      <c r="AT96" s="2738"/>
      <c r="AU96" s="2738"/>
      <c r="AV96" s="2738"/>
      <c r="AW96" s="2738"/>
      <c r="AX96" s="2738"/>
      <c r="AY96" s="2738"/>
      <c r="AZ96" s="2738"/>
      <c r="BA96" s="2738"/>
      <c r="BB96" s="2738"/>
      <c r="BC96" s="2738"/>
      <c r="BD96" s="2738"/>
      <c r="BE96" s="2738"/>
      <c r="BF96" s="2738"/>
    </row>
    <row customHeight="1" ht="11.25">
      <c r="A97" s="2080" t="s">
        <v>905</v>
      </c>
      <c r="B97" s="2080"/>
      <c r="C97" s="2080"/>
      <c r="D97" s="2074"/>
      <c r="E97" s="2084"/>
      <c r="F97" s="2744"/>
      <c r="G97" s="2745"/>
      <c r="H97" s="3333" t="s">
        <v>102</v>
      </c>
      <c r="I97" s="3334"/>
      <c r="J97" s="3303"/>
      <c r="K97" s="3335"/>
      <c r="L97" s="2933"/>
      <c r="M97" s="2934"/>
      <c r="N97" s="2089"/>
      <c r="O97" s="2090"/>
      <c r="P97" s="2082" t="s">
        <v>943</v>
      </c>
      <c r="Q97" s="2090"/>
      <c r="R97" s="2090"/>
      <c r="S97" s="2090"/>
      <c r="T97" s="2090"/>
      <c r="U97" s="2090"/>
      <c r="V97" s="2090"/>
      <c r="W97" s="2090"/>
      <c r="X97" s="2090"/>
      <c r="Y97" s="2090"/>
      <c r="Z97" s="2090"/>
      <c r="AA97" s="2090"/>
      <c r="AB97" s="2090"/>
      <c r="AC97" s="2090"/>
      <c r="AD97" s="2090"/>
      <c r="AE97" s="2097"/>
      <c r="AF97" s="3324"/>
      <c r="AG97" s="3325"/>
      <c r="AH97" s="3325"/>
      <c r="AI97" s="3324"/>
      <c r="AJ97" s="3325"/>
      <c r="AK97" s="3325"/>
      <c r="AL97" s="3424"/>
      <c r="AM97" s="2738"/>
      <c r="AN97" s="2738"/>
      <c r="AO97" s="2738"/>
      <c r="AP97" s="2738"/>
      <c r="AQ97" s="2738"/>
      <c r="AR97" s="2738"/>
      <c r="AS97" s="2738"/>
      <c r="AT97" s="2738"/>
      <c r="AU97" s="2738"/>
      <c r="AV97" s="2738"/>
      <c r="AW97" s="2738"/>
      <c r="AX97" s="2738"/>
      <c r="AY97" s="2738"/>
      <c r="AZ97" s="2738"/>
      <c r="BA97" s="2738"/>
      <c r="BB97" s="2738"/>
      <c r="BC97" s="2738"/>
      <c r="BD97" s="2738"/>
      <c r="BE97" s="2738"/>
      <c r="BF97" s="2738"/>
    </row>
    <row customHeight="1" ht="11.25">
      <c r="A98" s="2080" t="s">
        <v>905</v>
      </c>
      <c r="B98" s="2080" t="s">
        <v>944</v>
      </c>
      <c r="C98" s="2080"/>
      <c r="D98" s="2074"/>
      <c r="E98" s="2084"/>
      <c r="F98" s="2744"/>
      <c r="G98" s="13093" t="s">
        <v>844</v>
      </c>
      <c r="H98" s="3333" t="s">
        <v>86</v>
      </c>
      <c r="I98" s="3334" t="s">
        <v>945</v>
      </c>
      <c r="J98" s="3303" t="s">
        <v>946</v>
      </c>
      <c r="K98" s="3335" t="s">
        <v>950</v>
      </c>
      <c r="L98" s="2933" t="s">
        <v>52</v>
      </c>
      <c r="M98" s="2934"/>
      <c r="N98" s="3422"/>
      <c r="O98" s="2091" t="s">
        <v>367</v>
      </c>
      <c r="P98" s="2092"/>
      <c r="Q98" s="2092"/>
      <c r="R98" s="2092"/>
      <c r="S98" s="2092"/>
      <c r="T98" s="2092"/>
      <c r="U98" s="2092"/>
      <c r="V98" s="2092"/>
      <c r="W98" s="2092"/>
      <c r="X98" s="2092"/>
      <c r="Y98" s="2092"/>
      <c r="Z98" s="2092"/>
      <c r="AA98" s="2092"/>
      <c r="AB98" s="2092"/>
      <c r="AC98" s="2092"/>
      <c r="AD98" s="2092"/>
      <c r="AE98" s="2092"/>
      <c r="AF98" s="3324">
        <v>12</v>
      </c>
      <c r="AG98" s="3325" t="s">
        <v>939</v>
      </c>
      <c r="AH98" s="3325" t="s">
        <v>940</v>
      </c>
      <c r="AI98" s="3324"/>
      <c r="AJ98" s="3325"/>
      <c r="AK98" s="3325"/>
      <c r="AL98" s="3424"/>
      <c r="AM98" s="2738"/>
      <c r="AN98" s="2738"/>
      <c r="AO98" s="2738"/>
      <c r="AP98" s="2738"/>
      <c r="AQ98" s="2738"/>
      <c r="AR98" s="2738"/>
      <c r="AS98" s="2738"/>
      <c r="AT98" s="2738"/>
      <c r="AU98" s="2738"/>
      <c r="AV98" s="2738"/>
      <c r="AW98" s="2738"/>
      <c r="AX98" s="2738"/>
      <c r="AY98" s="2738"/>
      <c r="AZ98" s="2738"/>
      <c r="BA98" s="2738"/>
      <c r="BB98" s="2738"/>
      <c r="BC98" s="2738"/>
      <c r="BD98" s="2738"/>
      <c r="BE98" s="2738"/>
      <c r="BF98" s="2738"/>
    </row>
    <row customHeight="1" ht="11.25">
      <c r="A99" s="2080" t="s">
        <v>905</v>
      </c>
      <c r="B99" s="2080"/>
      <c r="C99" s="2080"/>
      <c r="D99" s="2074"/>
      <c r="E99" s="2084"/>
      <c r="F99" s="2744"/>
      <c r="G99" s="2745"/>
      <c r="H99" s="3333" t="s">
        <v>103</v>
      </c>
      <c r="I99" s="3334"/>
      <c r="J99" s="3303"/>
      <c r="K99" s="3335"/>
      <c r="L99" s="2933"/>
      <c r="M99" s="2934"/>
      <c r="N99" s="3398"/>
      <c r="O99" s="3421">
        <v>1</v>
      </c>
      <c r="P99" s="3328" t="s">
        <v>52</v>
      </c>
      <c r="Q99" s="3331" t="s">
        <v>18</v>
      </c>
      <c r="R99" s="3331" t="s">
        <v>18</v>
      </c>
      <c r="S99" s="3331" t="s">
        <v>18</v>
      </c>
      <c r="T99" s="3331" t="s">
        <v>18</v>
      </c>
      <c r="U99" s="3331" t="s">
        <v>18</v>
      </c>
      <c r="V99" s="3331" t="s">
        <v>18</v>
      </c>
      <c r="W99" s="3331" t="s">
        <v>18</v>
      </c>
      <c r="X99" s="3331" t="s">
        <v>18</v>
      </c>
      <c r="Y99" s="3331"/>
      <c r="Z99" s="2089"/>
      <c r="AA99" s="2090"/>
      <c r="AB99" s="2090"/>
      <c r="AC99" s="2094"/>
      <c r="AD99" s="2094"/>
      <c r="AE99" s="2095"/>
      <c r="AF99" s="3324"/>
      <c r="AG99" s="3325"/>
      <c r="AH99" s="3325"/>
      <c r="AI99" s="3324"/>
      <c r="AJ99" s="3325"/>
      <c r="AK99" s="3325"/>
      <c r="AL99" s="3424"/>
      <c r="AM99" s="2738"/>
      <c r="AN99" s="2738"/>
      <c r="AO99" s="2738"/>
      <c r="AP99" s="2738"/>
      <c r="AQ99" s="2738"/>
      <c r="AR99" s="2738"/>
      <c r="AS99" s="2738"/>
      <c r="AT99" s="2738"/>
      <c r="AU99" s="2738"/>
      <c r="AV99" s="2738"/>
      <c r="AW99" s="2738"/>
      <c r="AX99" s="2738"/>
      <c r="AY99" s="2738"/>
      <c r="AZ99" s="2738"/>
      <c r="BA99" s="2738"/>
      <c r="BB99" s="2738"/>
      <c r="BC99" s="2738"/>
      <c r="BD99" s="2738"/>
      <c r="BE99" s="2738"/>
      <c r="BF99" s="2738"/>
    </row>
    <row customHeight="1" ht="11.25">
      <c r="A100" s="2080" t="s">
        <v>905</v>
      </c>
      <c r="B100" s="2080"/>
      <c r="C100" s="2080"/>
      <c r="D100" s="2074"/>
      <c r="E100" s="2084"/>
      <c r="F100" s="2744"/>
      <c r="G100" s="2745"/>
      <c r="H100" s="3333" t="s">
        <v>103</v>
      </c>
      <c r="I100" s="3334"/>
      <c r="J100" s="3303"/>
      <c r="K100" s="3335"/>
      <c r="L100" s="2933"/>
      <c r="M100" s="2934"/>
      <c r="N100" s="3398"/>
      <c r="O100" s="3421"/>
      <c r="P100" s="3329"/>
      <c r="Q100" s="3331"/>
      <c r="R100" s="3331"/>
      <c r="S100" s="3332"/>
      <c r="T100" s="3331"/>
      <c r="U100" s="3331"/>
      <c r="V100" s="3331"/>
      <c r="W100" s="3331"/>
      <c r="X100" s="3331"/>
      <c r="Y100" s="3331"/>
      <c r="Z100" s="2743"/>
      <c r="AA100" s="2709">
        <v>1</v>
      </c>
      <c r="AB100" s="2093" t="s">
        <v>949</v>
      </c>
      <c r="AC100" s="2083">
        <v>7258.86</v>
      </c>
      <c r="AD100" s="2093" t="str">
        <f>AB100</f>
        <v>      Прочие амортизационные отчисления</v>
      </c>
      <c r="AE100" s="2083"/>
      <c r="AF100" s="3324"/>
      <c r="AG100" s="3325"/>
      <c r="AH100" s="3325"/>
      <c r="AI100" s="3324"/>
      <c r="AJ100" s="3325"/>
      <c r="AK100" s="3325"/>
      <c r="AL100" s="3424"/>
      <c r="AM100" s="2738"/>
      <c r="AN100" s="2738"/>
      <c r="AO100" s="2738"/>
      <c r="AP100" s="2738"/>
      <c r="AQ100" s="2738"/>
      <c r="AR100" s="2738"/>
      <c r="AS100" s="2738"/>
      <c r="AT100" s="2738"/>
      <c r="AU100" s="2738"/>
      <c r="AV100" s="2738"/>
      <c r="AW100" s="2738"/>
      <c r="AX100" s="2738"/>
      <c r="AY100" s="2738"/>
      <c r="AZ100" s="2738"/>
      <c r="BA100" s="2738"/>
      <c r="BB100" s="2738"/>
      <c r="BC100" s="2738"/>
      <c r="BD100" s="2738"/>
      <c r="BE100" s="2738"/>
      <c r="BF100" s="2738"/>
    </row>
    <row customHeight="1" ht="11.25">
      <c r="A101" s="2080" t="s">
        <v>905</v>
      </c>
      <c r="B101" s="2080"/>
      <c r="C101" s="2080"/>
      <c r="D101" s="2074"/>
      <c r="E101" s="2084"/>
      <c r="F101" s="2745"/>
      <c r="G101" s="2745"/>
      <c r="H101" s="2745"/>
      <c r="I101" s="2745"/>
      <c r="J101" s="2745"/>
      <c r="K101" s="2745"/>
      <c r="L101" s="2745"/>
      <c r="M101" s="2745"/>
      <c r="N101" s="2745"/>
      <c r="O101" s="2745"/>
      <c r="P101" s="2745"/>
      <c r="Q101" s="2745"/>
      <c r="R101" s="2745"/>
      <c r="S101" s="2745"/>
      <c r="T101" s="2745"/>
      <c r="U101" s="2745"/>
      <c r="V101" s="2745"/>
      <c r="W101" s="2745"/>
      <c r="X101" s="2745"/>
      <c r="Y101" s="2745"/>
      <c r="Z101" s="13093" t="s">
        <v>844</v>
      </c>
      <c r="AA101" s="2729" t="s">
        <v>103</v>
      </c>
      <c r="AB101" s="2093" t="s">
        <v>941</v>
      </c>
      <c r="AC101" s="2083">
        <v>7741.14</v>
      </c>
      <c r="AD101" s="2093" t="str">
        <f>AB101</f>
        <v>  Прочие</v>
      </c>
      <c r="AE101" s="2083"/>
      <c r="AF101" s="2746"/>
      <c r="AG101" s="2674"/>
      <c r="AH101" s="2674"/>
      <c r="AI101" s="2746"/>
      <c r="AJ101" s="2674"/>
      <c r="AK101" s="3423"/>
      <c r="AL101" s="3424"/>
      <c r="AM101" s="2738"/>
      <c r="AN101" s="2738"/>
      <c r="AO101" s="2738"/>
      <c r="AP101" s="2738"/>
      <c r="AQ101" s="2738"/>
      <c r="AR101" s="2738"/>
      <c r="AS101" s="2738"/>
      <c r="AT101" s="2738"/>
      <c r="AU101" s="2738"/>
      <c r="AV101" s="2738"/>
      <c r="AW101" s="2738"/>
      <c r="AX101" s="2738"/>
      <c r="AY101" s="2738"/>
      <c r="AZ101" s="2738"/>
      <c r="BA101" s="2738"/>
      <c r="BB101" s="2738"/>
      <c r="BC101" s="2738"/>
      <c r="BD101" s="2738"/>
      <c r="BE101" s="2738"/>
      <c r="BF101" s="2738"/>
    </row>
    <row customHeight="1" ht="11.25">
      <c r="A102" s="2080" t="s">
        <v>905</v>
      </c>
      <c r="B102" s="2080"/>
      <c r="C102" s="2080"/>
      <c r="D102" s="2074"/>
      <c r="E102" s="2084"/>
      <c r="F102" s="2744"/>
      <c r="G102" s="2745"/>
      <c r="H102" s="3333" t="s">
        <v>103</v>
      </c>
      <c r="I102" s="3334"/>
      <c r="J102" s="3303"/>
      <c r="K102" s="3335"/>
      <c r="L102" s="2933"/>
      <c r="M102" s="2934"/>
      <c r="N102" s="3398"/>
      <c r="O102" s="3421"/>
      <c r="P102" s="3330"/>
      <c r="Q102" s="3331"/>
      <c r="R102" s="3331"/>
      <c r="S102" s="3332"/>
      <c r="T102" s="3331"/>
      <c r="U102" s="3331"/>
      <c r="V102" s="3331"/>
      <c r="W102" s="3331"/>
      <c r="X102" s="3331"/>
      <c r="Y102" s="3331"/>
      <c r="Z102" s="2089"/>
      <c r="AA102" s="2090"/>
      <c r="AB102" s="2155" t="s">
        <v>942</v>
      </c>
      <c r="AC102" s="2094"/>
      <c r="AD102" s="2094"/>
      <c r="AE102" s="2096"/>
      <c r="AF102" s="3324"/>
      <c r="AG102" s="3325"/>
      <c r="AH102" s="3325"/>
      <c r="AI102" s="3324"/>
      <c r="AJ102" s="3325"/>
      <c r="AK102" s="3325"/>
      <c r="AL102" s="3424"/>
      <c r="AM102" s="2738"/>
      <c r="AN102" s="2738"/>
      <c r="AO102" s="2738"/>
      <c r="AP102" s="2738"/>
      <c r="AQ102" s="2738"/>
      <c r="AR102" s="2738"/>
      <c r="AS102" s="2738"/>
      <c r="AT102" s="2738"/>
      <c r="AU102" s="2738"/>
      <c r="AV102" s="2738"/>
      <c r="AW102" s="2738"/>
      <c r="AX102" s="2738"/>
      <c r="AY102" s="2738"/>
      <c r="AZ102" s="2738"/>
      <c r="BA102" s="2738"/>
      <c r="BB102" s="2738"/>
      <c r="BC102" s="2738"/>
      <c r="BD102" s="2738"/>
      <c r="BE102" s="2738"/>
      <c r="BF102" s="2738"/>
    </row>
    <row customHeight="1" ht="11.25">
      <c r="A103" s="2080" t="s">
        <v>905</v>
      </c>
      <c r="B103" s="2080"/>
      <c r="C103" s="2080"/>
      <c r="D103" s="2074"/>
      <c r="E103" s="2084"/>
      <c r="F103" s="2744"/>
      <c r="G103" s="2745"/>
      <c r="H103" s="3333" t="s">
        <v>103</v>
      </c>
      <c r="I103" s="3334"/>
      <c r="J103" s="3303"/>
      <c r="K103" s="3335"/>
      <c r="L103" s="2933"/>
      <c r="M103" s="2934"/>
      <c r="N103" s="2089"/>
      <c r="O103" s="2090"/>
      <c r="P103" s="2082" t="s">
        <v>943</v>
      </c>
      <c r="Q103" s="2090"/>
      <c r="R103" s="2090"/>
      <c r="S103" s="2090"/>
      <c r="T103" s="2090"/>
      <c r="U103" s="2090"/>
      <c r="V103" s="2090"/>
      <c r="W103" s="2090"/>
      <c r="X103" s="2090"/>
      <c r="Y103" s="2090"/>
      <c r="Z103" s="2090"/>
      <c r="AA103" s="2090"/>
      <c r="AB103" s="2090"/>
      <c r="AC103" s="2090"/>
      <c r="AD103" s="2090"/>
      <c r="AE103" s="2097"/>
      <c r="AF103" s="3324"/>
      <c r="AG103" s="3325"/>
      <c r="AH103" s="3325"/>
      <c r="AI103" s="3324"/>
      <c r="AJ103" s="3325"/>
      <c r="AK103" s="3325"/>
      <c r="AL103" s="3424"/>
      <c r="AM103" s="2738"/>
      <c r="AN103" s="2738"/>
      <c r="AO103" s="2738"/>
      <c r="AP103" s="2738"/>
      <c r="AQ103" s="2738"/>
      <c r="AR103" s="2738"/>
      <c r="AS103" s="2738"/>
      <c r="AT103" s="2738"/>
      <c r="AU103" s="2738"/>
      <c r="AV103" s="2738"/>
      <c r="AW103" s="2738"/>
      <c r="AX103" s="2738"/>
      <c r="AY103" s="2738"/>
      <c r="AZ103" s="2738"/>
      <c r="BA103" s="2738"/>
      <c r="BB103" s="2738"/>
      <c r="BC103" s="2738"/>
      <c r="BD103" s="2738"/>
      <c r="BE103" s="2738"/>
      <c r="BF103" s="2738"/>
    </row>
    <row customHeight="1" ht="21">
      <c r="A104" s="2080" t="s">
        <v>905</v>
      </c>
      <c r="B104" s="2080" t="s">
        <v>944</v>
      </c>
      <c r="C104" s="2080"/>
      <c r="D104" s="2074"/>
      <c r="E104" s="2084"/>
      <c r="F104" s="2744"/>
      <c r="G104" s="13093" t="s">
        <v>844</v>
      </c>
      <c r="H104" s="3333" t="s">
        <v>87</v>
      </c>
      <c r="I104" s="3334" t="s">
        <v>945</v>
      </c>
      <c r="J104" s="3303" t="s">
        <v>946</v>
      </c>
      <c r="K104" s="3335" t="s">
        <v>966</v>
      </c>
      <c r="L104" s="2933" t="s">
        <v>52</v>
      </c>
      <c r="M104" s="2934"/>
      <c r="N104" s="3422"/>
      <c r="O104" s="2091" t="s">
        <v>367</v>
      </c>
      <c r="P104" s="2092"/>
      <c r="Q104" s="2092"/>
      <c r="R104" s="2092"/>
      <c r="S104" s="2092"/>
      <c r="T104" s="2092"/>
      <c r="U104" s="2092"/>
      <c r="V104" s="2092"/>
      <c r="W104" s="2092"/>
      <c r="X104" s="2092"/>
      <c r="Y104" s="2092"/>
      <c r="Z104" s="2092"/>
      <c r="AA104" s="2092"/>
      <c r="AB104" s="2092"/>
      <c r="AC104" s="2092"/>
      <c r="AD104" s="2092"/>
      <c r="AE104" s="2092"/>
      <c r="AF104" s="3324">
        <v>4</v>
      </c>
      <c r="AG104" s="3325" t="s">
        <v>939</v>
      </c>
      <c r="AH104" s="3325" t="s">
        <v>958</v>
      </c>
      <c r="AI104" s="3324"/>
      <c r="AJ104" s="3325"/>
      <c r="AK104" s="3325"/>
      <c r="AL104" s="3424"/>
      <c r="AM104" s="2738"/>
      <c r="AN104" s="2738"/>
      <c r="AO104" s="2738"/>
      <c r="AP104" s="2738"/>
      <c r="AQ104" s="2738"/>
      <c r="AR104" s="2738"/>
      <c r="AS104" s="2738"/>
      <c r="AT104" s="2738"/>
      <c r="AU104" s="2738"/>
      <c r="AV104" s="2738"/>
      <c r="AW104" s="2738"/>
      <c r="AX104" s="2738"/>
      <c r="AY104" s="2738"/>
      <c r="AZ104" s="2738"/>
      <c r="BA104" s="2738"/>
      <c r="BB104" s="2738"/>
      <c r="BC104" s="2738"/>
      <c r="BD104" s="2738"/>
      <c r="BE104" s="2738"/>
      <c r="BF104" s="2738"/>
    </row>
    <row customHeight="1" ht="20.25">
      <c r="A105" s="2080" t="s">
        <v>905</v>
      </c>
      <c r="B105" s="2080"/>
      <c r="C105" s="2080"/>
      <c r="D105" s="2074"/>
      <c r="E105" s="2084"/>
      <c r="F105" s="2744"/>
      <c r="G105" s="2745"/>
      <c r="H105" s="3333" t="s">
        <v>86</v>
      </c>
      <c r="I105" s="3334"/>
      <c r="J105" s="3303"/>
      <c r="K105" s="3335"/>
      <c r="L105" s="2933"/>
      <c r="M105" s="2934"/>
      <c r="N105" s="3398"/>
      <c r="O105" s="3421">
        <v>1</v>
      </c>
      <c r="P105" s="3328" t="s">
        <v>52</v>
      </c>
      <c r="Q105" s="3331" t="s">
        <v>18</v>
      </c>
      <c r="R105" s="3331" t="s">
        <v>18</v>
      </c>
      <c r="S105" s="3331" t="s">
        <v>18</v>
      </c>
      <c r="T105" s="3331" t="s">
        <v>18</v>
      </c>
      <c r="U105" s="3331" t="s">
        <v>18</v>
      </c>
      <c r="V105" s="3331" t="s">
        <v>18</v>
      </c>
      <c r="W105" s="3331" t="s">
        <v>18</v>
      </c>
      <c r="X105" s="3331" t="s">
        <v>18</v>
      </c>
      <c r="Y105" s="3331"/>
      <c r="Z105" s="2089"/>
      <c r="AA105" s="2090"/>
      <c r="AB105" s="2090"/>
      <c r="AC105" s="2094"/>
      <c r="AD105" s="2094"/>
      <c r="AE105" s="2095"/>
      <c r="AF105" s="3324"/>
      <c r="AG105" s="3325"/>
      <c r="AH105" s="3325"/>
      <c r="AI105" s="3324"/>
      <c r="AJ105" s="3325"/>
      <c r="AK105" s="3325"/>
      <c r="AL105" s="3424"/>
      <c r="AM105" s="2738"/>
      <c r="AN105" s="2738"/>
      <c r="AO105" s="2738"/>
      <c r="AP105" s="2738"/>
      <c r="AQ105" s="2738"/>
      <c r="AR105" s="2738"/>
      <c r="AS105" s="2738"/>
      <c r="AT105" s="2738"/>
      <c r="AU105" s="2738"/>
      <c r="AV105" s="2738"/>
      <c r="AW105" s="2738"/>
      <c r="AX105" s="2738"/>
      <c r="AY105" s="2738"/>
      <c r="AZ105" s="2738"/>
      <c r="BA105" s="2738"/>
      <c r="BB105" s="2738"/>
      <c r="BC105" s="2738"/>
      <c r="BD105" s="2738"/>
      <c r="BE105" s="2738"/>
      <c r="BF105" s="2738"/>
    </row>
    <row customHeight="1" ht="11.25">
      <c r="A106" s="2080" t="s">
        <v>905</v>
      </c>
      <c r="B106" s="2080"/>
      <c r="C106" s="2080"/>
      <c r="D106" s="2074"/>
      <c r="E106" s="2084"/>
      <c r="F106" s="2744"/>
      <c r="G106" s="2745"/>
      <c r="H106" s="3333" t="s">
        <v>86</v>
      </c>
      <c r="I106" s="3334"/>
      <c r="J106" s="3303"/>
      <c r="K106" s="3335"/>
      <c r="L106" s="2933"/>
      <c r="M106" s="2934"/>
      <c r="N106" s="3398"/>
      <c r="O106" s="3421"/>
      <c r="P106" s="3329"/>
      <c r="Q106" s="3331"/>
      <c r="R106" s="3331"/>
      <c r="S106" s="3332"/>
      <c r="T106" s="3331"/>
      <c r="U106" s="3331"/>
      <c r="V106" s="3331"/>
      <c r="W106" s="3331"/>
      <c r="X106" s="3331"/>
      <c r="Y106" s="3331"/>
      <c r="Z106" s="2743"/>
      <c r="AA106" s="2709">
        <v>1</v>
      </c>
      <c r="AB106" s="2093" t="s">
        <v>949</v>
      </c>
      <c r="AC106" s="2083">
        <v>9596.2</v>
      </c>
      <c r="AD106" s="2093" t="str">
        <f>AB106</f>
        <v>      Прочие амортизационные отчисления</v>
      </c>
      <c r="AE106" s="2083"/>
      <c r="AF106" s="3324"/>
      <c r="AG106" s="3325"/>
      <c r="AH106" s="3325"/>
      <c r="AI106" s="3324"/>
      <c r="AJ106" s="3325"/>
      <c r="AK106" s="3325"/>
      <c r="AL106" s="3424"/>
      <c r="AM106" s="2738"/>
      <c r="AN106" s="2738"/>
      <c r="AO106" s="2738"/>
      <c r="AP106" s="2738"/>
      <c r="AQ106" s="2738"/>
      <c r="AR106" s="2738"/>
      <c r="AS106" s="2738"/>
      <c r="AT106" s="2738"/>
      <c r="AU106" s="2738"/>
      <c r="AV106" s="2738"/>
      <c r="AW106" s="2738"/>
      <c r="AX106" s="2738"/>
      <c r="AY106" s="2738"/>
      <c r="AZ106" s="2738"/>
      <c r="BA106" s="2738"/>
      <c r="BB106" s="2738"/>
      <c r="BC106" s="2738"/>
      <c r="BD106" s="2738"/>
      <c r="BE106" s="2738"/>
      <c r="BF106" s="2738"/>
    </row>
    <row customHeight="1" ht="11.25">
      <c r="A107" s="2080" t="s">
        <v>905</v>
      </c>
      <c r="B107" s="2080"/>
      <c r="C107" s="2080"/>
      <c r="D107" s="2074"/>
      <c r="E107" s="2084"/>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13093" t="s">
        <v>844</v>
      </c>
      <c r="AA107" s="2729" t="s">
        <v>103</v>
      </c>
      <c r="AB107" s="2093" t="s">
        <v>941</v>
      </c>
      <c r="AC107" s="2083">
        <v>10233.77</v>
      </c>
      <c r="AD107" s="2093" t="str">
        <f>AB107</f>
        <v>  Прочие</v>
      </c>
      <c r="AE107" s="2083"/>
      <c r="AF107" s="2746"/>
      <c r="AG107" s="2674"/>
      <c r="AH107" s="2674"/>
      <c r="AI107" s="2746"/>
      <c r="AJ107" s="2674"/>
      <c r="AK107" s="3423"/>
      <c r="AL107" s="3424"/>
      <c r="AM107" s="2738"/>
      <c r="AN107" s="2738"/>
      <c r="AO107" s="2738"/>
      <c r="AP107" s="2738"/>
      <c r="AQ107" s="2738"/>
      <c r="AR107" s="2738"/>
      <c r="AS107" s="2738"/>
      <c r="AT107" s="2738"/>
      <c r="AU107" s="2738"/>
      <c r="AV107" s="2738"/>
      <c r="AW107" s="2738"/>
      <c r="AX107" s="2738"/>
      <c r="AY107" s="2738"/>
      <c r="AZ107" s="2738"/>
      <c r="BA107" s="2738"/>
      <c r="BB107" s="2738"/>
      <c r="BC107" s="2738"/>
      <c r="BD107" s="2738"/>
      <c r="BE107" s="2738"/>
      <c r="BF107" s="2738"/>
    </row>
    <row customHeight="1" ht="11.25">
      <c r="A108" s="2080" t="s">
        <v>905</v>
      </c>
      <c r="B108" s="2080"/>
      <c r="C108" s="2080"/>
      <c r="D108" s="2074"/>
      <c r="E108" s="2084"/>
      <c r="F108" s="2744"/>
      <c r="G108" s="2745"/>
      <c r="H108" s="3333" t="s">
        <v>86</v>
      </c>
      <c r="I108" s="3334"/>
      <c r="J108" s="3303"/>
      <c r="K108" s="3335"/>
      <c r="L108" s="2933"/>
      <c r="M108" s="2934"/>
      <c r="N108" s="3398"/>
      <c r="O108" s="3421"/>
      <c r="P108" s="3330"/>
      <c r="Q108" s="3331"/>
      <c r="R108" s="3331"/>
      <c r="S108" s="3332"/>
      <c r="T108" s="3331"/>
      <c r="U108" s="3331"/>
      <c r="V108" s="3331"/>
      <c r="W108" s="3331"/>
      <c r="X108" s="3331"/>
      <c r="Y108" s="3331"/>
      <c r="Z108" s="2089"/>
      <c r="AA108" s="2090"/>
      <c r="AB108" s="2155" t="s">
        <v>942</v>
      </c>
      <c r="AC108" s="2094"/>
      <c r="AD108" s="2094"/>
      <c r="AE108" s="2096"/>
      <c r="AF108" s="3324"/>
      <c r="AG108" s="3325"/>
      <c r="AH108" s="3325"/>
      <c r="AI108" s="3324"/>
      <c r="AJ108" s="3325"/>
      <c r="AK108" s="3325"/>
      <c r="AL108" s="3424"/>
      <c r="AM108" s="2738"/>
      <c r="AN108" s="2738"/>
      <c r="AO108" s="2738"/>
      <c r="AP108" s="2738"/>
      <c r="AQ108" s="2738"/>
      <c r="AR108" s="2738"/>
      <c r="AS108" s="2738"/>
      <c r="AT108" s="2738"/>
      <c r="AU108" s="2738"/>
      <c r="AV108" s="2738"/>
      <c r="AW108" s="2738"/>
      <c r="AX108" s="2738"/>
      <c r="AY108" s="2738"/>
      <c r="AZ108" s="2738"/>
      <c r="BA108" s="2738"/>
      <c r="BB108" s="2738"/>
      <c r="BC108" s="2738"/>
      <c r="BD108" s="2738"/>
      <c r="BE108" s="2738"/>
      <c r="BF108" s="2738"/>
    </row>
    <row customHeight="1" ht="11.25">
      <c r="A109" s="2080" t="s">
        <v>905</v>
      </c>
      <c r="B109" s="2080"/>
      <c r="C109" s="2080"/>
      <c r="D109" s="2074"/>
      <c r="E109" s="2084"/>
      <c r="F109" s="2744"/>
      <c r="G109" s="2745"/>
      <c r="H109" s="3333" t="s">
        <v>86</v>
      </c>
      <c r="I109" s="3334"/>
      <c r="J109" s="3303"/>
      <c r="K109" s="3335"/>
      <c r="L109" s="2933"/>
      <c r="M109" s="2934"/>
      <c r="N109" s="2089"/>
      <c r="O109" s="2090"/>
      <c r="P109" s="2082" t="s">
        <v>943</v>
      </c>
      <c r="Q109" s="2090"/>
      <c r="R109" s="2090"/>
      <c r="S109" s="2090"/>
      <c r="T109" s="2090"/>
      <c r="U109" s="2090"/>
      <c r="V109" s="2090"/>
      <c r="W109" s="2090"/>
      <c r="X109" s="2090"/>
      <c r="Y109" s="2090"/>
      <c r="Z109" s="2090"/>
      <c r="AA109" s="2090"/>
      <c r="AB109" s="2090"/>
      <c r="AC109" s="2090"/>
      <c r="AD109" s="2090"/>
      <c r="AE109" s="2097"/>
      <c r="AF109" s="3324"/>
      <c r="AG109" s="3325"/>
      <c r="AH109" s="3325"/>
      <c r="AI109" s="3324"/>
      <c r="AJ109" s="3325"/>
      <c r="AK109" s="3325"/>
      <c r="AL109" s="3424"/>
      <c r="AM109" s="2738"/>
      <c r="AN109" s="2738"/>
      <c r="AO109" s="2738"/>
      <c r="AP109" s="2738"/>
      <c r="AQ109" s="2738"/>
      <c r="AR109" s="2738"/>
      <c r="AS109" s="2738"/>
      <c r="AT109" s="2738"/>
      <c r="AU109" s="2738"/>
      <c r="AV109" s="2738"/>
      <c r="AW109" s="2738"/>
      <c r="AX109" s="2738"/>
      <c r="AY109" s="2738"/>
      <c r="AZ109" s="2738"/>
      <c r="BA109" s="2738"/>
      <c r="BB109" s="2738"/>
      <c r="BC109" s="2738"/>
      <c r="BD109" s="2738"/>
      <c r="BE109" s="2738"/>
      <c r="BF109" s="2738"/>
    </row>
    <row customHeight="1" ht="39.75">
      <c r="A110" s="2080" t="s">
        <v>905</v>
      </c>
      <c r="B110" s="2080" t="s">
        <v>944</v>
      </c>
      <c r="C110" s="2080"/>
      <c r="D110" s="2074"/>
      <c r="E110" s="2084"/>
      <c r="F110" s="2744"/>
      <c r="G110" s="13093" t="s">
        <v>844</v>
      </c>
      <c r="H110" s="3333" t="s">
        <v>104</v>
      </c>
      <c r="I110" s="3334" t="s">
        <v>945</v>
      </c>
      <c r="J110" s="3303" t="s">
        <v>946</v>
      </c>
      <c r="K110" s="3335" t="s">
        <v>967</v>
      </c>
      <c r="L110" s="2933" t="s">
        <v>52</v>
      </c>
      <c r="M110" s="2934"/>
      <c r="N110" s="3422"/>
      <c r="O110" s="2091" t="s">
        <v>367</v>
      </c>
      <c r="P110" s="2092"/>
      <c r="Q110" s="2092"/>
      <c r="R110" s="2092"/>
      <c r="S110" s="2092"/>
      <c r="T110" s="2092"/>
      <c r="U110" s="2092"/>
      <c r="V110" s="2092"/>
      <c r="W110" s="2092"/>
      <c r="X110" s="2092"/>
      <c r="Y110" s="2092"/>
      <c r="Z110" s="2092"/>
      <c r="AA110" s="2092"/>
      <c r="AB110" s="2092"/>
      <c r="AC110" s="2092"/>
      <c r="AD110" s="2092"/>
      <c r="AE110" s="2092"/>
      <c r="AF110" s="3324">
        <v>3</v>
      </c>
      <c r="AG110" s="3325" t="s">
        <v>939</v>
      </c>
      <c r="AH110" s="3325" t="s">
        <v>948</v>
      </c>
      <c r="AI110" s="3324"/>
      <c r="AJ110" s="3325"/>
      <c r="AK110" s="3325"/>
      <c r="AL110" s="3424"/>
      <c r="AM110" s="2738"/>
      <c r="AN110" s="2738"/>
      <c r="AO110" s="2738"/>
      <c r="AP110" s="2738"/>
      <c r="AQ110" s="2738"/>
      <c r="AR110" s="2738"/>
      <c r="AS110" s="2738"/>
      <c r="AT110" s="2738"/>
      <c r="AU110" s="2738"/>
      <c r="AV110" s="2738"/>
      <c r="AW110" s="2738"/>
      <c r="AX110" s="2738"/>
      <c r="AY110" s="2738"/>
      <c r="AZ110" s="2738"/>
      <c r="BA110" s="2738"/>
      <c r="BB110" s="2738"/>
      <c r="BC110" s="2738"/>
      <c r="BD110" s="2738"/>
      <c r="BE110" s="2738"/>
      <c r="BF110" s="2738"/>
    </row>
    <row customHeight="1" ht="31.5">
      <c r="A111" s="2080" t="s">
        <v>905</v>
      </c>
      <c r="B111" s="2080"/>
      <c r="C111" s="2080"/>
      <c r="D111" s="2074"/>
      <c r="E111" s="2084"/>
      <c r="F111" s="2744"/>
      <c r="G111" s="2745"/>
      <c r="H111" s="3333" t="s">
        <v>87</v>
      </c>
      <c r="I111" s="3334"/>
      <c r="J111" s="3303"/>
      <c r="K111" s="3335"/>
      <c r="L111" s="2933"/>
      <c r="M111" s="2934"/>
      <c r="N111" s="3398"/>
      <c r="O111" s="3421">
        <v>1</v>
      </c>
      <c r="P111" s="3328" t="s">
        <v>52</v>
      </c>
      <c r="Q111" s="3331" t="s">
        <v>18</v>
      </c>
      <c r="R111" s="3331" t="s">
        <v>18</v>
      </c>
      <c r="S111" s="3331" t="s">
        <v>18</v>
      </c>
      <c r="T111" s="3331" t="s">
        <v>18</v>
      </c>
      <c r="U111" s="3331" t="s">
        <v>18</v>
      </c>
      <c r="V111" s="3331" t="s">
        <v>18</v>
      </c>
      <c r="W111" s="3331" t="s">
        <v>18</v>
      </c>
      <c r="X111" s="3331" t="s">
        <v>18</v>
      </c>
      <c r="Y111" s="3331"/>
      <c r="Z111" s="2089"/>
      <c r="AA111" s="2090"/>
      <c r="AB111" s="2090"/>
      <c r="AC111" s="2094"/>
      <c r="AD111" s="2094"/>
      <c r="AE111" s="2095"/>
      <c r="AF111" s="3324"/>
      <c r="AG111" s="3325"/>
      <c r="AH111" s="3325"/>
      <c r="AI111" s="3324"/>
      <c r="AJ111" s="3325"/>
      <c r="AK111" s="3325"/>
      <c r="AL111" s="3424"/>
      <c r="AM111" s="2738"/>
      <c r="AN111" s="2738"/>
      <c r="AO111" s="2738"/>
      <c r="AP111" s="2738"/>
      <c r="AQ111" s="2738"/>
      <c r="AR111" s="2738"/>
      <c r="AS111" s="2738"/>
      <c r="AT111" s="2738"/>
      <c r="AU111" s="2738"/>
      <c r="AV111" s="2738"/>
      <c r="AW111" s="2738"/>
      <c r="AX111" s="2738"/>
      <c r="AY111" s="2738"/>
      <c r="AZ111" s="2738"/>
      <c r="BA111" s="2738"/>
      <c r="BB111" s="2738"/>
      <c r="BC111" s="2738"/>
      <c r="BD111" s="2738"/>
      <c r="BE111" s="2738"/>
      <c r="BF111" s="2738"/>
    </row>
    <row customHeight="1" ht="11.25">
      <c r="A112" s="2080" t="s">
        <v>905</v>
      </c>
      <c r="B112" s="2080"/>
      <c r="C112" s="2080"/>
      <c r="D112" s="2074"/>
      <c r="E112" s="2084"/>
      <c r="F112" s="2744"/>
      <c r="G112" s="2745"/>
      <c r="H112" s="3333" t="s">
        <v>87</v>
      </c>
      <c r="I112" s="3334"/>
      <c r="J112" s="3303"/>
      <c r="K112" s="3335"/>
      <c r="L112" s="2933"/>
      <c r="M112" s="2934"/>
      <c r="N112" s="3398"/>
      <c r="O112" s="3421"/>
      <c r="P112" s="3329"/>
      <c r="Q112" s="3331"/>
      <c r="R112" s="3331"/>
      <c r="S112" s="3332"/>
      <c r="T112" s="3331"/>
      <c r="U112" s="3331"/>
      <c r="V112" s="3331"/>
      <c r="W112" s="3331"/>
      <c r="X112" s="3331"/>
      <c r="Y112" s="3331"/>
      <c r="Z112" s="2743"/>
      <c r="AA112" s="2709">
        <v>1</v>
      </c>
      <c r="AB112" s="2093" t="s">
        <v>949</v>
      </c>
      <c r="AC112" s="2083">
        <v>302759.54</v>
      </c>
      <c r="AD112" s="2093" t="str">
        <f>AB112</f>
        <v>      Прочие амортизационные отчисления</v>
      </c>
      <c r="AE112" s="2083"/>
      <c r="AF112" s="3324"/>
      <c r="AG112" s="3325"/>
      <c r="AH112" s="3325"/>
      <c r="AI112" s="3324"/>
      <c r="AJ112" s="3325"/>
      <c r="AK112" s="3325"/>
      <c r="AL112" s="3424"/>
      <c r="AM112" s="2738"/>
      <c r="AN112" s="2738"/>
      <c r="AO112" s="2738"/>
      <c r="AP112" s="2738"/>
      <c r="AQ112" s="2738"/>
      <c r="AR112" s="2738"/>
      <c r="AS112" s="2738"/>
      <c r="AT112" s="2738"/>
      <c r="AU112" s="2738"/>
      <c r="AV112" s="2738"/>
      <c r="AW112" s="2738"/>
      <c r="AX112" s="2738"/>
      <c r="AY112" s="2738"/>
      <c r="AZ112" s="2738"/>
      <c r="BA112" s="2738"/>
      <c r="BB112" s="2738"/>
      <c r="BC112" s="2738"/>
      <c r="BD112" s="2738"/>
      <c r="BE112" s="2738"/>
      <c r="BF112" s="2738"/>
    </row>
    <row customHeight="1" ht="11.25">
      <c r="A113" s="2080" t="s">
        <v>905</v>
      </c>
      <c r="B113" s="2080"/>
      <c r="C113" s="2080"/>
      <c r="D113" s="2074"/>
      <c r="E113" s="2084"/>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13093" t="s">
        <v>844</v>
      </c>
      <c r="AA113" s="2729" t="s">
        <v>103</v>
      </c>
      <c r="AB113" s="2093" t="s">
        <v>941</v>
      </c>
      <c r="AC113" s="2083">
        <v>196634.22</v>
      </c>
      <c r="AD113" s="2093" t="str">
        <f>AB113</f>
        <v>  Прочие</v>
      </c>
      <c r="AE113" s="2083"/>
      <c r="AF113" s="2746"/>
      <c r="AG113" s="2674"/>
      <c r="AH113" s="2674"/>
      <c r="AI113" s="2746"/>
      <c r="AJ113" s="2674"/>
      <c r="AK113" s="3423"/>
      <c r="AL113" s="3424"/>
      <c r="AM113" s="2738"/>
      <c r="AN113" s="2738"/>
      <c r="AO113" s="2738"/>
      <c r="AP113" s="2738"/>
      <c r="AQ113" s="2738"/>
      <c r="AR113" s="2738"/>
      <c r="AS113" s="2738"/>
      <c r="AT113" s="2738"/>
      <c r="AU113" s="2738"/>
      <c r="AV113" s="2738"/>
      <c r="AW113" s="2738"/>
      <c r="AX113" s="2738"/>
      <c r="AY113" s="2738"/>
      <c r="AZ113" s="2738"/>
      <c r="BA113" s="2738"/>
      <c r="BB113" s="2738"/>
      <c r="BC113" s="2738"/>
      <c r="BD113" s="2738"/>
      <c r="BE113" s="2738"/>
      <c r="BF113" s="2738"/>
    </row>
    <row customHeight="1" ht="11.25">
      <c r="A114" s="2080" t="s">
        <v>905</v>
      </c>
      <c r="B114" s="2080"/>
      <c r="C114" s="2080"/>
      <c r="D114" s="2074"/>
      <c r="E114" s="2084"/>
      <c r="F114" s="2744"/>
      <c r="G114" s="2745"/>
      <c r="H114" s="3333" t="s">
        <v>87</v>
      </c>
      <c r="I114" s="3334"/>
      <c r="J114" s="3303"/>
      <c r="K114" s="3335"/>
      <c r="L114" s="2933"/>
      <c r="M114" s="2934"/>
      <c r="N114" s="3398"/>
      <c r="O114" s="3421"/>
      <c r="P114" s="3330"/>
      <c r="Q114" s="3331"/>
      <c r="R114" s="3331"/>
      <c r="S114" s="3332"/>
      <c r="T114" s="3331"/>
      <c r="U114" s="3331"/>
      <c r="V114" s="3331"/>
      <c r="W114" s="3331"/>
      <c r="X114" s="3331"/>
      <c r="Y114" s="3331"/>
      <c r="Z114" s="2089"/>
      <c r="AA114" s="2090"/>
      <c r="AB114" s="2155" t="s">
        <v>942</v>
      </c>
      <c r="AC114" s="2094"/>
      <c r="AD114" s="2094"/>
      <c r="AE114" s="2096"/>
      <c r="AF114" s="3324"/>
      <c r="AG114" s="3325"/>
      <c r="AH114" s="3325"/>
      <c r="AI114" s="3324"/>
      <c r="AJ114" s="3325"/>
      <c r="AK114" s="3325"/>
      <c r="AL114" s="3424"/>
      <c r="AM114" s="2738"/>
      <c r="AN114" s="2738"/>
      <c r="AO114" s="2738"/>
      <c r="AP114" s="2738"/>
      <c r="AQ114" s="2738"/>
      <c r="AR114" s="2738"/>
      <c r="AS114" s="2738"/>
      <c r="AT114" s="2738"/>
      <c r="AU114" s="2738"/>
      <c r="AV114" s="2738"/>
      <c r="AW114" s="2738"/>
      <c r="AX114" s="2738"/>
      <c r="AY114" s="2738"/>
      <c r="AZ114" s="2738"/>
      <c r="BA114" s="2738"/>
      <c r="BB114" s="2738"/>
      <c r="BC114" s="2738"/>
      <c r="BD114" s="2738"/>
      <c r="BE114" s="2738"/>
      <c r="BF114" s="2738"/>
    </row>
    <row customHeight="1" ht="11.25">
      <c r="A115" s="2080" t="s">
        <v>905</v>
      </c>
      <c r="B115" s="2080"/>
      <c r="C115" s="2080"/>
      <c r="D115" s="2074"/>
      <c r="E115" s="2084"/>
      <c r="F115" s="2744"/>
      <c r="G115" s="2745"/>
      <c r="H115" s="3333" t="s">
        <v>87</v>
      </c>
      <c r="I115" s="3334"/>
      <c r="J115" s="3303"/>
      <c r="K115" s="3335"/>
      <c r="L115" s="2933"/>
      <c r="M115" s="2934"/>
      <c r="N115" s="2089"/>
      <c r="O115" s="2090"/>
      <c r="P115" s="2082" t="s">
        <v>943</v>
      </c>
      <c r="Q115" s="2090"/>
      <c r="R115" s="2090"/>
      <c r="S115" s="2090"/>
      <c r="T115" s="2090"/>
      <c r="U115" s="2090"/>
      <c r="V115" s="2090"/>
      <c r="W115" s="2090"/>
      <c r="X115" s="2090"/>
      <c r="Y115" s="2090"/>
      <c r="Z115" s="2090"/>
      <c r="AA115" s="2090"/>
      <c r="AB115" s="2090"/>
      <c r="AC115" s="2090"/>
      <c r="AD115" s="2090"/>
      <c r="AE115" s="2097"/>
      <c r="AF115" s="3324"/>
      <c r="AG115" s="3325"/>
      <c r="AH115" s="3325"/>
      <c r="AI115" s="3324"/>
      <c r="AJ115" s="3325"/>
      <c r="AK115" s="3325"/>
      <c r="AL115" s="3424"/>
      <c r="AM115" s="2738"/>
      <c r="AN115" s="2738"/>
      <c r="AO115" s="2738"/>
      <c r="AP115" s="2738"/>
      <c r="AQ115" s="2738"/>
      <c r="AR115" s="2738"/>
      <c r="AS115" s="2738"/>
      <c r="AT115" s="2738"/>
      <c r="AU115" s="2738"/>
      <c r="AV115" s="2738"/>
      <c r="AW115" s="2738"/>
      <c r="AX115" s="2738"/>
      <c r="AY115" s="2738"/>
      <c r="AZ115" s="2738"/>
      <c r="BA115" s="2738"/>
      <c r="BB115" s="2738"/>
      <c r="BC115" s="2738"/>
      <c r="BD115" s="2738"/>
      <c r="BE115" s="2738"/>
      <c r="BF115" s="2738"/>
    </row>
    <row customHeight="1" ht="21.75">
      <c r="A116" s="2080" t="s">
        <v>905</v>
      </c>
      <c r="B116" s="2080" t="s">
        <v>944</v>
      </c>
      <c r="C116" s="2080"/>
      <c r="D116" s="2074"/>
      <c r="E116" s="2084"/>
      <c r="F116" s="2744"/>
      <c r="G116" s="13093" t="s">
        <v>844</v>
      </c>
      <c r="H116" s="3333" t="s">
        <v>88</v>
      </c>
      <c r="I116" s="3334" t="s">
        <v>945</v>
      </c>
      <c r="J116" s="3303" t="s">
        <v>946</v>
      </c>
      <c r="K116" s="3335" t="s">
        <v>951</v>
      </c>
      <c r="L116" s="2933" t="s">
        <v>52</v>
      </c>
      <c r="M116" s="2934"/>
      <c r="N116" s="3422"/>
      <c r="O116" s="2091" t="s">
        <v>367</v>
      </c>
      <c r="P116" s="2092"/>
      <c r="Q116" s="2092"/>
      <c r="R116" s="2092"/>
      <c r="S116" s="2092"/>
      <c r="T116" s="2092"/>
      <c r="U116" s="2092"/>
      <c r="V116" s="2092"/>
      <c r="W116" s="2092"/>
      <c r="X116" s="2092"/>
      <c r="Y116" s="2092"/>
      <c r="Z116" s="2092"/>
      <c r="AA116" s="2092"/>
      <c r="AB116" s="2092"/>
      <c r="AC116" s="2092"/>
      <c r="AD116" s="2092"/>
      <c r="AE116" s="2092"/>
      <c r="AF116" s="3324">
        <v>3</v>
      </c>
      <c r="AG116" s="3325" t="s">
        <v>939</v>
      </c>
      <c r="AH116" s="3325" t="s">
        <v>948</v>
      </c>
      <c r="AI116" s="3324"/>
      <c r="AJ116" s="3325"/>
      <c r="AK116" s="3325"/>
      <c r="AL116" s="3424"/>
      <c r="AM116" s="2738"/>
      <c r="AN116" s="2738"/>
      <c r="AO116" s="2738"/>
      <c r="AP116" s="2738"/>
      <c r="AQ116" s="2738"/>
      <c r="AR116" s="2738"/>
      <c r="AS116" s="2738"/>
      <c r="AT116" s="2738"/>
      <c r="AU116" s="2738"/>
      <c r="AV116" s="2738"/>
      <c r="AW116" s="2738"/>
      <c r="AX116" s="2738"/>
      <c r="AY116" s="2738"/>
      <c r="AZ116" s="2738"/>
      <c r="BA116" s="2738"/>
      <c r="BB116" s="2738"/>
      <c r="BC116" s="2738"/>
      <c r="BD116" s="2738"/>
      <c r="BE116" s="2738"/>
      <c r="BF116" s="2738"/>
    </row>
    <row customHeight="1" ht="20.25">
      <c r="A117" s="2080" t="s">
        <v>905</v>
      </c>
      <c r="B117" s="2080"/>
      <c r="C117" s="2080"/>
      <c r="D117" s="2074"/>
      <c r="E117" s="2084"/>
      <c r="F117" s="2744"/>
      <c r="G117" s="2745"/>
      <c r="H117" s="3333" t="s">
        <v>104</v>
      </c>
      <c r="I117" s="3334"/>
      <c r="J117" s="3303"/>
      <c r="K117" s="3335"/>
      <c r="L117" s="2933"/>
      <c r="M117" s="2934"/>
      <c r="N117" s="3398"/>
      <c r="O117" s="3421">
        <v>1</v>
      </c>
      <c r="P117" s="3328" t="s">
        <v>52</v>
      </c>
      <c r="Q117" s="3331" t="s">
        <v>18</v>
      </c>
      <c r="R117" s="3331" t="s">
        <v>18</v>
      </c>
      <c r="S117" s="3331" t="s">
        <v>18</v>
      </c>
      <c r="T117" s="3331" t="s">
        <v>18</v>
      </c>
      <c r="U117" s="3331" t="s">
        <v>18</v>
      </c>
      <c r="V117" s="3331" t="s">
        <v>18</v>
      </c>
      <c r="W117" s="3331" t="s">
        <v>18</v>
      </c>
      <c r="X117" s="3331" t="s">
        <v>18</v>
      </c>
      <c r="Y117" s="3331"/>
      <c r="Z117" s="2089"/>
      <c r="AA117" s="2090"/>
      <c r="AB117" s="2090"/>
      <c r="AC117" s="2094"/>
      <c r="AD117" s="2094"/>
      <c r="AE117" s="2095"/>
      <c r="AF117" s="3324"/>
      <c r="AG117" s="3325"/>
      <c r="AH117" s="3325"/>
      <c r="AI117" s="3324"/>
      <c r="AJ117" s="3325"/>
      <c r="AK117" s="3325"/>
      <c r="AL117" s="3424"/>
      <c r="AM117" s="2738"/>
      <c r="AN117" s="2738"/>
      <c r="AO117" s="2738"/>
      <c r="AP117" s="2738"/>
      <c r="AQ117" s="2738"/>
      <c r="AR117" s="2738"/>
      <c r="AS117" s="2738"/>
      <c r="AT117" s="2738"/>
      <c r="AU117" s="2738"/>
      <c r="AV117" s="2738"/>
      <c r="AW117" s="2738"/>
      <c r="AX117" s="2738"/>
      <c r="AY117" s="2738"/>
      <c r="AZ117" s="2738"/>
      <c r="BA117" s="2738"/>
      <c r="BB117" s="2738"/>
      <c r="BC117" s="2738"/>
      <c r="BD117" s="2738"/>
      <c r="BE117" s="2738"/>
      <c r="BF117" s="2738"/>
    </row>
    <row customHeight="1" ht="25.5">
      <c r="A118" s="2080" t="s">
        <v>905</v>
      </c>
      <c r="B118" s="2080"/>
      <c r="C118" s="2080"/>
      <c r="D118" s="2074"/>
      <c r="E118" s="2084"/>
      <c r="F118" s="2744"/>
      <c r="G118" s="2745"/>
      <c r="H118" s="3333" t="s">
        <v>104</v>
      </c>
      <c r="I118" s="3334"/>
      <c r="J118" s="3303"/>
      <c r="K118" s="3335"/>
      <c r="L118" s="2933"/>
      <c r="M118" s="2934"/>
      <c r="N118" s="3398"/>
      <c r="O118" s="3421"/>
      <c r="P118" s="3329"/>
      <c r="Q118" s="3331"/>
      <c r="R118" s="3331"/>
      <c r="S118" s="3332"/>
      <c r="T118" s="3331"/>
      <c r="U118" s="3331"/>
      <c r="V118" s="3331"/>
      <c r="W118" s="3331"/>
      <c r="X118" s="3331"/>
      <c r="Y118" s="3331"/>
      <c r="Z118" s="2743"/>
      <c r="AA118" s="2709">
        <v>1</v>
      </c>
      <c r="AB118" s="2093" t="s">
        <v>949</v>
      </c>
      <c r="AC118" s="2083">
        <v>80766.92</v>
      </c>
      <c r="AD118" s="2093" t="str">
        <f>AB118</f>
        <v>      Прочие амортизационные отчисления</v>
      </c>
      <c r="AE118" s="2083"/>
      <c r="AF118" s="3324"/>
      <c r="AG118" s="3325"/>
      <c r="AH118" s="3325"/>
      <c r="AI118" s="3324"/>
      <c r="AJ118" s="3325"/>
      <c r="AK118" s="3325"/>
      <c r="AL118" s="3424"/>
      <c r="AM118" s="2738"/>
      <c r="AN118" s="2738"/>
      <c r="AO118" s="2738"/>
      <c r="AP118" s="2738"/>
      <c r="AQ118" s="2738"/>
      <c r="AR118" s="2738"/>
      <c r="AS118" s="2738"/>
      <c r="AT118" s="2738"/>
      <c r="AU118" s="2738"/>
      <c r="AV118" s="2738"/>
      <c r="AW118" s="2738"/>
      <c r="AX118" s="2738"/>
      <c r="AY118" s="2738"/>
      <c r="AZ118" s="2738"/>
      <c r="BA118" s="2738"/>
      <c r="BB118" s="2738"/>
      <c r="BC118" s="2738"/>
      <c r="BD118" s="2738"/>
      <c r="BE118" s="2738"/>
      <c r="BF118" s="2738"/>
    </row>
    <row customHeight="1" ht="11.25">
      <c r="A119" s="2080" t="s">
        <v>905</v>
      </c>
      <c r="B119" s="2080"/>
      <c r="C119" s="2080"/>
      <c r="D119" s="2074"/>
      <c r="E119" s="2084"/>
      <c r="F119" s="2745"/>
      <c r="G119" s="2745"/>
      <c r="H119" s="2745"/>
      <c r="I119" s="2745"/>
      <c r="J119" s="2745"/>
      <c r="K119" s="2745"/>
      <c r="L119" s="2745"/>
      <c r="M119" s="2745"/>
      <c r="N119" s="2745"/>
      <c r="O119" s="2745"/>
      <c r="P119" s="2745"/>
      <c r="Q119" s="2745"/>
      <c r="R119" s="2745"/>
      <c r="S119" s="2745"/>
      <c r="T119" s="2745"/>
      <c r="U119" s="2745"/>
      <c r="V119" s="2745"/>
      <c r="W119" s="2745"/>
      <c r="X119" s="2745"/>
      <c r="Y119" s="2745"/>
      <c r="Z119" s="13093" t="s">
        <v>844</v>
      </c>
      <c r="AA119" s="2729" t="s">
        <v>103</v>
      </c>
      <c r="AB119" s="2093" t="s">
        <v>941</v>
      </c>
      <c r="AC119" s="2083">
        <v>86133.08</v>
      </c>
      <c r="AD119" s="2093" t="str">
        <f>AB119</f>
        <v>  Прочие</v>
      </c>
      <c r="AE119" s="2083"/>
      <c r="AF119" s="2746"/>
      <c r="AG119" s="2674"/>
      <c r="AH119" s="2674"/>
      <c r="AI119" s="2746"/>
      <c r="AJ119" s="2674"/>
      <c r="AK119" s="3423"/>
      <c r="AL119" s="3424"/>
      <c r="AM119" s="2738"/>
      <c r="AN119" s="2738"/>
      <c r="AO119" s="2738"/>
      <c r="AP119" s="2738"/>
      <c r="AQ119" s="2738"/>
      <c r="AR119" s="2738"/>
      <c r="AS119" s="2738"/>
      <c r="AT119" s="2738"/>
      <c r="AU119" s="2738"/>
      <c r="AV119" s="2738"/>
      <c r="AW119" s="2738"/>
      <c r="AX119" s="2738"/>
      <c r="AY119" s="2738"/>
      <c r="AZ119" s="2738"/>
      <c r="BA119" s="2738"/>
      <c r="BB119" s="2738"/>
      <c r="BC119" s="2738"/>
      <c r="BD119" s="2738"/>
      <c r="BE119" s="2738"/>
      <c r="BF119" s="2738"/>
    </row>
    <row customHeight="1" ht="21.75">
      <c r="A120" s="2080" t="s">
        <v>905</v>
      </c>
      <c r="B120" s="2080"/>
      <c r="C120" s="2080"/>
      <c r="D120" s="2074"/>
      <c r="E120" s="2084"/>
      <c r="F120" s="2744"/>
      <c r="G120" s="2745"/>
      <c r="H120" s="3333" t="s">
        <v>104</v>
      </c>
      <c r="I120" s="3334"/>
      <c r="J120" s="3303"/>
      <c r="K120" s="3335"/>
      <c r="L120" s="2933"/>
      <c r="M120" s="2934"/>
      <c r="N120" s="3398"/>
      <c r="O120" s="3421"/>
      <c r="P120" s="3330"/>
      <c r="Q120" s="3331"/>
      <c r="R120" s="3331"/>
      <c r="S120" s="3332"/>
      <c r="T120" s="3331"/>
      <c r="U120" s="3331"/>
      <c r="V120" s="3331"/>
      <c r="W120" s="3331"/>
      <c r="X120" s="3331"/>
      <c r="Y120" s="3331"/>
      <c r="Z120" s="2089"/>
      <c r="AA120" s="2090"/>
      <c r="AB120" s="2155" t="s">
        <v>942</v>
      </c>
      <c r="AC120" s="2094"/>
      <c r="AD120" s="2094"/>
      <c r="AE120" s="2096"/>
      <c r="AF120" s="3324"/>
      <c r="AG120" s="3325"/>
      <c r="AH120" s="3325"/>
      <c r="AI120" s="3324"/>
      <c r="AJ120" s="3325"/>
      <c r="AK120" s="3325"/>
      <c r="AL120" s="3424"/>
      <c r="AM120" s="2738"/>
      <c r="AN120" s="2738"/>
      <c r="AO120" s="2738"/>
      <c r="AP120" s="2738"/>
      <c r="AQ120" s="2738"/>
      <c r="AR120" s="2738"/>
      <c r="AS120" s="2738"/>
      <c r="AT120" s="2738"/>
      <c r="AU120" s="2738"/>
      <c r="AV120" s="2738"/>
      <c r="AW120" s="2738"/>
      <c r="AX120" s="2738"/>
      <c r="AY120" s="2738"/>
      <c r="AZ120" s="2738"/>
      <c r="BA120" s="2738"/>
      <c r="BB120" s="2738"/>
      <c r="BC120" s="2738"/>
      <c r="BD120" s="2738"/>
      <c r="BE120" s="2738"/>
      <c r="BF120" s="2738"/>
    </row>
    <row customHeight="1" ht="11.25">
      <c r="A121" s="2080" t="s">
        <v>905</v>
      </c>
      <c r="B121" s="2080"/>
      <c r="C121" s="2080"/>
      <c r="D121" s="2074"/>
      <c r="E121" s="2084"/>
      <c r="F121" s="2744"/>
      <c r="G121" s="2745"/>
      <c r="H121" s="3333" t="s">
        <v>104</v>
      </c>
      <c r="I121" s="3334"/>
      <c r="J121" s="3303"/>
      <c r="K121" s="3335"/>
      <c r="L121" s="2933"/>
      <c r="M121" s="2934"/>
      <c r="N121" s="2089"/>
      <c r="O121" s="2090"/>
      <c r="P121" s="2082" t="s">
        <v>943</v>
      </c>
      <c r="Q121" s="2090"/>
      <c r="R121" s="2090"/>
      <c r="S121" s="2090"/>
      <c r="T121" s="2090"/>
      <c r="U121" s="2090"/>
      <c r="V121" s="2090"/>
      <c r="W121" s="2090"/>
      <c r="X121" s="2090"/>
      <c r="Y121" s="2090"/>
      <c r="Z121" s="2090"/>
      <c r="AA121" s="2090"/>
      <c r="AB121" s="2090"/>
      <c r="AC121" s="2090"/>
      <c r="AD121" s="2090"/>
      <c r="AE121" s="2097"/>
      <c r="AF121" s="3324"/>
      <c r="AG121" s="3325"/>
      <c r="AH121" s="3325"/>
      <c r="AI121" s="3324"/>
      <c r="AJ121" s="3325"/>
      <c r="AK121" s="3325"/>
      <c r="AL121" s="3424"/>
      <c r="AM121" s="2738"/>
      <c r="AN121" s="2738"/>
      <c r="AO121" s="2738"/>
      <c r="AP121" s="2738"/>
      <c r="AQ121" s="2738"/>
      <c r="AR121" s="2738"/>
      <c r="AS121" s="2738"/>
      <c r="AT121" s="2738"/>
      <c r="AU121" s="2738"/>
      <c r="AV121" s="2738"/>
      <c r="AW121" s="2738"/>
      <c r="AX121" s="2738"/>
      <c r="AY121" s="2738"/>
      <c r="AZ121" s="2738"/>
      <c r="BA121" s="2738"/>
      <c r="BB121" s="2738"/>
      <c r="BC121" s="2738"/>
      <c r="BD121" s="2738"/>
      <c r="BE121" s="2738"/>
      <c r="BF121" s="2738"/>
    </row>
    <row customHeight="1" ht="27">
      <c r="A122" s="2080" t="s">
        <v>905</v>
      </c>
      <c r="B122" s="2080" t="s">
        <v>944</v>
      </c>
      <c r="C122" s="2080"/>
      <c r="D122" s="2074"/>
      <c r="E122" s="2084"/>
      <c r="F122" s="2744"/>
      <c r="G122" s="13093" t="s">
        <v>844</v>
      </c>
      <c r="H122" s="3333" t="s">
        <v>89</v>
      </c>
      <c r="I122" s="3334" t="s">
        <v>945</v>
      </c>
      <c r="J122" s="3303" t="s">
        <v>946</v>
      </c>
      <c r="K122" s="3335" t="s">
        <v>968</v>
      </c>
      <c r="L122" s="2933" t="s">
        <v>52</v>
      </c>
      <c r="M122" s="2934"/>
      <c r="N122" s="3422"/>
      <c r="O122" s="2091" t="s">
        <v>367</v>
      </c>
      <c r="P122" s="2092"/>
      <c r="Q122" s="2092"/>
      <c r="R122" s="2092"/>
      <c r="S122" s="2092"/>
      <c r="T122" s="2092"/>
      <c r="U122" s="2092"/>
      <c r="V122" s="2092"/>
      <c r="W122" s="2092"/>
      <c r="X122" s="2092"/>
      <c r="Y122" s="2092"/>
      <c r="Z122" s="2092"/>
      <c r="AA122" s="2092"/>
      <c r="AB122" s="2092"/>
      <c r="AC122" s="2092"/>
      <c r="AD122" s="2092"/>
      <c r="AE122" s="2092"/>
      <c r="AF122" s="3324">
        <v>4</v>
      </c>
      <c r="AG122" s="3325" t="s">
        <v>939</v>
      </c>
      <c r="AH122" s="3325" t="s">
        <v>940</v>
      </c>
      <c r="AI122" s="3324"/>
      <c r="AJ122" s="3325"/>
      <c r="AK122" s="3325"/>
      <c r="AL122" s="3424"/>
      <c r="AM122" s="2738"/>
      <c r="AN122" s="2738"/>
      <c r="AO122" s="2738"/>
      <c r="AP122" s="2738"/>
      <c r="AQ122" s="2738"/>
      <c r="AR122" s="2738"/>
      <c r="AS122" s="2738"/>
      <c r="AT122" s="2738"/>
      <c r="AU122" s="2738"/>
      <c r="AV122" s="2738"/>
      <c r="AW122" s="2738"/>
      <c r="AX122" s="2738"/>
      <c r="AY122" s="2738"/>
      <c r="AZ122" s="2738"/>
      <c r="BA122" s="2738"/>
      <c r="BB122" s="2738"/>
      <c r="BC122" s="2738"/>
      <c r="BD122" s="2738"/>
      <c r="BE122" s="2738"/>
      <c r="BF122" s="2738"/>
    </row>
    <row customHeight="1" ht="25.5">
      <c r="A123" s="2080" t="s">
        <v>905</v>
      </c>
      <c r="B123" s="2080"/>
      <c r="C123" s="2080"/>
      <c r="D123" s="2074"/>
      <c r="E123" s="2084"/>
      <c r="F123" s="2744"/>
      <c r="G123" s="2745"/>
      <c r="H123" s="3333" t="s">
        <v>88</v>
      </c>
      <c r="I123" s="3334"/>
      <c r="J123" s="3303"/>
      <c r="K123" s="3335"/>
      <c r="L123" s="2933"/>
      <c r="M123" s="2934"/>
      <c r="N123" s="3398"/>
      <c r="O123" s="3421">
        <v>1</v>
      </c>
      <c r="P123" s="3328" t="s">
        <v>52</v>
      </c>
      <c r="Q123" s="3331" t="s">
        <v>18</v>
      </c>
      <c r="R123" s="3331" t="s">
        <v>18</v>
      </c>
      <c r="S123" s="3331" t="s">
        <v>18</v>
      </c>
      <c r="T123" s="3331" t="s">
        <v>18</v>
      </c>
      <c r="U123" s="3331" t="s">
        <v>18</v>
      </c>
      <c r="V123" s="3331" t="s">
        <v>18</v>
      </c>
      <c r="W123" s="3331" t="s">
        <v>18</v>
      </c>
      <c r="X123" s="3331" t="s">
        <v>18</v>
      </c>
      <c r="Y123" s="3331"/>
      <c r="Z123" s="2089"/>
      <c r="AA123" s="2090"/>
      <c r="AB123" s="2090"/>
      <c r="AC123" s="2094"/>
      <c r="AD123" s="2094"/>
      <c r="AE123" s="2095"/>
      <c r="AF123" s="3324"/>
      <c r="AG123" s="3325"/>
      <c r="AH123" s="3325"/>
      <c r="AI123" s="3324"/>
      <c r="AJ123" s="3325"/>
      <c r="AK123" s="3325"/>
      <c r="AL123" s="3424"/>
      <c r="AM123" s="2738"/>
      <c r="AN123" s="2738"/>
      <c r="AO123" s="2738"/>
      <c r="AP123" s="2738"/>
      <c r="AQ123" s="2738"/>
      <c r="AR123" s="2738"/>
      <c r="AS123" s="2738"/>
      <c r="AT123" s="2738"/>
      <c r="AU123" s="2738"/>
      <c r="AV123" s="2738"/>
      <c r="AW123" s="2738"/>
      <c r="AX123" s="2738"/>
      <c r="AY123" s="2738"/>
      <c r="AZ123" s="2738"/>
      <c r="BA123" s="2738"/>
      <c r="BB123" s="2738"/>
      <c r="BC123" s="2738"/>
      <c r="BD123" s="2738"/>
      <c r="BE123" s="2738"/>
      <c r="BF123" s="2738"/>
    </row>
    <row customHeight="1" ht="11.25">
      <c r="A124" s="2080" t="s">
        <v>905</v>
      </c>
      <c r="B124" s="2080"/>
      <c r="C124" s="2080"/>
      <c r="D124" s="2074"/>
      <c r="E124" s="2084"/>
      <c r="F124" s="2744"/>
      <c r="G124" s="2745"/>
      <c r="H124" s="3333" t="s">
        <v>88</v>
      </c>
      <c r="I124" s="3334"/>
      <c r="J124" s="3303"/>
      <c r="K124" s="3335"/>
      <c r="L124" s="2933"/>
      <c r="M124" s="2934"/>
      <c r="N124" s="3398"/>
      <c r="O124" s="3421"/>
      <c r="P124" s="3329"/>
      <c r="Q124" s="3331"/>
      <c r="R124" s="3331"/>
      <c r="S124" s="3332"/>
      <c r="T124" s="3331"/>
      <c r="U124" s="3331"/>
      <c r="V124" s="3331"/>
      <c r="W124" s="3331"/>
      <c r="X124" s="3331"/>
      <c r="Y124" s="3331"/>
      <c r="Z124" s="2743"/>
      <c r="AA124" s="2709">
        <v>1</v>
      </c>
      <c r="AB124" s="2093" t="s">
        <v>949</v>
      </c>
      <c r="AC124" s="2083">
        <v>24002.63</v>
      </c>
      <c r="AD124" s="2093" t="str">
        <f>AB124</f>
        <v>      Прочие амортизационные отчисления</v>
      </c>
      <c r="AE124" s="2083"/>
      <c r="AF124" s="3324"/>
      <c r="AG124" s="3325"/>
      <c r="AH124" s="3325"/>
      <c r="AI124" s="3324"/>
      <c r="AJ124" s="3325"/>
      <c r="AK124" s="3325"/>
      <c r="AL124" s="3424"/>
      <c r="AM124" s="2738"/>
      <c r="AN124" s="2738"/>
      <c r="AO124" s="2738"/>
      <c r="AP124" s="2738"/>
      <c r="AQ124" s="2738"/>
      <c r="AR124" s="2738"/>
      <c r="AS124" s="2738"/>
      <c r="AT124" s="2738"/>
      <c r="AU124" s="2738"/>
      <c r="AV124" s="2738"/>
      <c r="AW124" s="2738"/>
      <c r="AX124" s="2738"/>
      <c r="AY124" s="2738"/>
      <c r="AZ124" s="2738"/>
      <c r="BA124" s="2738"/>
      <c r="BB124" s="2738"/>
      <c r="BC124" s="2738"/>
      <c r="BD124" s="2738"/>
      <c r="BE124" s="2738"/>
      <c r="BF124" s="2738"/>
    </row>
    <row customHeight="1" ht="11.25">
      <c r="A125" s="2080" t="s">
        <v>905</v>
      </c>
      <c r="B125" s="2080"/>
      <c r="C125" s="2080"/>
      <c r="D125" s="2074"/>
      <c r="E125" s="2084"/>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13093" t="s">
        <v>844</v>
      </c>
      <c r="AA125" s="2729" t="s">
        <v>103</v>
      </c>
      <c r="AB125" s="2093" t="s">
        <v>941</v>
      </c>
      <c r="AC125" s="2083">
        <v>25597.37</v>
      </c>
      <c r="AD125" s="2093" t="str">
        <f>AB125</f>
        <v>  Прочие</v>
      </c>
      <c r="AE125" s="2083"/>
      <c r="AF125" s="2746"/>
      <c r="AG125" s="2674"/>
      <c r="AH125" s="2674"/>
      <c r="AI125" s="2746"/>
      <c r="AJ125" s="2674"/>
      <c r="AK125" s="3423"/>
      <c r="AL125" s="3424"/>
      <c r="AM125" s="2738"/>
      <c r="AN125" s="2738"/>
      <c r="AO125" s="2738"/>
      <c r="AP125" s="2738"/>
      <c r="AQ125" s="2738"/>
      <c r="AR125" s="2738"/>
      <c r="AS125" s="2738"/>
      <c r="AT125" s="2738"/>
      <c r="AU125" s="2738"/>
      <c r="AV125" s="2738"/>
      <c r="AW125" s="2738"/>
      <c r="AX125" s="2738"/>
      <c r="AY125" s="2738"/>
      <c r="AZ125" s="2738"/>
      <c r="BA125" s="2738"/>
      <c r="BB125" s="2738"/>
      <c r="BC125" s="2738"/>
      <c r="BD125" s="2738"/>
      <c r="BE125" s="2738"/>
      <c r="BF125" s="2738"/>
    </row>
    <row customHeight="1" ht="21.75">
      <c r="A126" s="2080" t="s">
        <v>905</v>
      </c>
      <c r="B126" s="2080"/>
      <c r="C126" s="2080"/>
      <c r="D126" s="2074"/>
      <c r="E126" s="2084"/>
      <c r="F126" s="2744"/>
      <c r="G126" s="2745"/>
      <c r="H126" s="3333" t="s">
        <v>88</v>
      </c>
      <c r="I126" s="3334"/>
      <c r="J126" s="3303"/>
      <c r="K126" s="3335"/>
      <c r="L126" s="2933"/>
      <c r="M126" s="2934"/>
      <c r="N126" s="3398"/>
      <c r="O126" s="3421"/>
      <c r="P126" s="3330"/>
      <c r="Q126" s="3331"/>
      <c r="R126" s="3331"/>
      <c r="S126" s="3332"/>
      <c r="T126" s="3331"/>
      <c r="U126" s="3331"/>
      <c r="V126" s="3331"/>
      <c r="W126" s="3331"/>
      <c r="X126" s="3331"/>
      <c r="Y126" s="3331"/>
      <c r="Z126" s="2089"/>
      <c r="AA126" s="2090"/>
      <c r="AB126" s="2155" t="s">
        <v>942</v>
      </c>
      <c r="AC126" s="2094"/>
      <c r="AD126" s="2094"/>
      <c r="AE126" s="2096"/>
      <c r="AF126" s="3324"/>
      <c r="AG126" s="3325"/>
      <c r="AH126" s="3325"/>
      <c r="AI126" s="3324"/>
      <c r="AJ126" s="3325"/>
      <c r="AK126" s="3325"/>
      <c r="AL126" s="3424"/>
      <c r="AM126" s="2738"/>
      <c r="AN126" s="2738"/>
      <c r="AO126" s="2738"/>
      <c r="AP126" s="2738"/>
      <c r="AQ126" s="2738"/>
      <c r="AR126" s="2738"/>
      <c r="AS126" s="2738"/>
      <c r="AT126" s="2738"/>
      <c r="AU126" s="2738"/>
      <c r="AV126" s="2738"/>
      <c r="AW126" s="2738"/>
      <c r="AX126" s="2738"/>
      <c r="AY126" s="2738"/>
      <c r="AZ126" s="2738"/>
      <c r="BA126" s="2738"/>
      <c r="BB126" s="2738"/>
      <c r="BC126" s="2738"/>
      <c r="BD126" s="2738"/>
      <c r="BE126" s="2738"/>
      <c r="BF126" s="2738"/>
    </row>
    <row customHeight="1" ht="11.25">
      <c r="A127" s="2080" t="s">
        <v>905</v>
      </c>
      <c r="B127" s="2080"/>
      <c r="C127" s="2080"/>
      <c r="D127" s="2074"/>
      <c r="E127" s="2084"/>
      <c r="F127" s="2744"/>
      <c r="G127" s="2745"/>
      <c r="H127" s="3333" t="s">
        <v>88</v>
      </c>
      <c r="I127" s="3334"/>
      <c r="J127" s="3303"/>
      <c r="K127" s="3335"/>
      <c r="L127" s="2933"/>
      <c r="M127" s="2934"/>
      <c r="N127" s="2089"/>
      <c r="O127" s="2090"/>
      <c r="P127" s="2082" t="s">
        <v>943</v>
      </c>
      <c r="Q127" s="2090"/>
      <c r="R127" s="2090"/>
      <c r="S127" s="2090"/>
      <c r="T127" s="2090"/>
      <c r="U127" s="2090"/>
      <c r="V127" s="2090"/>
      <c r="W127" s="2090"/>
      <c r="X127" s="2090"/>
      <c r="Y127" s="2090"/>
      <c r="Z127" s="2090"/>
      <c r="AA127" s="2090"/>
      <c r="AB127" s="2090"/>
      <c r="AC127" s="2090"/>
      <c r="AD127" s="2090"/>
      <c r="AE127" s="2097"/>
      <c r="AF127" s="3324"/>
      <c r="AG127" s="3325"/>
      <c r="AH127" s="3325"/>
      <c r="AI127" s="3324"/>
      <c r="AJ127" s="3325"/>
      <c r="AK127" s="3325"/>
      <c r="AL127" s="3424"/>
      <c r="AM127" s="2738"/>
      <c r="AN127" s="2738"/>
      <c r="AO127" s="2738"/>
      <c r="AP127" s="2738"/>
      <c r="AQ127" s="2738"/>
      <c r="AR127" s="2738"/>
      <c r="AS127" s="2738"/>
      <c r="AT127" s="2738"/>
      <c r="AU127" s="2738"/>
      <c r="AV127" s="2738"/>
      <c r="AW127" s="2738"/>
      <c r="AX127" s="2738"/>
      <c r="AY127" s="2738"/>
      <c r="AZ127" s="2738"/>
      <c r="BA127" s="2738"/>
      <c r="BB127" s="2738"/>
      <c r="BC127" s="2738"/>
      <c r="BD127" s="2738"/>
      <c r="BE127" s="2738"/>
      <c r="BF127" s="2738"/>
    </row>
    <row customHeight="1" ht="36">
      <c r="A128" s="2080" t="s">
        <v>905</v>
      </c>
      <c r="B128" s="2080" t="s">
        <v>944</v>
      </c>
      <c r="C128" s="2080"/>
      <c r="D128" s="2074"/>
      <c r="E128" s="2084"/>
      <c r="F128" s="2744"/>
      <c r="G128" s="13093" t="s">
        <v>844</v>
      </c>
      <c r="H128" s="3333" t="s">
        <v>105</v>
      </c>
      <c r="I128" s="3334" t="s">
        <v>945</v>
      </c>
      <c r="J128" s="3303" t="s">
        <v>946</v>
      </c>
      <c r="K128" s="3335" t="s">
        <v>969</v>
      </c>
      <c r="L128" s="2933" t="s">
        <v>52</v>
      </c>
      <c r="M128" s="2934"/>
      <c r="N128" s="3422"/>
      <c r="O128" s="2091" t="s">
        <v>367</v>
      </c>
      <c r="P128" s="2092"/>
      <c r="Q128" s="2092"/>
      <c r="R128" s="2092"/>
      <c r="S128" s="2092"/>
      <c r="T128" s="2092"/>
      <c r="U128" s="2092"/>
      <c r="V128" s="2092"/>
      <c r="W128" s="2092"/>
      <c r="X128" s="2092"/>
      <c r="Y128" s="2092"/>
      <c r="Z128" s="2092"/>
      <c r="AA128" s="2092"/>
      <c r="AB128" s="2092"/>
      <c r="AC128" s="2092"/>
      <c r="AD128" s="2092"/>
      <c r="AE128" s="2092"/>
      <c r="AF128" s="3324">
        <v>3</v>
      </c>
      <c r="AG128" s="3325" t="s">
        <v>939</v>
      </c>
      <c r="AH128" s="3325" t="s">
        <v>948</v>
      </c>
      <c r="AI128" s="3324"/>
      <c r="AJ128" s="3325"/>
      <c r="AK128" s="3325"/>
      <c r="AL128" s="3424"/>
      <c r="AM128" s="2738"/>
      <c r="AN128" s="2738"/>
      <c r="AO128" s="2738"/>
      <c r="AP128" s="2738"/>
      <c r="AQ128" s="2738"/>
      <c r="AR128" s="2738"/>
      <c r="AS128" s="2738"/>
      <c r="AT128" s="2738"/>
      <c r="AU128" s="2738"/>
      <c r="AV128" s="2738"/>
      <c r="AW128" s="2738"/>
      <c r="AX128" s="2738"/>
      <c r="AY128" s="2738"/>
      <c r="AZ128" s="2738"/>
      <c r="BA128" s="2738"/>
      <c r="BB128" s="2738"/>
      <c r="BC128" s="2738"/>
      <c r="BD128" s="2738"/>
      <c r="BE128" s="2738"/>
      <c r="BF128" s="2738"/>
    </row>
    <row customHeight="1" ht="11.25">
      <c r="A129" s="2080" t="s">
        <v>905</v>
      </c>
      <c r="B129" s="2080"/>
      <c r="C129" s="2080"/>
      <c r="D129" s="2074"/>
      <c r="E129" s="2084"/>
      <c r="F129" s="2744"/>
      <c r="G129" s="2745"/>
      <c r="H129" s="3333" t="s">
        <v>89</v>
      </c>
      <c r="I129" s="3334"/>
      <c r="J129" s="3303"/>
      <c r="K129" s="3335"/>
      <c r="L129" s="2933"/>
      <c r="M129" s="2934"/>
      <c r="N129" s="3398"/>
      <c r="O129" s="3421">
        <v>1</v>
      </c>
      <c r="P129" s="3328" t="s">
        <v>52</v>
      </c>
      <c r="Q129" s="3331" t="s">
        <v>18</v>
      </c>
      <c r="R129" s="3331" t="s">
        <v>18</v>
      </c>
      <c r="S129" s="3331" t="s">
        <v>18</v>
      </c>
      <c r="T129" s="3331" t="s">
        <v>18</v>
      </c>
      <c r="U129" s="3331" t="s">
        <v>18</v>
      </c>
      <c r="V129" s="3331" t="s">
        <v>18</v>
      </c>
      <c r="W129" s="3331" t="s">
        <v>18</v>
      </c>
      <c r="X129" s="3331" t="s">
        <v>18</v>
      </c>
      <c r="Y129" s="3331"/>
      <c r="Z129" s="2089"/>
      <c r="AA129" s="2090"/>
      <c r="AB129" s="2090"/>
      <c r="AC129" s="2094"/>
      <c r="AD129" s="2094"/>
      <c r="AE129" s="2095"/>
      <c r="AF129" s="3324"/>
      <c r="AG129" s="3325"/>
      <c r="AH129" s="3325"/>
      <c r="AI129" s="3324"/>
      <c r="AJ129" s="3325"/>
      <c r="AK129" s="3325"/>
      <c r="AL129" s="3424"/>
      <c r="AM129" s="2738"/>
      <c r="AN129" s="2738"/>
      <c r="AO129" s="2738"/>
      <c r="AP129" s="2738"/>
      <c r="AQ129" s="2738"/>
      <c r="AR129" s="2738"/>
      <c r="AS129" s="2738"/>
      <c r="AT129" s="2738"/>
      <c r="AU129" s="2738"/>
      <c r="AV129" s="2738"/>
      <c r="AW129" s="2738"/>
      <c r="AX129" s="2738"/>
      <c r="AY129" s="2738"/>
      <c r="AZ129" s="2738"/>
      <c r="BA129" s="2738"/>
      <c r="BB129" s="2738"/>
      <c r="BC129" s="2738"/>
      <c r="BD129" s="2738"/>
      <c r="BE129" s="2738"/>
      <c r="BF129" s="2738"/>
    </row>
    <row customHeight="1" ht="11.25">
      <c r="A130" s="2080" t="s">
        <v>905</v>
      </c>
      <c r="B130" s="2080"/>
      <c r="C130" s="2080"/>
      <c r="D130" s="2074"/>
      <c r="E130" s="2084"/>
      <c r="F130" s="2744"/>
      <c r="G130" s="2745"/>
      <c r="H130" s="3333" t="s">
        <v>89</v>
      </c>
      <c r="I130" s="3334"/>
      <c r="J130" s="3303"/>
      <c r="K130" s="3335"/>
      <c r="L130" s="2933"/>
      <c r="M130" s="2934"/>
      <c r="N130" s="3398"/>
      <c r="O130" s="3421"/>
      <c r="P130" s="3329"/>
      <c r="Q130" s="3331"/>
      <c r="R130" s="3331"/>
      <c r="S130" s="3332"/>
      <c r="T130" s="3331"/>
      <c r="U130" s="3331"/>
      <c r="V130" s="3331"/>
      <c r="W130" s="3331"/>
      <c r="X130" s="3331"/>
      <c r="Y130" s="3331"/>
      <c r="Z130" s="2743"/>
      <c r="AA130" s="2709">
        <v>1</v>
      </c>
      <c r="AB130" s="2093" t="s">
        <v>949</v>
      </c>
      <c r="AC130" s="2083">
        <v>7417.09</v>
      </c>
      <c r="AD130" s="2093" t="str">
        <f>AB130</f>
        <v>      Прочие амортизационные отчисления</v>
      </c>
      <c r="AE130" s="2083"/>
      <c r="AF130" s="3324"/>
      <c r="AG130" s="3325"/>
      <c r="AH130" s="3325"/>
      <c r="AI130" s="3324"/>
      <c r="AJ130" s="3325"/>
      <c r="AK130" s="3325"/>
      <c r="AL130" s="3424"/>
      <c r="AM130" s="2738"/>
      <c r="AN130" s="2738"/>
      <c r="AO130" s="2738"/>
      <c r="AP130" s="2738"/>
      <c r="AQ130" s="2738"/>
      <c r="AR130" s="2738"/>
      <c r="AS130" s="2738"/>
      <c r="AT130" s="2738"/>
      <c r="AU130" s="2738"/>
      <c r="AV130" s="2738"/>
      <c r="AW130" s="2738"/>
      <c r="AX130" s="2738"/>
      <c r="AY130" s="2738"/>
      <c r="AZ130" s="2738"/>
      <c r="BA130" s="2738"/>
      <c r="BB130" s="2738"/>
      <c r="BC130" s="2738"/>
      <c r="BD130" s="2738"/>
      <c r="BE130" s="2738"/>
      <c r="BF130" s="2738"/>
    </row>
    <row customHeight="1" ht="11.25">
      <c r="A131" s="2080" t="s">
        <v>905</v>
      </c>
      <c r="B131" s="2080"/>
      <c r="C131" s="2080"/>
      <c r="D131" s="2074"/>
      <c r="E131" s="2084"/>
      <c r="F131" s="2745"/>
      <c r="G131" s="2745"/>
      <c r="H131" s="2745"/>
      <c r="I131" s="2745"/>
      <c r="J131" s="2745"/>
      <c r="K131" s="2745"/>
      <c r="L131" s="2745"/>
      <c r="M131" s="2745"/>
      <c r="N131" s="2745"/>
      <c r="O131" s="2745"/>
      <c r="P131" s="2745"/>
      <c r="Q131" s="2745"/>
      <c r="R131" s="2745"/>
      <c r="S131" s="2745"/>
      <c r="T131" s="2745"/>
      <c r="U131" s="2745"/>
      <c r="V131" s="2745"/>
      <c r="W131" s="2745"/>
      <c r="X131" s="2745"/>
      <c r="Y131" s="2745"/>
      <c r="Z131" s="13093" t="s">
        <v>844</v>
      </c>
      <c r="AA131" s="2729" t="s">
        <v>103</v>
      </c>
      <c r="AB131" s="2093" t="s">
        <v>941</v>
      </c>
      <c r="AC131" s="2083">
        <v>7909.88</v>
      </c>
      <c r="AD131" s="2093" t="str">
        <f>AB131</f>
        <v>  Прочие</v>
      </c>
      <c r="AE131" s="2083"/>
      <c r="AF131" s="2746"/>
      <c r="AG131" s="2674"/>
      <c r="AH131" s="2674"/>
      <c r="AI131" s="2746"/>
      <c r="AJ131" s="2674"/>
      <c r="AK131" s="3423"/>
      <c r="AL131" s="3424"/>
      <c r="AM131" s="2738"/>
      <c r="AN131" s="2738"/>
      <c r="AO131" s="2738"/>
      <c r="AP131" s="2738"/>
      <c r="AQ131" s="2738"/>
      <c r="AR131" s="2738"/>
      <c r="AS131" s="2738"/>
      <c r="AT131" s="2738"/>
      <c r="AU131" s="2738"/>
      <c r="AV131" s="2738"/>
      <c r="AW131" s="2738"/>
      <c r="AX131" s="2738"/>
      <c r="AY131" s="2738"/>
      <c r="AZ131" s="2738"/>
      <c r="BA131" s="2738"/>
      <c r="BB131" s="2738"/>
      <c r="BC131" s="2738"/>
      <c r="BD131" s="2738"/>
      <c r="BE131" s="2738"/>
      <c r="BF131" s="2738"/>
    </row>
    <row customHeight="1" ht="11.25">
      <c r="A132" s="2080" t="s">
        <v>905</v>
      </c>
      <c r="B132" s="2080"/>
      <c r="C132" s="2080"/>
      <c r="D132" s="2074"/>
      <c r="E132" s="2084"/>
      <c r="F132" s="2744"/>
      <c r="G132" s="2745"/>
      <c r="H132" s="3333" t="s">
        <v>89</v>
      </c>
      <c r="I132" s="3334"/>
      <c r="J132" s="3303"/>
      <c r="K132" s="3335"/>
      <c r="L132" s="2933"/>
      <c r="M132" s="2934"/>
      <c r="N132" s="3398"/>
      <c r="O132" s="3421"/>
      <c r="P132" s="3330"/>
      <c r="Q132" s="3331"/>
      <c r="R132" s="3331"/>
      <c r="S132" s="3332"/>
      <c r="T132" s="3331"/>
      <c r="U132" s="3331"/>
      <c r="V132" s="3331"/>
      <c r="W132" s="3331"/>
      <c r="X132" s="3331"/>
      <c r="Y132" s="3331"/>
      <c r="Z132" s="2089"/>
      <c r="AA132" s="2090"/>
      <c r="AB132" s="2155" t="s">
        <v>942</v>
      </c>
      <c r="AC132" s="2094"/>
      <c r="AD132" s="2094"/>
      <c r="AE132" s="2096"/>
      <c r="AF132" s="3324"/>
      <c r="AG132" s="3325"/>
      <c r="AH132" s="3325"/>
      <c r="AI132" s="3324"/>
      <c r="AJ132" s="3325"/>
      <c r="AK132" s="3325"/>
      <c r="AL132" s="3424"/>
      <c r="AM132" s="2738"/>
      <c r="AN132" s="2738"/>
      <c r="AO132" s="2738"/>
      <c r="AP132" s="2738"/>
      <c r="AQ132" s="2738"/>
      <c r="AR132" s="2738"/>
      <c r="AS132" s="2738"/>
      <c r="AT132" s="2738"/>
      <c r="AU132" s="2738"/>
      <c r="AV132" s="2738"/>
      <c r="AW132" s="2738"/>
      <c r="AX132" s="2738"/>
      <c r="AY132" s="2738"/>
      <c r="AZ132" s="2738"/>
      <c r="BA132" s="2738"/>
      <c r="BB132" s="2738"/>
      <c r="BC132" s="2738"/>
      <c r="BD132" s="2738"/>
      <c r="BE132" s="2738"/>
      <c r="BF132" s="2738"/>
    </row>
    <row customHeight="1" ht="11.25">
      <c r="A133" s="2080" t="s">
        <v>905</v>
      </c>
      <c r="B133" s="2080"/>
      <c r="C133" s="2080"/>
      <c r="D133" s="2074"/>
      <c r="E133" s="2084"/>
      <c r="F133" s="2744"/>
      <c r="G133" s="2745"/>
      <c r="H133" s="3333" t="s">
        <v>89</v>
      </c>
      <c r="I133" s="3334"/>
      <c r="J133" s="3303"/>
      <c r="K133" s="3335"/>
      <c r="L133" s="2933"/>
      <c r="M133" s="2934"/>
      <c r="N133" s="2089"/>
      <c r="O133" s="2090"/>
      <c r="P133" s="2082" t="s">
        <v>943</v>
      </c>
      <c r="Q133" s="2090"/>
      <c r="R133" s="2090"/>
      <c r="S133" s="2090"/>
      <c r="T133" s="2090"/>
      <c r="U133" s="2090"/>
      <c r="V133" s="2090"/>
      <c r="W133" s="2090"/>
      <c r="X133" s="2090"/>
      <c r="Y133" s="2090"/>
      <c r="Z133" s="2090"/>
      <c r="AA133" s="2090"/>
      <c r="AB133" s="2090"/>
      <c r="AC133" s="2090"/>
      <c r="AD133" s="2090"/>
      <c r="AE133" s="2097"/>
      <c r="AF133" s="3324"/>
      <c r="AG133" s="3325"/>
      <c r="AH133" s="3325"/>
      <c r="AI133" s="3324"/>
      <c r="AJ133" s="3325"/>
      <c r="AK133" s="3325"/>
      <c r="AL133" s="3424"/>
      <c r="AM133" s="2738"/>
      <c r="AN133" s="2738"/>
      <c r="AO133" s="2738"/>
      <c r="AP133" s="2738"/>
      <c r="AQ133" s="2738"/>
      <c r="AR133" s="2738"/>
      <c r="AS133" s="2738"/>
      <c r="AT133" s="2738"/>
      <c r="AU133" s="2738"/>
      <c r="AV133" s="2738"/>
      <c r="AW133" s="2738"/>
      <c r="AX133" s="2738"/>
      <c r="AY133" s="2738"/>
      <c r="AZ133" s="2738"/>
      <c r="BA133" s="2738"/>
      <c r="BB133" s="2738"/>
      <c r="BC133" s="2738"/>
      <c r="BD133" s="2738"/>
      <c r="BE133" s="2738"/>
      <c r="BF133" s="2738"/>
    </row>
    <row customHeight="1" ht="23.25">
      <c r="A134" s="2080" t="s">
        <v>905</v>
      </c>
      <c r="B134" s="2080" t="s">
        <v>944</v>
      </c>
      <c r="C134" s="2080"/>
      <c r="D134" s="2074"/>
      <c r="E134" s="2084"/>
      <c r="F134" s="2744"/>
      <c r="G134" s="13093" t="s">
        <v>844</v>
      </c>
      <c r="H134" s="3333" t="s">
        <v>141</v>
      </c>
      <c r="I134" s="3334" t="s">
        <v>945</v>
      </c>
      <c r="J134" s="3303" t="s">
        <v>946</v>
      </c>
      <c r="K134" s="3335" t="s">
        <v>970</v>
      </c>
      <c r="L134" s="2933" t="s">
        <v>52</v>
      </c>
      <c r="M134" s="2934"/>
      <c r="N134" s="3422"/>
      <c r="O134" s="2091" t="s">
        <v>367</v>
      </c>
      <c r="P134" s="2092"/>
      <c r="Q134" s="2092"/>
      <c r="R134" s="2092"/>
      <c r="S134" s="2092"/>
      <c r="T134" s="2092"/>
      <c r="U134" s="2092"/>
      <c r="V134" s="2092"/>
      <c r="W134" s="2092"/>
      <c r="X134" s="2092"/>
      <c r="Y134" s="2092"/>
      <c r="Z134" s="2092"/>
      <c r="AA134" s="2092"/>
      <c r="AB134" s="2092"/>
      <c r="AC134" s="2092"/>
      <c r="AD134" s="2092"/>
      <c r="AE134" s="2092"/>
      <c r="AF134" s="3324">
        <v>3</v>
      </c>
      <c r="AG134" s="3325" t="s">
        <v>939</v>
      </c>
      <c r="AH134" s="3325" t="s">
        <v>948</v>
      </c>
      <c r="AI134" s="3324"/>
      <c r="AJ134" s="3325"/>
      <c r="AK134" s="3325"/>
      <c r="AL134" s="3424"/>
      <c r="AM134" s="2738"/>
      <c r="AN134" s="2738"/>
      <c r="AO134" s="2738"/>
      <c r="AP134" s="2738"/>
      <c r="AQ134" s="2738"/>
      <c r="AR134" s="2738"/>
      <c r="AS134" s="2738"/>
      <c r="AT134" s="2738"/>
      <c r="AU134" s="2738"/>
      <c r="AV134" s="2738"/>
      <c r="AW134" s="2738"/>
      <c r="AX134" s="2738"/>
      <c r="AY134" s="2738"/>
      <c r="AZ134" s="2738"/>
      <c r="BA134" s="2738"/>
      <c r="BB134" s="2738"/>
      <c r="BC134" s="2738"/>
      <c r="BD134" s="2738"/>
      <c r="BE134" s="2738"/>
      <c r="BF134" s="2738"/>
    </row>
    <row customHeight="1" ht="21.75">
      <c r="A135" s="2080" t="s">
        <v>905</v>
      </c>
      <c r="B135" s="2080"/>
      <c r="C135" s="2080"/>
      <c r="D135" s="2074"/>
      <c r="E135" s="2084"/>
      <c r="F135" s="2744"/>
      <c r="G135" s="2745"/>
      <c r="H135" s="3333" t="s">
        <v>105</v>
      </c>
      <c r="I135" s="3334"/>
      <c r="J135" s="3303"/>
      <c r="K135" s="3335"/>
      <c r="L135" s="2933"/>
      <c r="M135" s="2934"/>
      <c r="N135" s="3398"/>
      <c r="O135" s="3421">
        <v>1</v>
      </c>
      <c r="P135" s="3328" t="s">
        <v>52</v>
      </c>
      <c r="Q135" s="3331" t="s">
        <v>18</v>
      </c>
      <c r="R135" s="3331" t="s">
        <v>18</v>
      </c>
      <c r="S135" s="3331" t="s">
        <v>18</v>
      </c>
      <c r="T135" s="3331" t="s">
        <v>18</v>
      </c>
      <c r="U135" s="3331" t="s">
        <v>18</v>
      </c>
      <c r="V135" s="3331" t="s">
        <v>18</v>
      </c>
      <c r="W135" s="3331" t="s">
        <v>18</v>
      </c>
      <c r="X135" s="3331" t="s">
        <v>18</v>
      </c>
      <c r="Y135" s="3331"/>
      <c r="Z135" s="2089"/>
      <c r="AA135" s="2090"/>
      <c r="AB135" s="2090"/>
      <c r="AC135" s="2094"/>
      <c r="AD135" s="2094"/>
      <c r="AE135" s="2095"/>
      <c r="AF135" s="3324"/>
      <c r="AG135" s="3325"/>
      <c r="AH135" s="3325"/>
      <c r="AI135" s="3324"/>
      <c r="AJ135" s="3325"/>
      <c r="AK135" s="3325"/>
      <c r="AL135" s="3424"/>
      <c r="AM135" s="2738"/>
      <c r="AN135" s="2738"/>
      <c r="AO135" s="2738"/>
      <c r="AP135" s="2738"/>
      <c r="AQ135" s="2738"/>
      <c r="AR135" s="2738"/>
      <c r="AS135" s="2738"/>
      <c r="AT135" s="2738"/>
      <c r="AU135" s="2738"/>
      <c r="AV135" s="2738"/>
      <c r="AW135" s="2738"/>
      <c r="AX135" s="2738"/>
      <c r="AY135" s="2738"/>
      <c r="AZ135" s="2738"/>
      <c r="BA135" s="2738"/>
      <c r="BB135" s="2738"/>
      <c r="BC135" s="2738"/>
      <c r="BD135" s="2738"/>
      <c r="BE135" s="2738"/>
      <c r="BF135" s="2738"/>
    </row>
    <row customHeight="1" ht="11.25">
      <c r="A136" s="2080" t="s">
        <v>905</v>
      </c>
      <c r="B136" s="2080"/>
      <c r="C136" s="2080"/>
      <c r="D136" s="2074"/>
      <c r="E136" s="2084"/>
      <c r="F136" s="2744"/>
      <c r="G136" s="2745"/>
      <c r="H136" s="3333" t="s">
        <v>105</v>
      </c>
      <c r="I136" s="3334"/>
      <c r="J136" s="3303"/>
      <c r="K136" s="3335"/>
      <c r="L136" s="2933"/>
      <c r="M136" s="2934"/>
      <c r="N136" s="3398"/>
      <c r="O136" s="3421"/>
      <c r="P136" s="3329"/>
      <c r="Q136" s="3331"/>
      <c r="R136" s="3331"/>
      <c r="S136" s="3332"/>
      <c r="T136" s="3331"/>
      <c r="U136" s="3331"/>
      <c r="V136" s="3331"/>
      <c r="W136" s="3331"/>
      <c r="X136" s="3331"/>
      <c r="Y136" s="3331"/>
      <c r="Z136" s="2743"/>
      <c r="AA136" s="2709">
        <v>1</v>
      </c>
      <c r="AB136" s="2093" t="s">
        <v>941</v>
      </c>
      <c r="AC136" s="2083">
        <v>269050</v>
      </c>
      <c r="AD136" s="2093" t="str">
        <f>AB136</f>
        <v>  Прочие</v>
      </c>
      <c r="AE136" s="2083"/>
      <c r="AF136" s="3324"/>
      <c r="AG136" s="3325"/>
      <c r="AH136" s="3325"/>
      <c r="AI136" s="3324"/>
      <c r="AJ136" s="3325"/>
      <c r="AK136" s="3325"/>
      <c r="AL136" s="3424"/>
      <c r="AM136" s="2738"/>
      <c r="AN136" s="2738"/>
      <c r="AO136" s="2738"/>
      <c r="AP136" s="2738"/>
      <c r="AQ136" s="2738"/>
      <c r="AR136" s="2738"/>
      <c r="AS136" s="2738"/>
      <c r="AT136" s="2738"/>
      <c r="AU136" s="2738"/>
      <c r="AV136" s="2738"/>
      <c r="AW136" s="2738"/>
      <c r="AX136" s="2738"/>
      <c r="AY136" s="2738"/>
      <c r="AZ136" s="2738"/>
      <c r="BA136" s="2738"/>
      <c r="BB136" s="2738"/>
      <c r="BC136" s="2738"/>
      <c r="BD136" s="2738"/>
      <c r="BE136" s="2738"/>
      <c r="BF136" s="2738"/>
    </row>
    <row customHeight="1" ht="16.5">
      <c r="A137" s="2080" t="s">
        <v>905</v>
      </c>
      <c r="B137" s="2080"/>
      <c r="C137" s="2080"/>
      <c r="D137" s="2074"/>
      <c r="E137" s="2084"/>
      <c r="F137" s="2744"/>
      <c r="G137" s="2745"/>
      <c r="H137" s="3333" t="s">
        <v>105</v>
      </c>
      <c r="I137" s="3334"/>
      <c r="J137" s="3303"/>
      <c r="K137" s="3335"/>
      <c r="L137" s="2933"/>
      <c r="M137" s="2934"/>
      <c r="N137" s="3398"/>
      <c r="O137" s="3421"/>
      <c r="P137" s="3330"/>
      <c r="Q137" s="3331"/>
      <c r="R137" s="3331"/>
      <c r="S137" s="3332"/>
      <c r="T137" s="3331"/>
      <c r="U137" s="3331"/>
      <c r="V137" s="3331"/>
      <c r="W137" s="3331"/>
      <c r="X137" s="3331"/>
      <c r="Y137" s="3331"/>
      <c r="Z137" s="2089"/>
      <c r="AA137" s="2090"/>
      <c r="AB137" s="2155" t="s">
        <v>942</v>
      </c>
      <c r="AC137" s="2094"/>
      <c r="AD137" s="2094"/>
      <c r="AE137" s="2096"/>
      <c r="AF137" s="3324"/>
      <c r="AG137" s="3325"/>
      <c r="AH137" s="3325"/>
      <c r="AI137" s="3324"/>
      <c r="AJ137" s="3325"/>
      <c r="AK137" s="3325"/>
      <c r="AL137" s="3424"/>
      <c r="AM137" s="2738"/>
      <c r="AN137" s="2738"/>
      <c r="AO137" s="2738"/>
      <c r="AP137" s="2738"/>
      <c r="AQ137" s="2738"/>
      <c r="AR137" s="2738"/>
      <c r="AS137" s="2738"/>
      <c r="AT137" s="2738"/>
      <c r="AU137" s="2738"/>
      <c r="AV137" s="2738"/>
      <c r="AW137" s="2738"/>
      <c r="AX137" s="2738"/>
      <c r="AY137" s="2738"/>
      <c r="AZ137" s="2738"/>
      <c r="BA137" s="2738"/>
      <c r="BB137" s="2738"/>
      <c r="BC137" s="2738"/>
      <c r="BD137" s="2738"/>
      <c r="BE137" s="2738"/>
      <c r="BF137" s="2738"/>
    </row>
    <row customHeight="1" ht="11.25">
      <c r="A138" s="2080" t="s">
        <v>905</v>
      </c>
      <c r="B138" s="2080"/>
      <c r="C138" s="2080"/>
      <c r="D138" s="2074"/>
      <c r="E138" s="2084"/>
      <c r="F138" s="2744"/>
      <c r="G138" s="2745"/>
      <c r="H138" s="3333" t="s">
        <v>105</v>
      </c>
      <c r="I138" s="3334"/>
      <c r="J138" s="3303"/>
      <c r="K138" s="3335"/>
      <c r="L138" s="2933"/>
      <c r="M138" s="2934"/>
      <c r="N138" s="2089"/>
      <c r="O138" s="2090"/>
      <c r="P138" s="2082" t="s">
        <v>943</v>
      </c>
      <c r="Q138" s="2090"/>
      <c r="R138" s="2090"/>
      <c r="S138" s="2090"/>
      <c r="T138" s="2090"/>
      <c r="U138" s="2090"/>
      <c r="V138" s="2090"/>
      <c r="W138" s="2090"/>
      <c r="X138" s="2090"/>
      <c r="Y138" s="2090"/>
      <c r="Z138" s="2090"/>
      <c r="AA138" s="2090"/>
      <c r="AB138" s="2090"/>
      <c r="AC138" s="2090"/>
      <c r="AD138" s="2090"/>
      <c r="AE138" s="2097"/>
      <c r="AF138" s="3324"/>
      <c r="AG138" s="3325"/>
      <c r="AH138" s="3325"/>
      <c r="AI138" s="3324"/>
      <c r="AJ138" s="3325"/>
      <c r="AK138" s="3325"/>
      <c r="AL138" s="3424"/>
      <c r="AM138" s="2738"/>
      <c r="AN138" s="2738"/>
      <c r="AO138" s="2738"/>
      <c r="AP138" s="2738"/>
      <c r="AQ138" s="2738"/>
      <c r="AR138" s="2738"/>
      <c r="AS138" s="2738"/>
      <c r="AT138" s="2738"/>
      <c r="AU138" s="2738"/>
      <c r="AV138" s="2738"/>
      <c r="AW138" s="2738"/>
      <c r="AX138" s="2738"/>
      <c r="AY138" s="2738"/>
      <c r="AZ138" s="2738"/>
      <c r="BA138" s="2738"/>
      <c r="BB138" s="2738"/>
      <c r="BC138" s="2738"/>
      <c r="BD138" s="2738"/>
      <c r="BE138" s="2738"/>
      <c r="BF138" s="2738"/>
    </row>
    <row customHeight="1" ht="24">
      <c r="A139" s="2080" t="s">
        <v>905</v>
      </c>
      <c r="B139" s="2080" t="s">
        <v>944</v>
      </c>
      <c r="C139" s="2080"/>
      <c r="D139" s="2074"/>
      <c r="E139" s="2084"/>
      <c r="F139" s="2744"/>
      <c r="G139" s="13093" t="s">
        <v>844</v>
      </c>
      <c r="H139" s="3333" t="s">
        <v>142</v>
      </c>
      <c r="I139" s="3334" t="s">
        <v>945</v>
      </c>
      <c r="J139" s="3303" t="s">
        <v>946</v>
      </c>
      <c r="K139" s="3335" t="s">
        <v>971</v>
      </c>
      <c r="L139" s="2933" t="s">
        <v>52</v>
      </c>
      <c r="M139" s="2934"/>
      <c r="N139" s="3422"/>
      <c r="O139" s="2091" t="s">
        <v>367</v>
      </c>
      <c r="P139" s="2092"/>
      <c r="Q139" s="2092"/>
      <c r="R139" s="2092"/>
      <c r="S139" s="2092"/>
      <c r="T139" s="2092"/>
      <c r="U139" s="2092"/>
      <c r="V139" s="2092"/>
      <c r="W139" s="2092"/>
      <c r="X139" s="2092"/>
      <c r="Y139" s="2092"/>
      <c r="Z139" s="2092"/>
      <c r="AA139" s="2092"/>
      <c r="AB139" s="2092"/>
      <c r="AC139" s="2092"/>
      <c r="AD139" s="2092"/>
      <c r="AE139" s="2092"/>
      <c r="AF139" s="3324">
        <v>4</v>
      </c>
      <c r="AG139" s="3325" t="s">
        <v>939</v>
      </c>
      <c r="AH139" s="3325" t="s">
        <v>958</v>
      </c>
      <c r="AI139" s="3324"/>
      <c r="AJ139" s="3325"/>
      <c r="AK139" s="3325"/>
      <c r="AL139" s="3424"/>
      <c r="AM139" s="2738"/>
      <c r="AN139" s="2738"/>
      <c r="AO139" s="2738"/>
      <c r="AP139" s="2738"/>
      <c r="AQ139" s="2738"/>
      <c r="AR139" s="2738"/>
      <c r="AS139" s="2738"/>
      <c r="AT139" s="2738"/>
      <c r="AU139" s="2738"/>
      <c r="AV139" s="2738"/>
      <c r="AW139" s="2738"/>
      <c r="AX139" s="2738"/>
      <c r="AY139" s="2738"/>
      <c r="AZ139" s="2738"/>
      <c r="BA139" s="2738"/>
      <c r="BB139" s="2738"/>
      <c r="BC139" s="2738"/>
      <c r="BD139" s="2738"/>
      <c r="BE139" s="2738"/>
      <c r="BF139" s="2738"/>
    </row>
    <row customHeight="1" ht="18">
      <c r="A140" s="2080" t="s">
        <v>905</v>
      </c>
      <c r="B140" s="2080"/>
      <c r="C140" s="2080"/>
      <c r="D140" s="2074"/>
      <c r="E140" s="2084"/>
      <c r="F140" s="2744"/>
      <c r="G140" s="2745"/>
      <c r="H140" s="3333" t="s">
        <v>141</v>
      </c>
      <c r="I140" s="3334"/>
      <c r="J140" s="3303"/>
      <c r="K140" s="3335"/>
      <c r="L140" s="2933"/>
      <c r="M140" s="2934"/>
      <c r="N140" s="3398"/>
      <c r="O140" s="3421">
        <v>1</v>
      </c>
      <c r="P140" s="3328" t="s">
        <v>52</v>
      </c>
      <c r="Q140" s="3331" t="s">
        <v>18</v>
      </c>
      <c r="R140" s="3331" t="s">
        <v>18</v>
      </c>
      <c r="S140" s="3331" t="s">
        <v>18</v>
      </c>
      <c r="T140" s="3331" t="s">
        <v>18</v>
      </c>
      <c r="U140" s="3331" t="s">
        <v>18</v>
      </c>
      <c r="V140" s="3331" t="s">
        <v>18</v>
      </c>
      <c r="W140" s="3331" t="s">
        <v>18</v>
      </c>
      <c r="X140" s="3331" t="s">
        <v>18</v>
      </c>
      <c r="Y140" s="3331"/>
      <c r="Z140" s="2089"/>
      <c r="AA140" s="2090"/>
      <c r="AB140" s="2090"/>
      <c r="AC140" s="2094"/>
      <c r="AD140" s="2094"/>
      <c r="AE140" s="2095"/>
      <c r="AF140" s="3324"/>
      <c r="AG140" s="3325"/>
      <c r="AH140" s="3325"/>
      <c r="AI140" s="3324"/>
      <c r="AJ140" s="3325"/>
      <c r="AK140" s="3325"/>
      <c r="AL140" s="3424"/>
      <c r="AM140" s="2738"/>
      <c r="AN140" s="2738"/>
      <c r="AO140" s="2738"/>
      <c r="AP140" s="2738"/>
      <c r="AQ140" s="2738"/>
      <c r="AR140" s="2738"/>
      <c r="AS140" s="2738"/>
      <c r="AT140" s="2738"/>
      <c r="AU140" s="2738"/>
      <c r="AV140" s="2738"/>
      <c r="AW140" s="2738"/>
      <c r="AX140" s="2738"/>
      <c r="AY140" s="2738"/>
      <c r="AZ140" s="2738"/>
      <c r="BA140" s="2738"/>
      <c r="BB140" s="2738"/>
      <c r="BC140" s="2738"/>
      <c r="BD140" s="2738"/>
      <c r="BE140" s="2738"/>
      <c r="BF140" s="2738"/>
    </row>
    <row customHeight="1" ht="11.25">
      <c r="A141" s="2080" t="s">
        <v>905</v>
      </c>
      <c r="B141" s="2080"/>
      <c r="C141" s="2080"/>
      <c r="D141" s="2074"/>
      <c r="E141" s="2084"/>
      <c r="F141" s="2744"/>
      <c r="G141" s="2745"/>
      <c r="H141" s="3333" t="s">
        <v>141</v>
      </c>
      <c r="I141" s="3334"/>
      <c r="J141" s="3303"/>
      <c r="K141" s="3335"/>
      <c r="L141" s="2933"/>
      <c r="M141" s="2934"/>
      <c r="N141" s="3398"/>
      <c r="O141" s="3421"/>
      <c r="P141" s="3329"/>
      <c r="Q141" s="3331"/>
      <c r="R141" s="3331"/>
      <c r="S141" s="3332"/>
      <c r="T141" s="3331"/>
      <c r="U141" s="3331"/>
      <c r="V141" s="3331"/>
      <c r="W141" s="3331"/>
      <c r="X141" s="3331"/>
      <c r="Y141" s="3331"/>
      <c r="Z141" s="2743"/>
      <c r="AA141" s="2709">
        <v>1</v>
      </c>
      <c r="AB141" s="2093" t="s">
        <v>949</v>
      </c>
      <c r="AC141" s="2083">
        <v>445192.01</v>
      </c>
      <c r="AD141" s="2093" t="str">
        <f>AB141</f>
        <v>      Прочие амортизационные отчисления</v>
      </c>
      <c r="AE141" s="2083"/>
      <c r="AF141" s="3324"/>
      <c r="AG141" s="3325"/>
      <c r="AH141" s="3325"/>
      <c r="AI141" s="3324"/>
      <c r="AJ141" s="3325"/>
      <c r="AK141" s="3325"/>
      <c r="AL141" s="3424"/>
      <c r="AM141" s="2738"/>
      <c r="AN141" s="2738"/>
      <c r="AO141" s="2738"/>
      <c r="AP141" s="2738"/>
      <c r="AQ141" s="2738"/>
      <c r="AR141" s="2738"/>
      <c r="AS141" s="2738"/>
      <c r="AT141" s="2738"/>
      <c r="AU141" s="2738"/>
      <c r="AV141" s="2738"/>
      <c r="AW141" s="2738"/>
      <c r="AX141" s="2738"/>
      <c r="AY141" s="2738"/>
      <c r="AZ141" s="2738"/>
      <c r="BA141" s="2738"/>
      <c r="BB141" s="2738"/>
      <c r="BC141" s="2738"/>
      <c r="BD141" s="2738"/>
      <c r="BE141" s="2738"/>
      <c r="BF141" s="2738"/>
    </row>
    <row customHeight="1" ht="11.25">
      <c r="A142" s="2080" t="s">
        <v>905</v>
      </c>
      <c r="B142" s="2080"/>
      <c r="C142" s="2080"/>
      <c r="D142" s="2074"/>
      <c r="E142" s="2084"/>
      <c r="F142" s="2745"/>
      <c r="G142" s="2745"/>
      <c r="H142" s="2745"/>
      <c r="I142" s="2745"/>
      <c r="J142" s="2745"/>
      <c r="K142" s="2745"/>
      <c r="L142" s="2745"/>
      <c r="M142" s="2745"/>
      <c r="N142" s="2745"/>
      <c r="O142" s="2745"/>
      <c r="P142" s="2745"/>
      <c r="Q142" s="2745"/>
      <c r="R142" s="2745"/>
      <c r="S142" s="2745"/>
      <c r="T142" s="2745"/>
      <c r="U142" s="2745"/>
      <c r="V142" s="2745"/>
      <c r="W142" s="2745"/>
      <c r="X142" s="2745"/>
      <c r="Y142" s="2745"/>
      <c r="Z142" s="13093" t="s">
        <v>844</v>
      </c>
      <c r="AA142" s="2729" t="s">
        <v>103</v>
      </c>
      <c r="AB142" s="2093" t="s">
        <v>941</v>
      </c>
      <c r="AC142" s="2083">
        <v>422594.47</v>
      </c>
      <c r="AD142" s="2093" t="str">
        <f>AB142</f>
        <v>  Прочие</v>
      </c>
      <c r="AE142" s="2083"/>
      <c r="AF142" s="2746"/>
      <c r="AG142" s="2674"/>
      <c r="AH142" s="2674"/>
      <c r="AI142" s="2746"/>
      <c r="AJ142" s="2674"/>
      <c r="AK142" s="3423"/>
      <c r="AL142" s="3424"/>
      <c r="AM142" s="2738"/>
      <c r="AN142" s="2738"/>
      <c r="AO142" s="2738"/>
      <c r="AP142" s="2738"/>
      <c r="AQ142" s="2738"/>
      <c r="AR142" s="2738"/>
      <c r="AS142" s="2738"/>
      <c r="AT142" s="2738"/>
      <c r="AU142" s="2738"/>
      <c r="AV142" s="2738"/>
      <c r="AW142" s="2738"/>
      <c r="AX142" s="2738"/>
      <c r="AY142" s="2738"/>
      <c r="AZ142" s="2738"/>
      <c r="BA142" s="2738"/>
      <c r="BB142" s="2738"/>
      <c r="BC142" s="2738"/>
      <c r="BD142" s="2738"/>
      <c r="BE142" s="2738"/>
      <c r="BF142" s="2738"/>
    </row>
    <row customHeight="1" ht="11.25">
      <c r="A143" s="2080" t="s">
        <v>905</v>
      </c>
      <c r="B143" s="2080"/>
      <c r="C143" s="2080"/>
      <c r="D143" s="2074"/>
      <c r="E143" s="2084"/>
      <c r="F143" s="2744"/>
      <c r="G143" s="2745"/>
      <c r="H143" s="3333" t="s">
        <v>141</v>
      </c>
      <c r="I143" s="3334"/>
      <c r="J143" s="3303"/>
      <c r="K143" s="3335"/>
      <c r="L143" s="2933"/>
      <c r="M143" s="2934"/>
      <c r="N143" s="3398"/>
      <c r="O143" s="3421"/>
      <c r="P143" s="3330"/>
      <c r="Q143" s="3331"/>
      <c r="R143" s="3331"/>
      <c r="S143" s="3332"/>
      <c r="T143" s="3331"/>
      <c r="U143" s="3331"/>
      <c r="V143" s="3331"/>
      <c r="W143" s="3331"/>
      <c r="X143" s="3331"/>
      <c r="Y143" s="3331"/>
      <c r="Z143" s="2089"/>
      <c r="AA143" s="2090"/>
      <c r="AB143" s="2155" t="s">
        <v>942</v>
      </c>
      <c r="AC143" s="2094"/>
      <c r="AD143" s="2094"/>
      <c r="AE143" s="2096"/>
      <c r="AF143" s="3324"/>
      <c r="AG143" s="3325"/>
      <c r="AH143" s="3325"/>
      <c r="AI143" s="3324"/>
      <c r="AJ143" s="3325"/>
      <c r="AK143" s="3325"/>
      <c r="AL143" s="3424"/>
      <c r="AM143" s="2738"/>
      <c r="AN143" s="2738"/>
      <c r="AO143" s="2738"/>
      <c r="AP143" s="2738"/>
      <c r="AQ143" s="2738"/>
      <c r="AR143" s="2738"/>
      <c r="AS143" s="2738"/>
      <c r="AT143" s="2738"/>
      <c r="AU143" s="2738"/>
      <c r="AV143" s="2738"/>
      <c r="AW143" s="2738"/>
      <c r="AX143" s="2738"/>
      <c r="AY143" s="2738"/>
      <c r="AZ143" s="2738"/>
      <c r="BA143" s="2738"/>
      <c r="BB143" s="2738"/>
      <c r="BC143" s="2738"/>
      <c r="BD143" s="2738"/>
      <c r="BE143" s="2738"/>
      <c r="BF143" s="2738"/>
    </row>
    <row customHeight="1" ht="11.25">
      <c r="A144" s="2080" t="s">
        <v>905</v>
      </c>
      <c r="B144" s="2080"/>
      <c r="C144" s="2080"/>
      <c r="D144" s="2074"/>
      <c r="E144" s="2084"/>
      <c r="F144" s="2744"/>
      <c r="G144" s="2745"/>
      <c r="H144" s="3333" t="s">
        <v>141</v>
      </c>
      <c r="I144" s="3334"/>
      <c r="J144" s="3303"/>
      <c r="K144" s="3335"/>
      <c r="L144" s="2933"/>
      <c r="M144" s="2934"/>
      <c r="N144" s="2089"/>
      <c r="O144" s="2090"/>
      <c r="P144" s="2082" t="s">
        <v>943</v>
      </c>
      <c r="Q144" s="2090"/>
      <c r="R144" s="2090"/>
      <c r="S144" s="2090"/>
      <c r="T144" s="2090"/>
      <c r="U144" s="2090"/>
      <c r="V144" s="2090"/>
      <c r="W144" s="2090"/>
      <c r="X144" s="2090"/>
      <c r="Y144" s="2090"/>
      <c r="Z144" s="2090"/>
      <c r="AA144" s="2090"/>
      <c r="AB144" s="2090"/>
      <c r="AC144" s="2090"/>
      <c r="AD144" s="2090"/>
      <c r="AE144" s="2097"/>
      <c r="AF144" s="3324"/>
      <c r="AG144" s="3325"/>
      <c r="AH144" s="3325"/>
      <c r="AI144" s="3324"/>
      <c r="AJ144" s="3325"/>
      <c r="AK144" s="3325"/>
      <c r="AL144" s="3424"/>
      <c r="AM144" s="2738"/>
      <c r="AN144" s="2738"/>
      <c r="AO144" s="2738"/>
      <c r="AP144" s="2738"/>
      <c r="AQ144" s="2738"/>
      <c r="AR144" s="2738"/>
      <c r="AS144" s="2738"/>
      <c r="AT144" s="2738"/>
      <c r="AU144" s="2738"/>
      <c r="AV144" s="2738"/>
      <c r="AW144" s="2738"/>
      <c r="AX144" s="2738"/>
      <c r="AY144" s="2738"/>
      <c r="AZ144" s="2738"/>
      <c r="BA144" s="2738"/>
      <c r="BB144" s="2738"/>
      <c r="BC144" s="2738"/>
      <c r="BD144" s="2738"/>
      <c r="BE144" s="2738"/>
      <c r="BF144" s="2738"/>
    </row>
    <row customHeight="1" ht="11.25">
      <c r="A145" s="2080" t="s">
        <v>905</v>
      </c>
      <c r="B145" s="2080" t="s">
        <v>944</v>
      </c>
      <c r="C145" s="2080"/>
      <c r="D145" s="2074"/>
      <c r="E145" s="2084"/>
      <c r="F145" s="2744"/>
      <c r="G145" s="13093" t="s">
        <v>844</v>
      </c>
      <c r="H145" s="3333" t="s">
        <v>143</v>
      </c>
      <c r="I145" s="3334" t="s">
        <v>945</v>
      </c>
      <c r="J145" s="3303" t="s">
        <v>946</v>
      </c>
      <c r="K145" s="3335" t="s">
        <v>952</v>
      </c>
      <c r="L145" s="2933" t="s">
        <v>52</v>
      </c>
      <c r="M145" s="2934"/>
      <c r="N145" s="3422"/>
      <c r="O145" s="2091" t="s">
        <v>367</v>
      </c>
      <c r="P145" s="2092"/>
      <c r="Q145" s="2092"/>
      <c r="R145" s="2092"/>
      <c r="S145" s="2092"/>
      <c r="T145" s="2092"/>
      <c r="U145" s="2092"/>
      <c r="V145" s="2092"/>
      <c r="W145" s="2092"/>
      <c r="X145" s="2092"/>
      <c r="Y145" s="2092"/>
      <c r="Z145" s="2092"/>
      <c r="AA145" s="2092"/>
      <c r="AB145" s="2092"/>
      <c r="AC145" s="2092"/>
      <c r="AD145" s="2092"/>
      <c r="AE145" s="2092"/>
      <c r="AF145" s="3324">
        <v>5</v>
      </c>
      <c r="AG145" s="3325" t="s">
        <v>939</v>
      </c>
      <c r="AH145" s="3325" t="s">
        <v>953</v>
      </c>
      <c r="AI145" s="3324"/>
      <c r="AJ145" s="3325"/>
      <c r="AK145" s="3325"/>
      <c r="AL145" s="3424"/>
      <c r="AM145" s="2738"/>
      <c r="AN145" s="2738"/>
      <c r="AO145" s="2738"/>
      <c r="AP145" s="2738"/>
      <c r="AQ145" s="2738"/>
      <c r="AR145" s="2738"/>
      <c r="AS145" s="2738"/>
      <c r="AT145" s="2738"/>
      <c r="AU145" s="2738"/>
      <c r="AV145" s="2738"/>
      <c r="AW145" s="2738"/>
      <c r="AX145" s="2738"/>
      <c r="AY145" s="2738"/>
      <c r="AZ145" s="2738"/>
      <c r="BA145" s="2738"/>
      <c r="BB145" s="2738"/>
      <c r="BC145" s="2738"/>
      <c r="BD145" s="2738"/>
      <c r="BE145" s="2738"/>
      <c r="BF145" s="2738"/>
    </row>
    <row customHeight="1" ht="43.5">
      <c r="A146" s="2080" t="s">
        <v>905</v>
      </c>
      <c r="B146" s="2080"/>
      <c r="C146" s="2080"/>
      <c r="D146" s="2074"/>
      <c r="E146" s="2084"/>
      <c r="F146" s="2744"/>
      <c r="G146" s="2745"/>
      <c r="H146" s="3333" t="s">
        <v>142</v>
      </c>
      <c r="I146" s="3334"/>
      <c r="J146" s="3303"/>
      <c r="K146" s="3335"/>
      <c r="L146" s="2933"/>
      <c r="M146" s="2934"/>
      <c r="N146" s="3398"/>
      <c r="O146" s="3421">
        <v>1</v>
      </c>
      <c r="P146" s="3328" t="s">
        <v>52</v>
      </c>
      <c r="Q146" s="3331" t="s">
        <v>18</v>
      </c>
      <c r="R146" s="3331" t="s">
        <v>18</v>
      </c>
      <c r="S146" s="3331" t="s">
        <v>18</v>
      </c>
      <c r="T146" s="3331" t="s">
        <v>18</v>
      </c>
      <c r="U146" s="3331" t="s">
        <v>18</v>
      </c>
      <c r="V146" s="3331" t="s">
        <v>18</v>
      </c>
      <c r="W146" s="3331" t="s">
        <v>18</v>
      </c>
      <c r="X146" s="3331" t="s">
        <v>18</v>
      </c>
      <c r="Y146" s="3331"/>
      <c r="Z146" s="2089"/>
      <c r="AA146" s="2090"/>
      <c r="AB146" s="2090"/>
      <c r="AC146" s="2094"/>
      <c r="AD146" s="2094"/>
      <c r="AE146" s="2095"/>
      <c r="AF146" s="3324"/>
      <c r="AG146" s="3325"/>
      <c r="AH146" s="3325"/>
      <c r="AI146" s="3324"/>
      <c r="AJ146" s="3325"/>
      <c r="AK146" s="3325"/>
      <c r="AL146" s="3424"/>
      <c r="AM146" s="2738"/>
      <c r="AN146" s="2738"/>
      <c r="AO146" s="2738"/>
      <c r="AP146" s="2738"/>
      <c r="AQ146" s="2738"/>
      <c r="AR146" s="2738"/>
      <c r="AS146" s="2738"/>
      <c r="AT146" s="2738"/>
      <c r="AU146" s="2738"/>
      <c r="AV146" s="2738"/>
      <c r="AW146" s="2738"/>
      <c r="AX146" s="2738"/>
      <c r="AY146" s="2738"/>
      <c r="AZ146" s="2738"/>
      <c r="BA146" s="2738"/>
      <c r="BB146" s="2738"/>
      <c r="BC146" s="2738"/>
      <c r="BD146" s="2738"/>
      <c r="BE146" s="2738"/>
      <c r="BF146" s="2738"/>
    </row>
    <row customHeight="1" ht="27">
      <c r="A147" s="2080" t="s">
        <v>905</v>
      </c>
      <c r="B147" s="2080"/>
      <c r="C147" s="2080"/>
      <c r="D147" s="2074"/>
      <c r="E147" s="2084"/>
      <c r="F147" s="2744"/>
      <c r="G147" s="2745"/>
      <c r="H147" s="3333" t="s">
        <v>142</v>
      </c>
      <c r="I147" s="3334"/>
      <c r="J147" s="3303"/>
      <c r="K147" s="3335"/>
      <c r="L147" s="2933"/>
      <c r="M147" s="2934"/>
      <c r="N147" s="3398"/>
      <c r="O147" s="3421"/>
      <c r="P147" s="3329"/>
      <c r="Q147" s="3331"/>
      <c r="R147" s="3331"/>
      <c r="S147" s="3332"/>
      <c r="T147" s="3331"/>
      <c r="U147" s="3331"/>
      <c r="V147" s="3331"/>
      <c r="W147" s="3331"/>
      <c r="X147" s="3331"/>
      <c r="Y147" s="3331"/>
      <c r="Z147" s="2743"/>
      <c r="AA147" s="2709">
        <v>1</v>
      </c>
      <c r="AB147" s="2093" t="s">
        <v>949</v>
      </c>
      <c r="AC147" s="2083">
        <v>35191.58</v>
      </c>
      <c r="AD147" s="2093" t="str">
        <f>AB147</f>
        <v>      Прочие амортизационные отчисления</v>
      </c>
      <c r="AE147" s="2083"/>
      <c r="AF147" s="3324"/>
      <c r="AG147" s="3325"/>
      <c r="AH147" s="3325"/>
      <c r="AI147" s="3324"/>
      <c r="AJ147" s="3325"/>
      <c r="AK147" s="3325"/>
      <c r="AL147" s="3424"/>
      <c r="AM147" s="2738"/>
      <c r="AN147" s="2738"/>
      <c r="AO147" s="2738"/>
      <c r="AP147" s="2738"/>
      <c r="AQ147" s="2738"/>
      <c r="AR147" s="2738"/>
      <c r="AS147" s="2738"/>
      <c r="AT147" s="2738"/>
      <c r="AU147" s="2738"/>
      <c r="AV147" s="2738"/>
      <c r="AW147" s="2738"/>
      <c r="AX147" s="2738"/>
      <c r="AY147" s="2738"/>
      <c r="AZ147" s="2738"/>
      <c r="BA147" s="2738"/>
      <c r="BB147" s="2738"/>
      <c r="BC147" s="2738"/>
      <c r="BD147" s="2738"/>
      <c r="BE147" s="2738"/>
      <c r="BF147" s="2738"/>
    </row>
    <row customHeight="1" ht="11.25">
      <c r="A148" s="2080" t="s">
        <v>905</v>
      </c>
      <c r="B148" s="2080"/>
      <c r="C148" s="2080"/>
      <c r="D148" s="2074"/>
      <c r="E148" s="2084"/>
      <c r="F148" s="2745"/>
      <c r="G148" s="2745"/>
      <c r="H148" s="2745"/>
      <c r="I148" s="2745"/>
      <c r="J148" s="2745"/>
      <c r="K148" s="2745"/>
      <c r="L148" s="2745"/>
      <c r="M148" s="2745"/>
      <c r="N148" s="2745"/>
      <c r="O148" s="2745"/>
      <c r="P148" s="2745"/>
      <c r="Q148" s="2745"/>
      <c r="R148" s="2745"/>
      <c r="S148" s="2745"/>
      <c r="T148" s="2745"/>
      <c r="U148" s="2745"/>
      <c r="V148" s="2745"/>
      <c r="W148" s="2745"/>
      <c r="X148" s="2745"/>
      <c r="Y148" s="2745"/>
      <c r="Z148" s="13093" t="s">
        <v>844</v>
      </c>
      <c r="AA148" s="2729" t="s">
        <v>103</v>
      </c>
      <c r="AB148" s="2093" t="s">
        <v>941</v>
      </c>
      <c r="AC148" s="2083">
        <v>37529.72</v>
      </c>
      <c r="AD148" s="2093" t="str">
        <f>AB148</f>
        <v>  Прочие</v>
      </c>
      <c r="AE148" s="2083"/>
      <c r="AF148" s="2746"/>
      <c r="AG148" s="2674"/>
      <c r="AH148" s="2674"/>
      <c r="AI148" s="2746"/>
      <c r="AJ148" s="2674"/>
      <c r="AK148" s="3423"/>
      <c r="AL148" s="3424"/>
      <c r="AM148" s="2738"/>
      <c r="AN148" s="2738"/>
      <c r="AO148" s="2738"/>
      <c r="AP148" s="2738"/>
      <c r="AQ148" s="2738"/>
      <c r="AR148" s="2738"/>
      <c r="AS148" s="2738"/>
      <c r="AT148" s="2738"/>
      <c r="AU148" s="2738"/>
      <c r="AV148" s="2738"/>
      <c r="AW148" s="2738"/>
      <c r="AX148" s="2738"/>
      <c r="AY148" s="2738"/>
      <c r="AZ148" s="2738"/>
      <c r="BA148" s="2738"/>
      <c r="BB148" s="2738"/>
      <c r="BC148" s="2738"/>
      <c r="BD148" s="2738"/>
      <c r="BE148" s="2738"/>
      <c r="BF148" s="2738"/>
    </row>
    <row customHeight="1" ht="45">
      <c r="A149" s="2080" t="s">
        <v>905</v>
      </c>
      <c r="B149" s="2080"/>
      <c r="C149" s="2080"/>
      <c r="D149" s="2074"/>
      <c r="E149" s="2084"/>
      <c r="F149" s="2744"/>
      <c r="G149" s="2745"/>
      <c r="H149" s="3333" t="s">
        <v>142</v>
      </c>
      <c r="I149" s="3334"/>
      <c r="J149" s="3303"/>
      <c r="K149" s="3335"/>
      <c r="L149" s="2933"/>
      <c r="M149" s="2934"/>
      <c r="N149" s="3398"/>
      <c r="O149" s="3421"/>
      <c r="P149" s="3330"/>
      <c r="Q149" s="3331"/>
      <c r="R149" s="3331"/>
      <c r="S149" s="3332"/>
      <c r="T149" s="3331"/>
      <c r="U149" s="3331"/>
      <c r="V149" s="3331"/>
      <c r="W149" s="3331"/>
      <c r="X149" s="3331"/>
      <c r="Y149" s="3331"/>
      <c r="Z149" s="2089"/>
      <c r="AA149" s="2090"/>
      <c r="AB149" s="2155" t="s">
        <v>942</v>
      </c>
      <c r="AC149" s="2094"/>
      <c r="AD149" s="2094"/>
      <c r="AE149" s="2096"/>
      <c r="AF149" s="3324"/>
      <c r="AG149" s="3325"/>
      <c r="AH149" s="3325"/>
      <c r="AI149" s="3324"/>
      <c r="AJ149" s="3325"/>
      <c r="AK149" s="3325"/>
      <c r="AL149" s="3424"/>
      <c r="AM149" s="2738"/>
      <c r="AN149" s="2738"/>
      <c r="AO149" s="2738"/>
      <c r="AP149" s="2738"/>
      <c r="AQ149" s="2738"/>
      <c r="AR149" s="2738"/>
      <c r="AS149" s="2738"/>
      <c r="AT149" s="2738"/>
      <c r="AU149" s="2738"/>
      <c r="AV149" s="2738"/>
      <c r="AW149" s="2738"/>
      <c r="AX149" s="2738"/>
      <c r="AY149" s="2738"/>
      <c r="AZ149" s="2738"/>
      <c r="BA149" s="2738"/>
      <c r="BB149" s="2738"/>
      <c r="BC149" s="2738"/>
      <c r="BD149" s="2738"/>
      <c r="BE149" s="2738"/>
      <c r="BF149" s="2738"/>
    </row>
    <row customHeight="1" ht="22.5">
      <c r="A150" s="2080" t="s">
        <v>905</v>
      </c>
      <c r="B150" s="2080"/>
      <c r="C150" s="2080"/>
      <c r="D150" s="2074"/>
      <c r="E150" s="2084"/>
      <c r="F150" s="2744"/>
      <c r="G150" s="2745"/>
      <c r="H150" s="3333" t="s">
        <v>142</v>
      </c>
      <c r="I150" s="3334"/>
      <c r="J150" s="3303"/>
      <c r="K150" s="3335"/>
      <c r="L150" s="2933"/>
      <c r="M150" s="2934"/>
      <c r="N150" s="2089"/>
      <c r="O150" s="2090"/>
      <c r="P150" s="2082" t="s">
        <v>943</v>
      </c>
      <c r="Q150" s="2090"/>
      <c r="R150" s="2090"/>
      <c r="S150" s="2090"/>
      <c r="T150" s="2090"/>
      <c r="U150" s="2090"/>
      <c r="V150" s="2090"/>
      <c r="W150" s="2090"/>
      <c r="X150" s="2090"/>
      <c r="Y150" s="2090"/>
      <c r="Z150" s="2090"/>
      <c r="AA150" s="2090"/>
      <c r="AB150" s="2090"/>
      <c r="AC150" s="2090"/>
      <c r="AD150" s="2090"/>
      <c r="AE150" s="2097"/>
      <c r="AF150" s="3324"/>
      <c r="AG150" s="3325"/>
      <c r="AH150" s="3325"/>
      <c r="AI150" s="3324"/>
      <c r="AJ150" s="3325"/>
      <c r="AK150" s="3325"/>
      <c r="AL150" s="3424"/>
      <c r="AM150" s="2738"/>
      <c r="AN150" s="2738"/>
      <c r="AO150" s="2738"/>
      <c r="AP150" s="2738"/>
      <c r="AQ150" s="2738"/>
      <c r="AR150" s="2738"/>
      <c r="AS150" s="2738"/>
      <c r="AT150" s="2738"/>
      <c r="AU150" s="2738"/>
      <c r="AV150" s="2738"/>
      <c r="AW150" s="2738"/>
      <c r="AX150" s="2738"/>
      <c r="AY150" s="2738"/>
      <c r="AZ150" s="2738"/>
      <c r="BA150" s="2738"/>
      <c r="BB150" s="2738"/>
      <c r="BC150" s="2738"/>
      <c r="BD150" s="2738"/>
      <c r="BE150" s="2738"/>
      <c r="BF150" s="2738"/>
    </row>
    <row customHeight="1" ht="52.5">
      <c r="A151" s="2080" t="s">
        <v>905</v>
      </c>
      <c r="B151" s="2080" t="s">
        <v>944</v>
      </c>
      <c r="C151" s="2080"/>
      <c r="D151" s="2074"/>
      <c r="E151" s="2084"/>
      <c r="F151" s="2744"/>
      <c r="G151" s="13093" t="s">
        <v>844</v>
      </c>
      <c r="H151" s="3333" t="s">
        <v>144</v>
      </c>
      <c r="I151" s="3334" t="s">
        <v>945</v>
      </c>
      <c r="J151" s="3303" t="s">
        <v>946</v>
      </c>
      <c r="K151" s="3335" t="s">
        <v>954</v>
      </c>
      <c r="L151" s="2933" t="s">
        <v>52</v>
      </c>
      <c r="M151" s="2934"/>
      <c r="N151" s="3422"/>
      <c r="O151" s="2091" t="s">
        <v>367</v>
      </c>
      <c r="P151" s="2092"/>
      <c r="Q151" s="2092"/>
      <c r="R151" s="2092"/>
      <c r="S151" s="2092"/>
      <c r="T151" s="2092"/>
      <c r="U151" s="2092"/>
      <c r="V151" s="2092"/>
      <c r="W151" s="2092"/>
      <c r="X151" s="2092"/>
      <c r="Y151" s="2092"/>
      <c r="Z151" s="2092"/>
      <c r="AA151" s="2092"/>
      <c r="AB151" s="2092"/>
      <c r="AC151" s="2092"/>
      <c r="AD151" s="2092"/>
      <c r="AE151" s="2092"/>
      <c r="AF151" s="3324">
        <v>4</v>
      </c>
      <c r="AG151" s="3325" t="s">
        <v>939</v>
      </c>
      <c r="AH151" s="3325" t="s">
        <v>940</v>
      </c>
      <c r="AI151" s="3324"/>
      <c r="AJ151" s="3325"/>
      <c r="AK151" s="3325"/>
      <c r="AL151" s="3424"/>
      <c r="AM151" s="2738"/>
      <c r="AN151" s="2738"/>
      <c r="AO151" s="2738"/>
      <c r="AP151" s="2738"/>
      <c r="AQ151" s="2738"/>
      <c r="AR151" s="2738"/>
      <c r="AS151" s="2738"/>
      <c r="AT151" s="2738"/>
      <c r="AU151" s="2738"/>
      <c r="AV151" s="2738"/>
      <c r="AW151" s="2738"/>
      <c r="AX151" s="2738"/>
      <c r="AY151" s="2738"/>
      <c r="AZ151" s="2738"/>
      <c r="BA151" s="2738"/>
      <c r="BB151" s="2738"/>
      <c r="BC151" s="2738"/>
      <c r="BD151" s="2738"/>
      <c r="BE151" s="2738"/>
      <c r="BF151" s="2738"/>
    </row>
    <row customHeight="1" ht="25.5">
      <c r="A152" s="2080" t="s">
        <v>905</v>
      </c>
      <c r="B152" s="2080"/>
      <c r="C152" s="2080"/>
      <c r="D152" s="2074"/>
      <c r="E152" s="2084"/>
      <c r="F152" s="2744"/>
      <c r="G152" s="2745"/>
      <c r="H152" s="3333" t="s">
        <v>143</v>
      </c>
      <c r="I152" s="3334"/>
      <c r="J152" s="3303"/>
      <c r="K152" s="3335"/>
      <c r="L152" s="2933"/>
      <c r="M152" s="2934"/>
      <c r="N152" s="3398"/>
      <c r="O152" s="3421">
        <v>1</v>
      </c>
      <c r="P152" s="3328" t="s">
        <v>52</v>
      </c>
      <c r="Q152" s="3331" t="s">
        <v>18</v>
      </c>
      <c r="R152" s="3331" t="s">
        <v>18</v>
      </c>
      <c r="S152" s="3331" t="s">
        <v>18</v>
      </c>
      <c r="T152" s="3331" t="s">
        <v>18</v>
      </c>
      <c r="U152" s="3331" t="s">
        <v>18</v>
      </c>
      <c r="V152" s="3331" t="s">
        <v>18</v>
      </c>
      <c r="W152" s="3331" t="s">
        <v>18</v>
      </c>
      <c r="X152" s="3331" t="s">
        <v>18</v>
      </c>
      <c r="Y152" s="3331"/>
      <c r="Z152" s="2089"/>
      <c r="AA152" s="2090"/>
      <c r="AB152" s="2090"/>
      <c r="AC152" s="2094"/>
      <c r="AD152" s="2094"/>
      <c r="AE152" s="2095"/>
      <c r="AF152" s="3324"/>
      <c r="AG152" s="3325"/>
      <c r="AH152" s="3325"/>
      <c r="AI152" s="3324"/>
      <c r="AJ152" s="3325"/>
      <c r="AK152" s="3325"/>
      <c r="AL152" s="3424"/>
      <c r="AM152" s="2738"/>
      <c r="AN152" s="2738"/>
      <c r="AO152" s="2738"/>
      <c r="AP152" s="2738"/>
      <c r="AQ152" s="2738"/>
      <c r="AR152" s="2738"/>
      <c r="AS152" s="2738"/>
      <c r="AT152" s="2738"/>
      <c r="AU152" s="2738"/>
      <c r="AV152" s="2738"/>
      <c r="AW152" s="2738"/>
      <c r="AX152" s="2738"/>
      <c r="AY152" s="2738"/>
      <c r="AZ152" s="2738"/>
      <c r="BA152" s="2738"/>
      <c r="BB152" s="2738"/>
      <c r="BC152" s="2738"/>
      <c r="BD152" s="2738"/>
      <c r="BE152" s="2738"/>
      <c r="BF152" s="2738"/>
    </row>
    <row customHeight="1" ht="22.5">
      <c r="A153" s="2080" t="s">
        <v>905</v>
      </c>
      <c r="B153" s="2080"/>
      <c r="C153" s="2080"/>
      <c r="D153" s="2074"/>
      <c r="E153" s="2084"/>
      <c r="F153" s="2744"/>
      <c r="G153" s="2745"/>
      <c r="H153" s="3333" t="s">
        <v>143</v>
      </c>
      <c r="I153" s="3334"/>
      <c r="J153" s="3303"/>
      <c r="K153" s="3335"/>
      <c r="L153" s="2933"/>
      <c r="M153" s="2934"/>
      <c r="N153" s="3398"/>
      <c r="O153" s="3421"/>
      <c r="P153" s="3329"/>
      <c r="Q153" s="3331"/>
      <c r="R153" s="3331"/>
      <c r="S153" s="3332"/>
      <c r="T153" s="3331"/>
      <c r="U153" s="3331"/>
      <c r="V153" s="3331"/>
      <c r="W153" s="3331"/>
      <c r="X153" s="3331"/>
      <c r="Y153" s="3331"/>
      <c r="Z153" s="2743"/>
      <c r="AA153" s="2709">
        <v>1</v>
      </c>
      <c r="AB153" s="2093" t="s">
        <v>949</v>
      </c>
      <c r="AC153" s="2083">
        <v>545859.96</v>
      </c>
      <c r="AD153" s="2093" t="str">
        <f>AB153</f>
        <v>      Прочие амортизационные отчисления</v>
      </c>
      <c r="AE153" s="2083"/>
      <c r="AF153" s="3324"/>
      <c r="AG153" s="3325"/>
      <c r="AH153" s="3325"/>
      <c r="AI153" s="3324"/>
      <c r="AJ153" s="3325"/>
      <c r="AK153" s="3325"/>
      <c r="AL153" s="3424"/>
      <c r="AM153" s="2738"/>
      <c r="AN153" s="2738"/>
      <c r="AO153" s="2738"/>
      <c r="AP153" s="2738"/>
      <c r="AQ153" s="2738"/>
      <c r="AR153" s="2738"/>
      <c r="AS153" s="2738"/>
      <c r="AT153" s="2738"/>
      <c r="AU153" s="2738"/>
      <c r="AV153" s="2738"/>
      <c r="AW153" s="2738"/>
      <c r="AX153" s="2738"/>
      <c r="AY153" s="2738"/>
      <c r="AZ153" s="2738"/>
      <c r="BA153" s="2738"/>
      <c r="BB153" s="2738"/>
      <c r="BC153" s="2738"/>
      <c r="BD153" s="2738"/>
      <c r="BE153" s="2738"/>
      <c r="BF153" s="2738"/>
    </row>
    <row customHeight="1" ht="11.25">
      <c r="A154" s="2080" t="s">
        <v>905</v>
      </c>
      <c r="B154" s="2080"/>
      <c r="C154" s="2080"/>
      <c r="D154" s="2074"/>
      <c r="E154" s="2084"/>
      <c r="F154" s="2745"/>
      <c r="G154" s="2745"/>
      <c r="H154" s="2745"/>
      <c r="I154" s="2745"/>
      <c r="J154" s="2745"/>
      <c r="K154" s="2745"/>
      <c r="L154" s="2745"/>
      <c r="M154" s="2745"/>
      <c r="N154" s="2745"/>
      <c r="O154" s="2745"/>
      <c r="P154" s="2745"/>
      <c r="Q154" s="2745"/>
      <c r="R154" s="2745"/>
      <c r="S154" s="2745"/>
      <c r="T154" s="2745"/>
      <c r="U154" s="2745"/>
      <c r="V154" s="2745"/>
      <c r="W154" s="2745"/>
      <c r="X154" s="2745"/>
      <c r="Y154" s="2745"/>
      <c r="Z154" s="15875" t="s">
        <v>844</v>
      </c>
      <c r="AA154" s="2729" t="s">
        <v>103</v>
      </c>
      <c r="AB154" s="2093" t="s">
        <v>941</v>
      </c>
      <c r="AC154" s="2083">
        <v>55014.85</v>
      </c>
      <c r="AD154" s="2093" t="str">
        <f>AB154</f>
        <v>  Прочие</v>
      </c>
      <c r="AE154" s="2083"/>
      <c r="AF154" s="2746"/>
      <c r="AG154" s="2674"/>
      <c r="AH154" s="2674"/>
      <c r="AI154" s="2746"/>
      <c r="AJ154" s="2674"/>
      <c r="AK154" s="3423"/>
      <c r="AL154" s="3424"/>
      <c r="AM154" s="2738"/>
      <c r="AN154" s="2738"/>
      <c r="AO154" s="2738"/>
      <c r="AP154" s="2738"/>
      <c r="AQ154" s="2738"/>
      <c r="AR154" s="2738"/>
      <c r="AS154" s="2738"/>
      <c r="AT154" s="2738"/>
      <c r="AU154" s="2738"/>
      <c r="AV154" s="2738"/>
      <c r="AW154" s="2738"/>
      <c r="AX154" s="2738"/>
      <c r="AY154" s="2738"/>
      <c r="AZ154" s="2738"/>
      <c r="BA154" s="2738"/>
      <c r="BB154" s="2738"/>
      <c r="BC154" s="2738"/>
      <c r="BD154" s="2738"/>
      <c r="BE154" s="2738"/>
      <c r="BF154" s="2738"/>
    </row>
    <row customHeight="1" ht="25.5">
      <c r="A155" s="2080" t="s">
        <v>905</v>
      </c>
      <c r="B155" s="2080"/>
      <c r="C155" s="2080"/>
      <c r="D155" s="2074"/>
      <c r="E155" s="2084"/>
      <c r="F155" s="2744"/>
      <c r="G155" s="2745"/>
      <c r="H155" s="3333" t="s">
        <v>143</v>
      </c>
      <c r="I155" s="3334"/>
      <c r="J155" s="3303"/>
      <c r="K155" s="3335"/>
      <c r="L155" s="2933"/>
      <c r="M155" s="2934"/>
      <c r="N155" s="3398"/>
      <c r="O155" s="3421"/>
      <c r="P155" s="3330"/>
      <c r="Q155" s="3331"/>
      <c r="R155" s="3331"/>
      <c r="S155" s="3332"/>
      <c r="T155" s="3331"/>
      <c r="U155" s="3331"/>
      <c r="V155" s="3331"/>
      <c r="W155" s="3331"/>
      <c r="X155" s="3331"/>
      <c r="Y155" s="3331"/>
      <c r="Z155" s="2089"/>
      <c r="AA155" s="2090"/>
      <c r="AB155" s="2155" t="s">
        <v>942</v>
      </c>
      <c r="AC155" s="2094"/>
      <c r="AD155" s="2094"/>
      <c r="AE155" s="2096"/>
      <c r="AF155" s="3324"/>
      <c r="AG155" s="3325"/>
      <c r="AH155" s="3325"/>
      <c r="AI155" s="3324"/>
      <c r="AJ155" s="3325"/>
      <c r="AK155" s="3325"/>
      <c r="AL155" s="3424"/>
      <c r="AM155" s="2738"/>
      <c r="AN155" s="2738"/>
      <c r="AO155" s="2738"/>
      <c r="AP155" s="2738"/>
      <c r="AQ155" s="2738"/>
      <c r="AR155" s="2738"/>
      <c r="AS155" s="2738"/>
      <c r="AT155" s="2738"/>
      <c r="AU155" s="2738"/>
      <c r="AV155" s="2738"/>
      <c r="AW155" s="2738"/>
      <c r="AX155" s="2738"/>
      <c r="AY155" s="2738"/>
      <c r="AZ155" s="2738"/>
      <c r="BA155" s="2738"/>
      <c r="BB155" s="2738"/>
      <c r="BC155" s="2738"/>
      <c r="BD155" s="2738"/>
      <c r="BE155" s="2738"/>
      <c r="BF155" s="2738"/>
    </row>
    <row customHeight="1" ht="31.5">
      <c r="A156" s="2080" t="s">
        <v>905</v>
      </c>
      <c r="B156" s="2080"/>
      <c r="C156" s="2080"/>
      <c r="D156" s="2074"/>
      <c r="E156" s="2084"/>
      <c r="F156" s="2744"/>
      <c r="G156" s="2745"/>
      <c r="H156" s="3333" t="s">
        <v>143</v>
      </c>
      <c r="I156" s="3334"/>
      <c r="J156" s="3303"/>
      <c r="K156" s="3335"/>
      <c r="L156" s="2933"/>
      <c r="M156" s="2934"/>
      <c r="N156" s="2089"/>
      <c r="O156" s="2090"/>
      <c r="P156" s="2082" t="s">
        <v>943</v>
      </c>
      <c r="Q156" s="2090"/>
      <c r="R156" s="2090"/>
      <c r="S156" s="2090"/>
      <c r="T156" s="2090"/>
      <c r="U156" s="2090"/>
      <c r="V156" s="2090"/>
      <c r="W156" s="2090"/>
      <c r="X156" s="2090"/>
      <c r="Y156" s="2090"/>
      <c r="Z156" s="2090"/>
      <c r="AA156" s="2090"/>
      <c r="AB156" s="2090"/>
      <c r="AC156" s="2090"/>
      <c r="AD156" s="2090"/>
      <c r="AE156" s="2097"/>
      <c r="AF156" s="3324"/>
      <c r="AG156" s="3325"/>
      <c r="AH156" s="3325"/>
      <c r="AI156" s="3324"/>
      <c r="AJ156" s="3325"/>
      <c r="AK156" s="3325"/>
      <c r="AL156" s="3424"/>
      <c r="AM156" s="2738"/>
      <c r="AN156" s="2738"/>
      <c r="AO156" s="2738"/>
      <c r="AP156" s="2738"/>
      <c r="AQ156" s="2738"/>
      <c r="AR156" s="2738"/>
      <c r="AS156" s="2738"/>
      <c r="AT156" s="2738"/>
      <c r="AU156" s="2738"/>
      <c r="AV156" s="2738"/>
      <c r="AW156" s="2738"/>
      <c r="AX156" s="2738"/>
      <c r="AY156" s="2738"/>
      <c r="AZ156" s="2738"/>
      <c r="BA156" s="2738"/>
      <c r="BB156" s="2738"/>
      <c r="BC156" s="2738"/>
      <c r="BD156" s="2738"/>
      <c r="BE156" s="2738"/>
      <c r="BF156" s="2738"/>
    </row>
    <row customHeight="1" ht="60">
      <c r="A157" s="2080" t="s">
        <v>905</v>
      </c>
      <c r="B157" s="2080" t="s">
        <v>944</v>
      </c>
      <c r="C157" s="2080"/>
      <c r="D157" s="2074"/>
      <c r="E157" s="2084"/>
      <c r="F157" s="2744"/>
      <c r="G157" s="13093" t="s">
        <v>844</v>
      </c>
      <c r="H157" s="3333" t="s">
        <v>145</v>
      </c>
      <c r="I157" s="3334" t="s">
        <v>945</v>
      </c>
      <c r="J157" s="3303" t="s">
        <v>946</v>
      </c>
      <c r="K157" s="3335" t="s">
        <v>955</v>
      </c>
      <c r="L157" s="2933" t="s">
        <v>52</v>
      </c>
      <c r="M157" s="2934"/>
      <c r="N157" s="3422"/>
      <c r="O157" s="2091" t="s">
        <v>367</v>
      </c>
      <c r="P157" s="2092"/>
      <c r="Q157" s="2092"/>
      <c r="R157" s="2092"/>
      <c r="S157" s="2092"/>
      <c r="T157" s="2092"/>
      <c r="U157" s="2092"/>
      <c r="V157" s="2092"/>
      <c r="W157" s="2092"/>
      <c r="X157" s="2092"/>
      <c r="Y157" s="2092"/>
      <c r="Z157" s="2092"/>
      <c r="AA157" s="2092"/>
      <c r="AB157" s="2092"/>
      <c r="AC157" s="2092"/>
      <c r="AD157" s="2092"/>
      <c r="AE157" s="2092"/>
      <c r="AF157" s="3324">
        <v>4</v>
      </c>
      <c r="AG157" s="3325" t="s">
        <v>939</v>
      </c>
      <c r="AH157" s="3325" t="s">
        <v>940</v>
      </c>
      <c r="AI157" s="3324"/>
      <c r="AJ157" s="3325"/>
      <c r="AK157" s="3325"/>
      <c r="AL157" s="3424"/>
      <c r="AM157" s="2738"/>
      <c r="AN157" s="2738"/>
      <c r="AO157" s="2738"/>
      <c r="AP157" s="2738"/>
      <c r="AQ157" s="2738"/>
      <c r="AR157" s="2738"/>
      <c r="AS157" s="2738"/>
      <c r="AT157" s="2738"/>
      <c r="AU157" s="2738"/>
      <c r="AV157" s="2738"/>
      <c r="AW157" s="2738"/>
      <c r="AX157" s="2738"/>
      <c r="AY157" s="2738"/>
      <c r="AZ157" s="2738"/>
      <c r="BA157" s="2738"/>
      <c r="BB157" s="2738"/>
      <c r="BC157" s="2738"/>
      <c r="BD157" s="2738"/>
      <c r="BE157" s="2738"/>
      <c r="BF157" s="2738"/>
    </row>
    <row customHeight="1" ht="60">
      <c r="A158" s="2080" t="s">
        <v>905</v>
      </c>
      <c r="B158" s="2080"/>
      <c r="C158" s="2080"/>
      <c r="D158" s="2074"/>
      <c r="E158" s="2084"/>
      <c r="F158" s="2744"/>
      <c r="G158" s="2745"/>
      <c r="H158" s="3333" t="s">
        <v>144</v>
      </c>
      <c r="I158" s="3334"/>
      <c r="J158" s="3303"/>
      <c r="K158" s="3335"/>
      <c r="L158" s="2933"/>
      <c r="M158" s="2934"/>
      <c r="N158" s="3398"/>
      <c r="O158" s="3421">
        <v>1</v>
      </c>
      <c r="P158" s="3328" t="s">
        <v>52</v>
      </c>
      <c r="Q158" s="3331" t="s">
        <v>18</v>
      </c>
      <c r="R158" s="3331" t="s">
        <v>18</v>
      </c>
      <c r="S158" s="3331" t="s">
        <v>18</v>
      </c>
      <c r="T158" s="3331" t="s">
        <v>18</v>
      </c>
      <c r="U158" s="3331" t="s">
        <v>18</v>
      </c>
      <c r="V158" s="3331" t="s">
        <v>18</v>
      </c>
      <c r="W158" s="3331" t="s">
        <v>18</v>
      </c>
      <c r="X158" s="3331" t="s">
        <v>18</v>
      </c>
      <c r="Y158" s="3331"/>
      <c r="Z158" s="2089"/>
      <c r="AA158" s="2090"/>
      <c r="AB158" s="2090"/>
      <c r="AC158" s="2094"/>
      <c r="AD158" s="2094"/>
      <c r="AE158" s="2095"/>
      <c r="AF158" s="3324"/>
      <c r="AG158" s="3325"/>
      <c r="AH158" s="3325"/>
      <c r="AI158" s="3324"/>
      <c r="AJ158" s="3325"/>
      <c r="AK158" s="3325"/>
      <c r="AL158" s="3424"/>
      <c r="AM158" s="2738"/>
      <c r="AN158" s="2738"/>
      <c r="AO158" s="2738"/>
      <c r="AP158" s="2738"/>
      <c r="AQ158" s="2738"/>
      <c r="AR158" s="2738"/>
      <c r="AS158" s="2738"/>
      <c r="AT158" s="2738"/>
      <c r="AU158" s="2738"/>
      <c r="AV158" s="2738"/>
      <c r="AW158" s="2738"/>
      <c r="AX158" s="2738"/>
      <c r="AY158" s="2738"/>
      <c r="AZ158" s="2738"/>
      <c r="BA158" s="2738"/>
      <c r="BB158" s="2738"/>
      <c r="BC158" s="2738"/>
      <c r="BD158" s="2738"/>
      <c r="BE158" s="2738"/>
      <c r="BF158" s="2738"/>
    </row>
    <row customHeight="1" ht="27.75">
      <c r="A159" s="2080" t="s">
        <v>905</v>
      </c>
      <c r="B159" s="2080"/>
      <c r="C159" s="2080"/>
      <c r="D159" s="2074"/>
      <c r="E159" s="2084"/>
      <c r="F159" s="2744"/>
      <c r="G159" s="2745"/>
      <c r="H159" s="3333" t="s">
        <v>144</v>
      </c>
      <c r="I159" s="3334"/>
      <c r="J159" s="3303"/>
      <c r="K159" s="3335"/>
      <c r="L159" s="2933"/>
      <c r="M159" s="2934"/>
      <c r="N159" s="3398"/>
      <c r="O159" s="3421"/>
      <c r="P159" s="3329"/>
      <c r="Q159" s="3331"/>
      <c r="R159" s="3331"/>
      <c r="S159" s="3332"/>
      <c r="T159" s="3331"/>
      <c r="U159" s="3331"/>
      <c r="V159" s="3331"/>
      <c r="W159" s="3331"/>
      <c r="X159" s="3331"/>
      <c r="Y159" s="3331"/>
      <c r="Z159" s="2743"/>
      <c r="AA159" s="2709">
        <v>1</v>
      </c>
      <c r="AB159" s="2093" t="s">
        <v>949</v>
      </c>
      <c r="AC159" s="2083">
        <v>72588.6</v>
      </c>
      <c r="AD159" s="2093" t="str">
        <f>AB159</f>
        <v>      Прочие амортизационные отчисления</v>
      </c>
      <c r="AE159" s="2083"/>
      <c r="AF159" s="3324"/>
      <c r="AG159" s="3325"/>
      <c r="AH159" s="3325"/>
      <c r="AI159" s="3324"/>
      <c r="AJ159" s="3325"/>
      <c r="AK159" s="3325"/>
      <c r="AL159" s="3424"/>
      <c r="AM159" s="2738"/>
      <c r="AN159" s="2738"/>
      <c r="AO159" s="2738"/>
      <c r="AP159" s="2738"/>
      <c r="AQ159" s="2738"/>
      <c r="AR159" s="2738"/>
      <c r="AS159" s="2738"/>
      <c r="AT159" s="2738"/>
      <c r="AU159" s="2738"/>
      <c r="AV159" s="2738"/>
      <c r="AW159" s="2738"/>
      <c r="AX159" s="2738"/>
      <c r="AY159" s="2738"/>
      <c r="AZ159" s="2738"/>
      <c r="BA159" s="2738"/>
      <c r="BB159" s="2738"/>
      <c r="BC159" s="2738"/>
      <c r="BD159" s="2738"/>
      <c r="BE159" s="2738"/>
      <c r="BF159" s="2738"/>
    </row>
    <row customHeight="1" ht="11.25">
      <c r="A160" s="2080" t="s">
        <v>905</v>
      </c>
      <c r="B160" s="2080"/>
      <c r="C160" s="2080"/>
      <c r="D160" s="2074"/>
      <c r="E160" s="2084"/>
      <c r="F160" s="2745"/>
      <c r="G160" s="2745"/>
      <c r="H160" s="2745"/>
      <c r="I160" s="2745"/>
      <c r="J160" s="2745"/>
      <c r="K160" s="2745"/>
      <c r="L160" s="2745"/>
      <c r="M160" s="2745"/>
      <c r="N160" s="2745"/>
      <c r="O160" s="2745"/>
      <c r="P160" s="2745"/>
      <c r="Q160" s="2745"/>
      <c r="R160" s="2745"/>
      <c r="S160" s="2745"/>
      <c r="T160" s="2745"/>
      <c r="U160" s="2745"/>
      <c r="V160" s="2745"/>
      <c r="W160" s="2745"/>
      <c r="X160" s="2745"/>
      <c r="Y160" s="2745"/>
      <c r="Z160" s="15875" t="s">
        <v>844</v>
      </c>
      <c r="AA160" s="2729" t="s">
        <v>103</v>
      </c>
      <c r="AB160" s="2093" t="s">
        <v>941</v>
      </c>
      <c r="AC160" s="2083">
        <v>77411.4</v>
      </c>
      <c r="AD160" s="2093" t="str">
        <f>AB160</f>
        <v>  Прочие</v>
      </c>
      <c r="AE160" s="2083"/>
      <c r="AF160" s="2746"/>
      <c r="AG160" s="2674"/>
      <c r="AH160" s="2674"/>
      <c r="AI160" s="2746"/>
      <c r="AJ160" s="2674"/>
      <c r="AK160" s="3423"/>
      <c r="AL160" s="3424"/>
      <c r="AM160" s="2738"/>
      <c r="AN160" s="2738"/>
      <c r="AO160" s="2738"/>
      <c r="AP160" s="2738"/>
      <c r="AQ160" s="2738"/>
      <c r="AR160" s="2738"/>
      <c r="AS160" s="2738"/>
      <c r="AT160" s="2738"/>
      <c r="AU160" s="2738"/>
      <c r="AV160" s="2738"/>
      <c r="AW160" s="2738"/>
      <c r="AX160" s="2738"/>
      <c r="AY160" s="2738"/>
      <c r="AZ160" s="2738"/>
      <c r="BA160" s="2738"/>
      <c r="BB160" s="2738"/>
      <c r="BC160" s="2738"/>
      <c r="BD160" s="2738"/>
      <c r="BE160" s="2738"/>
      <c r="BF160" s="2738"/>
    </row>
    <row customHeight="1" ht="53.25">
      <c r="A161" s="2080" t="s">
        <v>905</v>
      </c>
      <c r="B161" s="2080"/>
      <c r="C161" s="2080"/>
      <c r="D161" s="2074"/>
      <c r="E161" s="2084"/>
      <c r="F161" s="2744"/>
      <c r="G161" s="2745"/>
      <c r="H161" s="3333" t="s">
        <v>144</v>
      </c>
      <c r="I161" s="3334"/>
      <c r="J161" s="3303"/>
      <c r="K161" s="3335"/>
      <c r="L161" s="2933"/>
      <c r="M161" s="2934"/>
      <c r="N161" s="3398"/>
      <c r="O161" s="3421"/>
      <c r="P161" s="3330"/>
      <c r="Q161" s="3331"/>
      <c r="R161" s="3331"/>
      <c r="S161" s="3332"/>
      <c r="T161" s="3331"/>
      <c r="U161" s="3331"/>
      <c r="V161" s="3331"/>
      <c r="W161" s="3331"/>
      <c r="X161" s="3331"/>
      <c r="Y161" s="3331"/>
      <c r="Z161" s="2089"/>
      <c r="AA161" s="2090"/>
      <c r="AB161" s="2155" t="s">
        <v>942</v>
      </c>
      <c r="AC161" s="2094"/>
      <c r="AD161" s="2094"/>
      <c r="AE161" s="2096"/>
      <c r="AF161" s="3324"/>
      <c r="AG161" s="3325"/>
      <c r="AH161" s="3325"/>
      <c r="AI161" s="3324"/>
      <c r="AJ161" s="3325"/>
      <c r="AK161" s="3325"/>
      <c r="AL161" s="3424"/>
      <c r="AM161" s="2738"/>
      <c r="AN161" s="2738"/>
      <c r="AO161" s="2738"/>
      <c r="AP161" s="2738"/>
      <c r="AQ161" s="2738"/>
      <c r="AR161" s="2738"/>
      <c r="AS161" s="2738"/>
      <c r="AT161" s="2738"/>
      <c r="AU161" s="2738"/>
      <c r="AV161" s="2738"/>
      <c r="AW161" s="2738"/>
      <c r="AX161" s="2738"/>
      <c r="AY161" s="2738"/>
      <c r="AZ161" s="2738"/>
      <c r="BA161" s="2738"/>
      <c r="BB161" s="2738"/>
      <c r="BC161" s="2738"/>
      <c r="BD161" s="2738"/>
      <c r="BE161" s="2738"/>
      <c r="BF161" s="2738"/>
    </row>
    <row customHeight="1" ht="53.25">
      <c r="A162" s="2080" t="s">
        <v>905</v>
      </c>
      <c r="B162" s="2080"/>
      <c r="C162" s="2080"/>
      <c r="D162" s="2074"/>
      <c r="E162" s="2084"/>
      <c r="F162" s="2744"/>
      <c r="G162" s="2745"/>
      <c r="H162" s="3333" t="s">
        <v>144</v>
      </c>
      <c r="I162" s="3334"/>
      <c r="J162" s="3303"/>
      <c r="K162" s="3335"/>
      <c r="L162" s="2933"/>
      <c r="M162" s="2934"/>
      <c r="N162" s="2089"/>
      <c r="O162" s="2090"/>
      <c r="P162" s="2082" t="s">
        <v>943</v>
      </c>
      <c r="Q162" s="2090"/>
      <c r="R162" s="2090"/>
      <c r="S162" s="2090"/>
      <c r="T162" s="2090"/>
      <c r="U162" s="2090"/>
      <c r="V162" s="2090"/>
      <c r="W162" s="2090"/>
      <c r="X162" s="2090"/>
      <c r="Y162" s="2090"/>
      <c r="Z162" s="2090"/>
      <c r="AA162" s="2090"/>
      <c r="AB162" s="2090"/>
      <c r="AC162" s="2090"/>
      <c r="AD162" s="2090"/>
      <c r="AE162" s="2097"/>
      <c r="AF162" s="3324"/>
      <c r="AG162" s="3325"/>
      <c r="AH162" s="3325"/>
      <c r="AI162" s="3324"/>
      <c r="AJ162" s="3325"/>
      <c r="AK162" s="3325"/>
      <c r="AL162" s="3424"/>
      <c r="AM162" s="2738"/>
      <c r="AN162" s="2738"/>
      <c r="AO162" s="2738"/>
      <c r="AP162" s="2738"/>
      <c r="AQ162" s="2738"/>
      <c r="AR162" s="2738"/>
      <c r="AS162" s="2738"/>
      <c r="AT162" s="2738"/>
      <c r="AU162" s="2738"/>
      <c r="AV162" s="2738"/>
      <c r="AW162" s="2738"/>
      <c r="AX162" s="2738"/>
      <c r="AY162" s="2738"/>
      <c r="AZ162" s="2738"/>
      <c r="BA162" s="2738"/>
      <c r="BB162" s="2738"/>
      <c r="BC162" s="2738"/>
      <c r="BD162" s="2738"/>
      <c r="BE162" s="2738"/>
      <c r="BF162" s="2738"/>
    </row>
    <row customHeight="1" ht="11.25">
      <c r="A163" s="2080" t="s">
        <v>905</v>
      </c>
      <c r="B163" s="2080" t="s">
        <v>944</v>
      </c>
      <c r="C163" s="2080"/>
      <c r="D163" s="2074"/>
      <c r="E163" s="2084"/>
      <c r="F163" s="2744"/>
      <c r="G163" s="13093" t="s">
        <v>844</v>
      </c>
      <c r="H163" s="3333" t="s">
        <v>146</v>
      </c>
      <c r="I163" s="3334" t="s">
        <v>945</v>
      </c>
      <c r="J163" s="3303" t="s">
        <v>946</v>
      </c>
      <c r="K163" s="3335" t="s">
        <v>972</v>
      </c>
      <c r="L163" s="2933" t="s">
        <v>52</v>
      </c>
      <c r="M163" s="2934"/>
      <c r="N163" s="3422"/>
      <c r="O163" s="2091" t="s">
        <v>367</v>
      </c>
      <c r="P163" s="2092"/>
      <c r="Q163" s="2092"/>
      <c r="R163" s="2092"/>
      <c r="S163" s="2092"/>
      <c r="T163" s="2092"/>
      <c r="U163" s="2092"/>
      <c r="V163" s="2092"/>
      <c r="W163" s="2092"/>
      <c r="X163" s="2092"/>
      <c r="Y163" s="2092"/>
      <c r="Z163" s="2092"/>
      <c r="AA163" s="2092"/>
      <c r="AB163" s="2092"/>
      <c r="AC163" s="2092"/>
      <c r="AD163" s="2092"/>
      <c r="AE163" s="2092"/>
      <c r="AF163" s="3324">
        <v>4</v>
      </c>
      <c r="AG163" s="3325" t="s">
        <v>939</v>
      </c>
      <c r="AH163" s="3325" t="s">
        <v>958</v>
      </c>
      <c r="AI163" s="3324"/>
      <c r="AJ163" s="3325"/>
      <c r="AK163" s="3325"/>
      <c r="AL163" s="3424"/>
      <c r="AM163" s="2738"/>
      <c r="AN163" s="2738"/>
      <c r="AO163" s="2738"/>
      <c r="AP163" s="2738"/>
      <c r="AQ163" s="2738"/>
      <c r="AR163" s="2738"/>
      <c r="AS163" s="2738"/>
      <c r="AT163" s="2738"/>
      <c r="AU163" s="2738"/>
      <c r="AV163" s="2738"/>
      <c r="AW163" s="2738"/>
      <c r="AX163" s="2738"/>
      <c r="AY163" s="2738"/>
      <c r="AZ163" s="2738"/>
      <c r="BA163" s="2738"/>
      <c r="BB163" s="2738"/>
      <c r="BC163" s="2738"/>
      <c r="BD163" s="2738"/>
      <c r="BE163" s="2738"/>
      <c r="BF163" s="2738"/>
    </row>
    <row customHeight="1" ht="11.25">
      <c r="A164" s="2080" t="s">
        <v>905</v>
      </c>
      <c r="B164" s="2080"/>
      <c r="C164" s="2080"/>
      <c r="D164" s="2074"/>
      <c r="E164" s="2084"/>
      <c r="F164" s="2744"/>
      <c r="G164" s="2745"/>
      <c r="H164" s="3333" t="s">
        <v>145</v>
      </c>
      <c r="I164" s="3334"/>
      <c r="J164" s="3303"/>
      <c r="K164" s="3335"/>
      <c r="L164" s="2933"/>
      <c r="M164" s="2934"/>
      <c r="N164" s="3398"/>
      <c r="O164" s="3421">
        <v>1</v>
      </c>
      <c r="P164" s="3328" t="s">
        <v>52</v>
      </c>
      <c r="Q164" s="3331" t="s">
        <v>18</v>
      </c>
      <c r="R164" s="3331" t="s">
        <v>18</v>
      </c>
      <c r="S164" s="3331" t="s">
        <v>18</v>
      </c>
      <c r="T164" s="3331" t="s">
        <v>18</v>
      </c>
      <c r="U164" s="3331" t="s">
        <v>18</v>
      </c>
      <c r="V164" s="3331" t="s">
        <v>18</v>
      </c>
      <c r="W164" s="3331" t="s">
        <v>18</v>
      </c>
      <c r="X164" s="3331" t="s">
        <v>18</v>
      </c>
      <c r="Y164" s="3331"/>
      <c r="Z164" s="2089"/>
      <c r="AA164" s="2090"/>
      <c r="AB164" s="2090"/>
      <c r="AC164" s="2094"/>
      <c r="AD164" s="2094"/>
      <c r="AE164" s="2095"/>
      <c r="AF164" s="3324"/>
      <c r="AG164" s="3325"/>
      <c r="AH164" s="3325"/>
      <c r="AI164" s="3324"/>
      <c r="AJ164" s="3325"/>
      <c r="AK164" s="3325"/>
      <c r="AL164" s="3424"/>
      <c r="AM164" s="2738"/>
      <c r="AN164" s="2738"/>
      <c r="AO164" s="2738"/>
      <c r="AP164" s="2738"/>
      <c r="AQ164" s="2738"/>
      <c r="AR164" s="2738"/>
      <c r="AS164" s="2738"/>
      <c r="AT164" s="2738"/>
      <c r="AU164" s="2738"/>
      <c r="AV164" s="2738"/>
      <c r="AW164" s="2738"/>
      <c r="AX164" s="2738"/>
      <c r="AY164" s="2738"/>
      <c r="AZ164" s="2738"/>
      <c r="BA164" s="2738"/>
      <c r="BB164" s="2738"/>
      <c r="BC164" s="2738"/>
      <c r="BD164" s="2738"/>
      <c r="BE164" s="2738"/>
      <c r="BF164" s="2738"/>
    </row>
    <row customHeight="1" ht="11.25">
      <c r="A165" s="2080" t="s">
        <v>905</v>
      </c>
      <c r="B165" s="2080"/>
      <c r="C165" s="2080"/>
      <c r="D165" s="2074"/>
      <c r="E165" s="2084"/>
      <c r="F165" s="2744"/>
      <c r="G165" s="2745"/>
      <c r="H165" s="3333" t="s">
        <v>145</v>
      </c>
      <c r="I165" s="3334"/>
      <c r="J165" s="3303"/>
      <c r="K165" s="3335"/>
      <c r="L165" s="2933"/>
      <c r="M165" s="2934"/>
      <c r="N165" s="3398"/>
      <c r="O165" s="3421"/>
      <c r="P165" s="3329"/>
      <c r="Q165" s="3331"/>
      <c r="R165" s="3331"/>
      <c r="S165" s="3332"/>
      <c r="T165" s="3331"/>
      <c r="U165" s="3331"/>
      <c r="V165" s="3331"/>
      <c r="W165" s="3331"/>
      <c r="X165" s="3331"/>
      <c r="Y165" s="3331"/>
      <c r="Z165" s="2743"/>
      <c r="AA165" s="2709">
        <v>1</v>
      </c>
      <c r="AB165" s="2093" t="s">
        <v>949</v>
      </c>
      <c r="AC165" s="2083">
        <v>8196.34</v>
      </c>
      <c r="AD165" s="2093" t="str">
        <f>AB165</f>
        <v>      Прочие амортизационные отчисления</v>
      </c>
      <c r="AE165" s="2083"/>
      <c r="AF165" s="3324"/>
      <c r="AG165" s="3325"/>
      <c r="AH165" s="3325"/>
      <c r="AI165" s="3324"/>
      <c r="AJ165" s="3325"/>
      <c r="AK165" s="3325"/>
      <c r="AL165" s="3424"/>
      <c r="AM165" s="2738"/>
      <c r="AN165" s="2738"/>
      <c r="AO165" s="2738"/>
      <c r="AP165" s="2738"/>
      <c r="AQ165" s="2738"/>
      <c r="AR165" s="2738"/>
      <c r="AS165" s="2738"/>
      <c r="AT165" s="2738"/>
      <c r="AU165" s="2738"/>
      <c r="AV165" s="2738"/>
      <c r="AW165" s="2738"/>
      <c r="AX165" s="2738"/>
      <c r="AY165" s="2738"/>
      <c r="AZ165" s="2738"/>
      <c r="BA165" s="2738"/>
      <c r="BB165" s="2738"/>
      <c r="BC165" s="2738"/>
      <c r="BD165" s="2738"/>
      <c r="BE165" s="2738"/>
      <c r="BF165" s="2738"/>
    </row>
    <row customHeight="1" ht="11.25">
      <c r="A166" s="2080" t="s">
        <v>905</v>
      </c>
      <c r="B166" s="2080"/>
      <c r="C166" s="2080"/>
      <c r="D166" s="2074"/>
      <c r="E166" s="2084"/>
      <c r="F166" s="2745"/>
      <c r="G166" s="2745"/>
      <c r="H166" s="2745"/>
      <c r="I166" s="2745"/>
      <c r="J166" s="2745"/>
      <c r="K166" s="2745"/>
      <c r="L166" s="2745"/>
      <c r="M166" s="2745"/>
      <c r="N166" s="2745"/>
      <c r="O166" s="2745"/>
      <c r="P166" s="2745"/>
      <c r="Q166" s="2745"/>
      <c r="R166" s="2745"/>
      <c r="S166" s="2745"/>
      <c r="T166" s="2745"/>
      <c r="U166" s="2745"/>
      <c r="V166" s="2745"/>
      <c r="W166" s="2745"/>
      <c r="X166" s="2745"/>
      <c r="Y166" s="2745"/>
      <c r="Z166" s="15875" t="s">
        <v>844</v>
      </c>
      <c r="AA166" s="2729" t="s">
        <v>103</v>
      </c>
      <c r="AB166" s="2093" t="s">
        <v>941</v>
      </c>
      <c r="AC166" s="2083">
        <v>11997.21</v>
      </c>
      <c r="AD166" s="2093" t="str">
        <f>AB166</f>
        <v>  Прочие</v>
      </c>
      <c r="AE166" s="2083"/>
      <c r="AF166" s="2746"/>
      <c r="AG166" s="2674"/>
      <c r="AH166" s="2674"/>
      <c r="AI166" s="2746"/>
      <c r="AJ166" s="2674"/>
      <c r="AK166" s="3423"/>
      <c r="AL166" s="3424"/>
      <c r="AM166" s="2738"/>
      <c r="AN166" s="2738"/>
      <c r="AO166" s="2738"/>
      <c r="AP166" s="2738"/>
      <c r="AQ166" s="2738"/>
      <c r="AR166" s="2738"/>
      <c r="AS166" s="2738"/>
      <c r="AT166" s="2738"/>
      <c r="AU166" s="2738"/>
      <c r="AV166" s="2738"/>
      <c r="AW166" s="2738"/>
      <c r="AX166" s="2738"/>
      <c r="AY166" s="2738"/>
      <c r="AZ166" s="2738"/>
      <c r="BA166" s="2738"/>
      <c r="BB166" s="2738"/>
      <c r="BC166" s="2738"/>
      <c r="BD166" s="2738"/>
      <c r="BE166" s="2738"/>
      <c r="BF166" s="2738"/>
    </row>
    <row customHeight="1" ht="11.25">
      <c r="A167" s="2080" t="s">
        <v>905</v>
      </c>
      <c r="B167" s="2080"/>
      <c r="C167" s="2080"/>
      <c r="D167" s="2074"/>
      <c r="E167" s="2084"/>
      <c r="F167" s="2744"/>
      <c r="G167" s="2745"/>
      <c r="H167" s="3333" t="s">
        <v>145</v>
      </c>
      <c r="I167" s="3334"/>
      <c r="J167" s="3303"/>
      <c r="K167" s="3335"/>
      <c r="L167" s="2933"/>
      <c r="M167" s="2934"/>
      <c r="N167" s="3398"/>
      <c r="O167" s="3421"/>
      <c r="P167" s="3330"/>
      <c r="Q167" s="3331"/>
      <c r="R167" s="3331"/>
      <c r="S167" s="3332"/>
      <c r="T167" s="3331"/>
      <c r="U167" s="3331"/>
      <c r="V167" s="3331"/>
      <c r="W167" s="3331"/>
      <c r="X167" s="3331"/>
      <c r="Y167" s="3331"/>
      <c r="Z167" s="2089"/>
      <c r="AA167" s="2090"/>
      <c r="AB167" s="2155" t="s">
        <v>942</v>
      </c>
      <c r="AC167" s="2094"/>
      <c r="AD167" s="2094"/>
      <c r="AE167" s="2096"/>
      <c r="AF167" s="3324"/>
      <c r="AG167" s="3325"/>
      <c r="AH167" s="3325"/>
      <c r="AI167" s="3324"/>
      <c r="AJ167" s="3325"/>
      <c r="AK167" s="3325"/>
      <c r="AL167" s="3424"/>
      <c r="AM167" s="2738"/>
      <c r="AN167" s="2738"/>
      <c r="AO167" s="2738"/>
      <c r="AP167" s="2738"/>
      <c r="AQ167" s="2738"/>
      <c r="AR167" s="2738"/>
      <c r="AS167" s="2738"/>
      <c r="AT167" s="2738"/>
      <c r="AU167" s="2738"/>
      <c r="AV167" s="2738"/>
      <c r="AW167" s="2738"/>
      <c r="AX167" s="2738"/>
      <c r="AY167" s="2738"/>
      <c r="AZ167" s="2738"/>
      <c r="BA167" s="2738"/>
      <c r="BB167" s="2738"/>
      <c r="BC167" s="2738"/>
      <c r="BD167" s="2738"/>
      <c r="BE167" s="2738"/>
      <c r="BF167" s="2738"/>
    </row>
    <row customHeight="1" ht="11.25">
      <c r="A168" s="2080" t="s">
        <v>905</v>
      </c>
      <c r="B168" s="2080"/>
      <c r="C168" s="2080"/>
      <c r="D168" s="2074"/>
      <c r="E168" s="2084"/>
      <c r="F168" s="2744"/>
      <c r="G168" s="2745"/>
      <c r="H168" s="3333" t="s">
        <v>145</v>
      </c>
      <c r="I168" s="3334"/>
      <c r="J168" s="3303"/>
      <c r="K168" s="3335"/>
      <c r="L168" s="2933"/>
      <c r="M168" s="2934"/>
      <c r="N168" s="2089"/>
      <c r="O168" s="2090"/>
      <c r="P168" s="2082" t="s">
        <v>943</v>
      </c>
      <c r="Q168" s="2090"/>
      <c r="R168" s="2090"/>
      <c r="S168" s="2090"/>
      <c r="T168" s="2090"/>
      <c r="U168" s="2090"/>
      <c r="V168" s="2090"/>
      <c r="W168" s="2090"/>
      <c r="X168" s="2090"/>
      <c r="Y168" s="2090"/>
      <c r="Z168" s="2090"/>
      <c r="AA168" s="2090"/>
      <c r="AB168" s="2090"/>
      <c r="AC168" s="2090"/>
      <c r="AD168" s="2090"/>
      <c r="AE168" s="2097"/>
      <c r="AF168" s="3324"/>
      <c r="AG168" s="3325"/>
      <c r="AH168" s="3325"/>
      <c r="AI168" s="3324"/>
      <c r="AJ168" s="3325"/>
      <c r="AK168" s="3325"/>
      <c r="AL168" s="3424"/>
      <c r="AM168" s="2738"/>
      <c r="AN168" s="2738"/>
      <c r="AO168" s="2738"/>
      <c r="AP168" s="2738"/>
      <c r="AQ168" s="2738"/>
      <c r="AR168" s="2738"/>
      <c r="AS168" s="2738"/>
      <c r="AT168" s="2738"/>
      <c r="AU168" s="2738"/>
      <c r="AV168" s="2738"/>
      <c r="AW168" s="2738"/>
      <c r="AX168" s="2738"/>
      <c r="AY168" s="2738"/>
      <c r="AZ168" s="2738"/>
      <c r="BA168" s="2738"/>
      <c r="BB168" s="2738"/>
      <c r="BC168" s="2738"/>
      <c r="BD168" s="2738"/>
      <c r="BE168" s="2738"/>
      <c r="BF168" s="2738"/>
    </row>
    <row customHeight="1" ht="11.25">
      <c r="A169" s="2080" t="s">
        <v>905</v>
      </c>
      <c r="B169" s="2080" t="s">
        <v>944</v>
      </c>
      <c r="C169" s="2080"/>
      <c r="D169" s="2074"/>
      <c r="E169" s="2084"/>
      <c r="F169" s="2744"/>
      <c r="G169" s="13093" t="s">
        <v>844</v>
      </c>
      <c r="H169" s="3333" t="s">
        <v>973</v>
      </c>
      <c r="I169" s="3334" t="s">
        <v>945</v>
      </c>
      <c r="J169" s="3303" t="s">
        <v>946</v>
      </c>
      <c r="K169" s="3335" t="s">
        <v>974</v>
      </c>
      <c r="L169" s="2933" t="s">
        <v>52</v>
      </c>
      <c r="M169" s="2934"/>
      <c r="N169" s="3422"/>
      <c r="O169" s="2091" t="s">
        <v>367</v>
      </c>
      <c r="P169" s="2092"/>
      <c r="Q169" s="2092"/>
      <c r="R169" s="2092"/>
      <c r="S169" s="2092"/>
      <c r="T169" s="2092"/>
      <c r="U169" s="2092"/>
      <c r="V169" s="2092"/>
      <c r="W169" s="2092"/>
      <c r="X169" s="2092"/>
      <c r="Y169" s="2092"/>
      <c r="Z169" s="2092"/>
      <c r="AA169" s="2092"/>
      <c r="AB169" s="2092"/>
      <c r="AC169" s="2092"/>
      <c r="AD169" s="2092"/>
      <c r="AE169" s="2092"/>
      <c r="AF169" s="3324">
        <v>4</v>
      </c>
      <c r="AG169" s="3325" t="s">
        <v>939</v>
      </c>
      <c r="AH169" s="3325" t="s">
        <v>958</v>
      </c>
      <c r="AI169" s="3324"/>
      <c r="AJ169" s="3325"/>
      <c r="AK169" s="3325"/>
      <c r="AL169" s="3424"/>
      <c r="AM169" s="2738"/>
      <c r="AN169" s="2738"/>
      <c r="AO169" s="2738"/>
      <c r="AP169" s="2738"/>
      <c r="AQ169" s="2738"/>
      <c r="AR169" s="2738"/>
      <c r="AS169" s="2738"/>
      <c r="AT169" s="2738"/>
      <c r="AU169" s="2738"/>
      <c r="AV169" s="2738"/>
      <c r="AW169" s="2738"/>
      <c r="AX169" s="2738"/>
      <c r="AY169" s="2738"/>
      <c r="AZ169" s="2738"/>
      <c r="BA169" s="2738"/>
      <c r="BB169" s="2738"/>
      <c r="BC169" s="2738"/>
      <c r="BD169" s="2738"/>
      <c r="BE169" s="2738"/>
      <c r="BF169" s="2738"/>
    </row>
    <row customHeight="1" ht="11.25">
      <c r="A170" s="2080" t="s">
        <v>905</v>
      </c>
      <c r="B170" s="2080"/>
      <c r="C170" s="2080"/>
      <c r="D170" s="2074"/>
      <c r="E170" s="2084"/>
      <c r="F170" s="2744"/>
      <c r="G170" s="2745"/>
      <c r="H170" s="3333" t="s">
        <v>146</v>
      </c>
      <c r="I170" s="3334"/>
      <c r="J170" s="3303"/>
      <c r="K170" s="3335"/>
      <c r="L170" s="2933"/>
      <c r="M170" s="2934"/>
      <c r="N170" s="3398"/>
      <c r="O170" s="3421">
        <v>1</v>
      </c>
      <c r="P170" s="3328" t="s">
        <v>52</v>
      </c>
      <c r="Q170" s="3331" t="s">
        <v>18</v>
      </c>
      <c r="R170" s="3331" t="s">
        <v>18</v>
      </c>
      <c r="S170" s="3331" t="s">
        <v>18</v>
      </c>
      <c r="T170" s="3331" t="s">
        <v>18</v>
      </c>
      <c r="U170" s="3331" t="s">
        <v>18</v>
      </c>
      <c r="V170" s="3331" t="s">
        <v>18</v>
      </c>
      <c r="W170" s="3331" t="s">
        <v>18</v>
      </c>
      <c r="X170" s="3331" t="s">
        <v>18</v>
      </c>
      <c r="Y170" s="3331"/>
      <c r="Z170" s="2089"/>
      <c r="AA170" s="2090"/>
      <c r="AB170" s="2090"/>
      <c r="AC170" s="2094"/>
      <c r="AD170" s="2094"/>
      <c r="AE170" s="2095"/>
      <c r="AF170" s="3324"/>
      <c r="AG170" s="3325"/>
      <c r="AH170" s="3325"/>
      <c r="AI170" s="3324"/>
      <c r="AJ170" s="3325"/>
      <c r="AK170" s="3325"/>
      <c r="AL170" s="3424"/>
      <c r="AM170" s="2738"/>
      <c r="AN170" s="2738"/>
      <c r="AO170" s="2738"/>
      <c r="AP170" s="2738"/>
      <c r="AQ170" s="2738"/>
      <c r="AR170" s="2738"/>
      <c r="AS170" s="2738"/>
      <c r="AT170" s="2738"/>
      <c r="AU170" s="2738"/>
      <c r="AV170" s="2738"/>
      <c r="AW170" s="2738"/>
      <c r="AX170" s="2738"/>
      <c r="AY170" s="2738"/>
      <c r="AZ170" s="2738"/>
      <c r="BA170" s="2738"/>
      <c r="BB170" s="2738"/>
      <c r="BC170" s="2738"/>
      <c r="BD170" s="2738"/>
      <c r="BE170" s="2738"/>
      <c r="BF170" s="2738"/>
    </row>
    <row customHeight="1" ht="11.25">
      <c r="A171" s="2080" t="s">
        <v>905</v>
      </c>
      <c r="B171" s="2080"/>
      <c r="C171" s="2080"/>
      <c r="D171" s="2074"/>
      <c r="E171" s="2084"/>
      <c r="F171" s="2744"/>
      <c r="G171" s="2745"/>
      <c r="H171" s="3333" t="s">
        <v>146</v>
      </c>
      <c r="I171" s="3334"/>
      <c r="J171" s="3303"/>
      <c r="K171" s="3335"/>
      <c r="L171" s="2933"/>
      <c r="M171" s="2934"/>
      <c r="N171" s="3398"/>
      <c r="O171" s="3421"/>
      <c r="P171" s="3329"/>
      <c r="Q171" s="3331"/>
      <c r="R171" s="3331"/>
      <c r="S171" s="3332"/>
      <c r="T171" s="3331"/>
      <c r="U171" s="3331"/>
      <c r="V171" s="3331"/>
      <c r="W171" s="3331"/>
      <c r="X171" s="3331"/>
      <c r="Y171" s="3331"/>
      <c r="Z171" s="2743"/>
      <c r="AA171" s="2709">
        <v>1</v>
      </c>
      <c r="AB171" s="2093" t="s">
        <v>949</v>
      </c>
      <c r="AC171" s="2083">
        <v>6820.16</v>
      </c>
      <c r="AD171" s="2093" t="str">
        <f>AB171</f>
        <v>      Прочие амортизационные отчисления</v>
      </c>
      <c r="AE171" s="2083"/>
      <c r="AF171" s="3324"/>
      <c r="AG171" s="3325"/>
      <c r="AH171" s="3325"/>
      <c r="AI171" s="3324"/>
      <c r="AJ171" s="3325"/>
      <c r="AK171" s="3325"/>
      <c r="AL171" s="3424"/>
      <c r="AM171" s="2738"/>
      <c r="AN171" s="2738"/>
      <c r="AO171" s="2738"/>
      <c r="AP171" s="2738"/>
      <c r="AQ171" s="2738"/>
      <c r="AR171" s="2738"/>
      <c r="AS171" s="2738"/>
      <c r="AT171" s="2738"/>
      <c r="AU171" s="2738"/>
      <c r="AV171" s="2738"/>
      <c r="AW171" s="2738"/>
      <c r="AX171" s="2738"/>
      <c r="AY171" s="2738"/>
      <c r="AZ171" s="2738"/>
      <c r="BA171" s="2738"/>
      <c r="BB171" s="2738"/>
      <c r="BC171" s="2738"/>
      <c r="BD171" s="2738"/>
      <c r="BE171" s="2738"/>
      <c r="BF171" s="2738"/>
    </row>
    <row customHeight="1" ht="11.25">
      <c r="A172" s="2080" t="s">
        <v>905</v>
      </c>
      <c r="B172" s="2080"/>
      <c r="C172" s="2080"/>
      <c r="D172" s="2074"/>
      <c r="E172" s="2084"/>
      <c r="F172" s="2745"/>
      <c r="G172" s="2745"/>
      <c r="H172" s="2745"/>
      <c r="I172" s="2745"/>
      <c r="J172" s="2745"/>
      <c r="K172" s="2745"/>
      <c r="L172" s="2745"/>
      <c r="M172" s="2745"/>
      <c r="N172" s="2745"/>
      <c r="O172" s="2745"/>
      <c r="P172" s="2745"/>
      <c r="Q172" s="2745"/>
      <c r="R172" s="2745"/>
      <c r="S172" s="2745"/>
      <c r="T172" s="2745"/>
      <c r="U172" s="2745"/>
      <c r="V172" s="2745"/>
      <c r="W172" s="2745"/>
      <c r="X172" s="2745"/>
      <c r="Y172" s="2745"/>
      <c r="Z172" s="15875" t="s">
        <v>844</v>
      </c>
      <c r="AA172" s="2729" t="s">
        <v>103</v>
      </c>
      <c r="AB172" s="2093" t="s">
        <v>941</v>
      </c>
      <c r="AC172" s="2083">
        <v>9982.85</v>
      </c>
      <c r="AD172" s="2093" t="str">
        <f>AB172</f>
        <v>  Прочие</v>
      </c>
      <c r="AE172" s="2083"/>
      <c r="AF172" s="2746"/>
      <c r="AG172" s="2674"/>
      <c r="AH172" s="2674"/>
      <c r="AI172" s="2746"/>
      <c r="AJ172" s="2674"/>
      <c r="AK172" s="3423"/>
      <c r="AL172" s="3424"/>
      <c r="AM172" s="2738"/>
      <c r="AN172" s="2738"/>
      <c r="AO172" s="2738"/>
      <c r="AP172" s="2738"/>
      <c r="AQ172" s="2738"/>
      <c r="AR172" s="2738"/>
      <c r="AS172" s="2738"/>
      <c r="AT172" s="2738"/>
      <c r="AU172" s="2738"/>
      <c r="AV172" s="2738"/>
      <c r="AW172" s="2738"/>
      <c r="AX172" s="2738"/>
      <c r="AY172" s="2738"/>
      <c r="AZ172" s="2738"/>
      <c r="BA172" s="2738"/>
      <c r="BB172" s="2738"/>
      <c r="BC172" s="2738"/>
      <c r="BD172" s="2738"/>
      <c r="BE172" s="2738"/>
      <c r="BF172" s="2738"/>
    </row>
    <row customHeight="1" ht="11.25">
      <c r="A173" s="2080" t="s">
        <v>905</v>
      </c>
      <c r="B173" s="2080"/>
      <c r="C173" s="2080"/>
      <c r="D173" s="2074"/>
      <c r="E173" s="2084"/>
      <c r="F173" s="2744"/>
      <c r="G173" s="2745"/>
      <c r="H173" s="3333" t="s">
        <v>146</v>
      </c>
      <c r="I173" s="3334"/>
      <c r="J173" s="3303"/>
      <c r="K173" s="3335"/>
      <c r="L173" s="2933"/>
      <c r="M173" s="2934"/>
      <c r="N173" s="3398"/>
      <c r="O173" s="3421"/>
      <c r="P173" s="3330"/>
      <c r="Q173" s="3331"/>
      <c r="R173" s="3331"/>
      <c r="S173" s="3332"/>
      <c r="T173" s="3331"/>
      <c r="U173" s="3331"/>
      <c r="V173" s="3331"/>
      <c r="W173" s="3331"/>
      <c r="X173" s="3331"/>
      <c r="Y173" s="3331"/>
      <c r="Z173" s="2089"/>
      <c r="AA173" s="2090"/>
      <c r="AB173" s="2155" t="s">
        <v>942</v>
      </c>
      <c r="AC173" s="2094"/>
      <c r="AD173" s="2094"/>
      <c r="AE173" s="2096"/>
      <c r="AF173" s="3324"/>
      <c r="AG173" s="3325"/>
      <c r="AH173" s="3325"/>
      <c r="AI173" s="3324"/>
      <c r="AJ173" s="3325"/>
      <c r="AK173" s="3325"/>
      <c r="AL173" s="3424"/>
      <c r="AM173" s="2738"/>
      <c r="AN173" s="2738"/>
      <c r="AO173" s="2738"/>
      <c r="AP173" s="2738"/>
      <c r="AQ173" s="2738"/>
      <c r="AR173" s="2738"/>
      <c r="AS173" s="2738"/>
      <c r="AT173" s="2738"/>
      <c r="AU173" s="2738"/>
      <c r="AV173" s="2738"/>
      <c r="AW173" s="2738"/>
      <c r="AX173" s="2738"/>
      <c r="AY173" s="2738"/>
      <c r="AZ173" s="2738"/>
      <c r="BA173" s="2738"/>
      <c r="BB173" s="2738"/>
      <c r="BC173" s="2738"/>
      <c r="BD173" s="2738"/>
      <c r="BE173" s="2738"/>
      <c r="BF173" s="2738"/>
    </row>
    <row customHeight="1" ht="11.25">
      <c r="A174" s="2080" t="s">
        <v>905</v>
      </c>
      <c r="B174" s="2080"/>
      <c r="C174" s="2080"/>
      <c r="D174" s="2074"/>
      <c r="E174" s="2084"/>
      <c r="F174" s="2744"/>
      <c r="G174" s="2745"/>
      <c r="H174" s="3333" t="s">
        <v>146</v>
      </c>
      <c r="I174" s="3334"/>
      <c r="J174" s="3303"/>
      <c r="K174" s="3335"/>
      <c r="L174" s="2933"/>
      <c r="M174" s="2934"/>
      <c r="N174" s="2089"/>
      <c r="O174" s="2090"/>
      <c r="P174" s="2082" t="s">
        <v>943</v>
      </c>
      <c r="Q174" s="2090"/>
      <c r="R174" s="2090"/>
      <c r="S174" s="2090"/>
      <c r="T174" s="2090"/>
      <c r="U174" s="2090"/>
      <c r="V174" s="2090"/>
      <c r="W174" s="2090"/>
      <c r="X174" s="2090"/>
      <c r="Y174" s="2090"/>
      <c r="Z174" s="2090"/>
      <c r="AA174" s="2090"/>
      <c r="AB174" s="2090"/>
      <c r="AC174" s="2090"/>
      <c r="AD174" s="2090"/>
      <c r="AE174" s="2097"/>
      <c r="AF174" s="3324"/>
      <c r="AG174" s="3325"/>
      <c r="AH174" s="3325"/>
      <c r="AI174" s="3324"/>
      <c r="AJ174" s="3325"/>
      <c r="AK174" s="3325"/>
      <c r="AL174" s="3424"/>
      <c r="AM174" s="2738"/>
      <c r="AN174" s="2738"/>
      <c r="AO174" s="2738"/>
      <c r="AP174" s="2738"/>
      <c r="AQ174" s="2738"/>
      <c r="AR174" s="2738"/>
      <c r="AS174" s="2738"/>
      <c r="AT174" s="2738"/>
      <c r="AU174" s="2738"/>
      <c r="AV174" s="2738"/>
      <c r="AW174" s="2738"/>
      <c r="AX174" s="2738"/>
      <c r="AY174" s="2738"/>
      <c r="AZ174" s="2738"/>
      <c r="BA174" s="2738"/>
      <c r="BB174" s="2738"/>
      <c r="BC174" s="2738"/>
      <c r="BD174" s="2738"/>
      <c r="BE174" s="2738"/>
      <c r="BF174" s="2738"/>
    </row>
    <row customHeight="1" ht="24.75">
      <c r="A175" s="2080" t="s">
        <v>905</v>
      </c>
      <c r="B175" s="2080" t="s">
        <v>18</v>
      </c>
      <c r="C175" s="2080"/>
      <c r="D175" s="2074"/>
      <c r="E175" s="2084"/>
      <c r="F175" s="2744"/>
      <c r="G175" s="13093" t="s">
        <v>844</v>
      </c>
      <c r="H175" s="3333" t="s">
        <v>975</v>
      </c>
      <c r="I175" s="3334" t="s">
        <v>956</v>
      </c>
      <c r="J175" s="15876" t="s">
        <v>18</v>
      </c>
      <c r="K175" s="3335" t="s">
        <v>957</v>
      </c>
      <c r="L175" s="2933" t="s">
        <v>52</v>
      </c>
      <c r="M175" s="2934"/>
      <c r="N175" s="3422"/>
      <c r="O175" s="2091" t="s">
        <v>367</v>
      </c>
      <c r="P175" s="2092"/>
      <c r="Q175" s="2092"/>
      <c r="R175" s="2092"/>
      <c r="S175" s="2092"/>
      <c r="T175" s="2092"/>
      <c r="U175" s="2092"/>
      <c r="V175" s="2092"/>
      <c r="W175" s="2092"/>
      <c r="X175" s="2092"/>
      <c r="Y175" s="2092"/>
      <c r="Z175" s="2092"/>
      <c r="AA175" s="2092"/>
      <c r="AB175" s="2092"/>
      <c r="AC175" s="2092"/>
      <c r="AD175" s="2092"/>
      <c r="AE175" s="2092"/>
      <c r="AF175" s="3324">
        <v>11</v>
      </c>
      <c r="AG175" s="3325" t="s">
        <v>939</v>
      </c>
      <c r="AH175" s="3325" t="s">
        <v>958</v>
      </c>
      <c r="AI175" s="3324"/>
      <c r="AJ175" s="3325"/>
      <c r="AK175" s="3325"/>
      <c r="AL175" s="3424"/>
      <c r="AM175" s="2738"/>
      <c r="AN175" s="2738"/>
      <c r="AO175" s="2738"/>
      <c r="AP175" s="2738"/>
      <c r="AQ175" s="2738"/>
      <c r="AR175" s="2738"/>
      <c r="AS175" s="2738"/>
      <c r="AT175" s="2738"/>
      <c r="AU175" s="2738"/>
      <c r="AV175" s="2738"/>
      <c r="AW175" s="2738"/>
      <c r="AX175" s="2738"/>
      <c r="AY175" s="2738"/>
      <c r="AZ175" s="2738"/>
      <c r="BA175" s="2738"/>
      <c r="BB175" s="2738"/>
      <c r="BC175" s="2738"/>
      <c r="BD175" s="2738"/>
      <c r="BE175" s="2738"/>
      <c r="BF175" s="2738"/>
    </row>
    <row customHeight="1" ht="11.25">
      <c r="A176" s="2080" t="s">
        <v>905</v>
      </c>
      <c r="B176" s="2080"/>
      <c r="C176" s="2080"/>
      <c r="D176" s="2074"/>
      <c r="E176" s="2084"/>
      <c r="F176" s="2744"/>
      <c r="G176" s="2745"/>
      <c r="H176" s="3333" t="s">
        <v>973</v>
      </c>
      <c r="I176" s="3334"/>
      <c r="J176" s="15876"/>
      <c r="K176" s="3335"/>
      <c r="L176" s="2933"/>
      <c r="M176" s="2934"/>
      <c r="N176" s="3398"/>
      <c r="O176" s="3421">
        <v>1</v>
      </c>
      <c r="P176" s="3328" t="s">
        <v>52</v>
      </c>
      <c r="Q176" s="3331" t="s">
        <v>18</v>
      </c>
      <c r="R176" s="3331" t="s">
        <v>18</v>
      </c>
      <c r="S176" s="3331" t="s">
        <v>18</v>
      </c>
      <c r="T176" s="3331" t="s">
        <v>18</v>
      </c>
      <c r="U176" s="3331" t="s">
        <v>18</v>
      </c>
      <c r="V176" s="3331" t="s">
        <v>18</v>
      </c>
      <c r="W176" s="3331" t="s">
        <v>18</v>
      </c>
      <c r="X176" s="3331" t="s">
        <v>18</v>
      </c>
      <c r="Y176" s="3331"/>
      <c r="Z176" s="2089"/>
      <c r="AA176" s="2090"/>
      <c r="AB176" s="2090"/>
      <c r="AC176" s="2094"/>
      <c r="AD176" s="2094"/>
      <c r="AE176" s="2095"/>
      <c r="AF176" s="3324"/>
      <c r="AG176" s="3325"/>
      <c r="AH176" s="3325"/>
      <c r="AI176" s="3324"/>
      <c r="AJ176" s="3325"/>
      <c r="AK176" s="3325"/>
      <c r="AL176" s="3424"/>
      <c r="AM176" s="2738"/>
      <c r="AN176" s="2738"/>
      <c r="AO176" s="2738"/>
      <c r="AP176" s="2738"/>
      <c r="AQ176" s="2738"/>
      <c r="AR176" s="2738"/>
      <c r="AS176" s="2738"/>
      <c r="AT176" s="2738"/>
      <c r="AU176" s="2738"/>
      <c r="AV176" s="2738"/>
      <c r="AW176" s="2738"/>
      <c r="AX176" s="2738"/>
      <c r="AY176" s="2738"/>
      <c r="AZ176" s="2738"/>
      <c r="BA176" s="2738"/>
      <c r="BB176" s="2738"/>
      <c r="BC176" s="2738"/>
      <c r="BD176" s="2738"/>
      <c r="BE176" s="2738"/>
      <c r="BF176" s="2738"/>
    </row>
    <row customHeight="1" ht="11.25">
      <c r="A177" s="2080" t="s">
        <v>905</v>
      </c>
      <c r="B177" s="2080"/>
      <c r="C177" s="2080"/>
      <c r="D177" s="2074"/>
      <c r="E177" s="2084"/>
      <c r="F177" s="2744"/>
      <c r="G177" s="2745"/>
      <c r="H177" s="3333" t="s">
        <v>973</v>
      </c>
      <c r="I177" s="3334"/>
      <c r="J177" s="15876"/>
      <c r="K177" s="3335"/>
      <c r="L177" s="2933"/>
      <c r="M177" s="2934"/>
      <c r="N177" s="3398"/>
      <c r="O177" s="3421"/>
      <c r="P177" s="3329"/>
      <c r="Q177" s="3331"/>
      <c r="R177" s="3331"/>
      <c r="S177" s="3332"/>
      <c r="T177" s="3331"/>
      <c r="U177" s="3331"/>
      <c r="V177" s="3331"/>
      <c r="W177" s="3331"/>
      <c r="X177" s="3331"/>
      <c r="Y177" s="3331"/>
      <c r="Z177" s="2743"/>
      <c r="AA177" s="2709">
        <v>1</v>
      </c>
      <c r="AB177" s="2093" t="s">
        <v>949</v>
      </c>
      <c r="AC177" s="2083">
        <v>6952.65</v>
      </c>
      <c r="AD177" s="2093" t="str">
        <f>AB177</f>
        <v>      Прочие амортизационные отчисления</v>
      </c>
      <c r="AE177" s="2083"/>
      <c r="AF177" s="3324"/>
      <c r="AG177" s="3325"/>
      <c r="AH177" s="3325"/>
      <c r="AI177" s="3324"/>
      <c r="AJ177" s="3325"/>
      <c r="AK177" s="3325"/>
      <c r="AL177" s="3424"/>
      <c r="AM177" s="2738"/>
      <c r="AN177" s="2738"/>
      <c r="AO177" s="2738"/>
      <c r="AP177" s="2738"/>
      <c r="AQ177" s="2738"/>
      <c r="AR177" s="2738"/>
      <c r="AS177" s="2738"/>
      <c r="AT177" s="2738"/>
      <c r="AU177" s="2738"/>
      <c r="AV177" s="2738"/>
      <c r="AW177" s="2738"/>
      <c r="AX177" s="2738"/>
      <c r="AY177" s="2738"/>
      <c r="AZ177" s="2738"/>
      <c r="BA177" s="2738"/>
      <c r="BB177" s="2738"/>
      <c r="BC177" s="2738"/>
      <c r="BD177" s="2738"/>
      <c r="BE177" s="2738"/>
      <c r="BF177" s="2738"/>
    </row>
    <row customHeight="1" ht="11.25">
      <c r="A178" s="2080" t="s">
        <v>905</v>
      </c>
      <c r="B178" s="2080"/>
      <c r="C178" s="2080"/>
      <c r="D178" s="2074"/>
      <c r="E178" s="2084"/>
      <c r="F178" s="2745"/>
      <c r="G178" s="2745"/>
      <c r="H178" s="2745"/>
      <c r="I178" s="2745"/>
      <c r="J178" s="2745"/>
      <c r="K178" s="2745"/>
      <c r="L178" s="2745"/>
      <c r="M178" s="2745"/>
      <c r="N178" s="2745"/>
      <c r="O178" s="2745"/>
      <c r="P178" s="2745"/>
      <c r="Q178" s="2745"/>
      <c r="R178" s="2745"/>
      <c r="S178" s="2745"/>
      <c r="T178" s="2745"/>
      <c r="U178" s="2745"/>
      <c r="V178" s="2745"/>
      <c r="W178" s="2745"/>
      <c r="X178" s="2745"/>
      <c r="Y178" s="2745"/>
      <c r="Z178" s="15875" t="s">
        <v>844</v>
      </c>
      <c r="AA178" s="2729" t="s">
        <v>103</v>
      </c>
      <c r="AB178" s="2093" t="s">
        <v>941</v>
      </c>
      <c r="AC178" s="2083">
        <v>7414.59</v>
      </c>
      <c r="AD178" s="2093" t="str">
        <f>AB178</f>
        <v>  Прочие</v>
      </c>
      <c r="AE178" s="2083"/>
      <c r="AF178" s="2746"/>
      <c r="AG178" s="2674"/>
      <c r="AH178" s="2674"/>
      <c r="AI178" s="2746"/>
      <c r="AJ178" s="2674"/>
      <c r="AK178" s="3423"/>
      <c r="AL178" s="3424"/>
      <c r="AM178" s="2738"/>
      <c r="AN178" s="2738"/>
      <c r="AO178" s="2738"/>
      <c r="AP178" s="2738"/>
      <c r="AQ178" s="2738"/>
      <c r="AR178" s="2738"/>
      <c r="AS178" s="2738"/>
      <c r="AT178" s="2738"/>
      <c r="AU178" s="2738"/>
      <c r="AV178" s="2738"/>
      <c r="AW178" s="2738"/>
      <c r="AX178" s="2738"/>
      <c r="AY178" s="2738"/>
      <c r="AZ178" s="2738"/>
      <c r="BA178" s="2738"/>
      <c r="BB178" s="2738"/>
      <c r="BC178" s="2738"/>
      <c r="BD178" s="2738"/>
      <c r="BE178" s="2738"/>
      <c r="BF178" s="2738"/>
    </row>
    <row customHeight="1" ht="11.25">
      <c r="A179" s="2080" t="s">
        <v>905</v>
      </c>
      <c r="B179" s="2080"/>
      <c r="C179" s="2080"/>
      <c r="D179" s="2074"/>
      <c r="E179" s="2084"/>
      <c r="F179" s="2744"/>
      <c r="G179" s="2745"/>
      <c r="H179" s="3333" t="s">
        <v>973</v>
      </c>
      <c r="I179" s="3334"/>
      <c r="J179" s="15876"/>
      <c r="K179" s="3335"/>
      <c r="L179" s="2933"/>
      <c r="M179" s="2934"/>
      <c r="N179" s="3398"/>
      <c r="O179" s="3421"/>
      <c r="P179" s="3330"/>
      <c r="Q179" s="3331"/>
      <c r="R179" s="3331"/>
      <c r="S179" s="3332"/>
      <c r="T179" s="3331"/>
      <c r="U179" s="3331"/>
      <c r="V179" s="3331"/>
      <c r="W179" s="3331"/>
      <c r="X179" s="3331"/>
      <c r="Y179" s="3331"/>
      <c r="Z179" s="2089"/>
      <c r="AA179" s="2090"/>
      <c r="AB179" s="2155" t="s">
        <v>942</v>
      </c>
      <c r="AC179" s="2094"/>
      <c r="AD179" s="2094"/>
      <c r="AE179" s="2096"/>
      <c r="AF179" s="3324"/>
      <c r="AG179" s="3325"/>
      <c r="AH179" s="3325"/>
      <c r="AI179" s="3324"/>
      <c r="AJ179" s="3325"/>
      <c r="AK179" s="3325"/>
      <c r="AL179" s="3424"/>
      <c r="AM179" s="2738"/>
      <c r="AN179" s="2738"/>
      <c r="AO179" s="2738"/>
      <c r="AP179" s="2738"/>
      <c r="AQ179" s="2738"/>
      <c r="AR179" s="2738"/>
      <c r="AS179" s="2738"/>
      <c r="AT179" s="2738"/>
      <c r="AU179" s="2738"/>
      <c r="AV179" s="2738"/>
      <c r="AW179" s="2738"/>
      <c r="AX179" s="2738"/>
      <c r="AY179" s="2738"/>
      <c r="AZ179" s="2738"/>
      <c r="BA179" s="2738"/>
      <c r="BB179" s="2738"/>
      <c r="BC179" s="2738"/>
      <c r="BD179" s="2738"/>
      <c r="BE179" s="2738"/>
      <c r="BF179" s="2738"/>
    </row>
    <row customHeight="1" ht="11.25">
      <c r="A180" s="2080" t="s">
        <v>905</v>
      </c>
      <c r="B180" s="2080"/>
      <c r="C180" s="2080"/>
      <c r="D180" s="2074"/>
      <c r="E180" s="2084"/>
      <c r="F180" s="2744"/>
      <c r="G180" s="2745"/>
      <c r="H180" s="3333" t="s">
        <v>973</v>
      </c>
      <c r="I180" s="3334"/>
      <c r="J180" s="15876"/>
      <c r="K180" s="3335"/>
      <c r="L180" s="2933"/>
      <c r="M180" s="2934"/>
      <c r="N180" s="2089"/>
      <c r="O180" s="2090"/>
      <c r="P180" s="2082" t="s">
        <v>943</v>
      </c>
      <c r="Q180" s="2090"/>
      <c r="R180" s="2090"/>
      <c r="S180" s="2090"/>
      <c r="T180" s="2090"/>
      <c r="U180" s="2090"/>
      <c r="V180" s="2090"/>
      <c r="W180" s="2090"/>
      <c r="X180" s="2090"/>
      <c r="Y180" s="2090"/>
      <c r="Z180" s="2090"/>
      <c r="AA180" s="2090"/>
      <c r="AB180" s="2090"/>
      <c r="AC180" s="2090"/>
      <c r="AD180" s="2090"/>
      <c r="AE180" s="2097"/>
      <c r="AF180" s="3324"/>
      <c r="AG180" s="3325"/>
      <c r="AH180" s="3325"/>
      <c r="AI180" s="3324"/>
      <c r="AJ180" s="3325"/>
      <c r="AK180" s="3325"/>
      <c r="AL180" s="3424"/>
      <c r="AM180" s="2738"/>
      <c r="AN180" s="2738"/>
      <c r="AO180" s="2738"/>
      <c r="AP180" s="2738"/>
      <c r="AQ180" s="2738"/>
      <c r="AR180" s="2738"/>
      <c r="AS180" s="2738"/>
      <c r="AT180" s="2738"/>
      <c r="AU180" s="2738"/>
      <c r="AV180" s="2738"/>
      <c r="AW180" s="2738"/>
      <c r="AX180" s="2738"/>
      <c r="AY180" s="2738"/>
      <c r="AZ180" s="2738"/>
      <c r="BA180" s="2738"/>
      <c r="BB180" s="2738"/>
      <c r="BC180" s="2738"/>
      <c r="BD180" s="2738"/>
      <c r="BE180" s="2738"/>
      <c r="BF180" s="2738"/>
    </row>
    <row customHeight="1" ht="18">
      <c r="A181" s="2080" t="s">
        <v>905</v>
      </c>
      <c r="B181" s="2080" t="s">
        <v>18</v>
      </c>
      <c r="C181" s="2080"/>
      <c r="D181" s="2074"/>
      <c r="E181" s="2084"/>
      <c r="F181" s="2744"/>
      <c r="G181" s="13093" t="s">
        <v>844</v>
      </c>
      <c r="H181" s="3333" t="s">
        <v>976</v>
      </c>
      <c r="I181" s="3334" t="s">
        <v>956</v>
      </c>
      <c r="J181" s="15876" t="s">
        <v>18</v>
      </c>
      <c r="K181" s="3335" t="s">
        <v>977</v>
      </c>
      <c r="L181" s="2933" t="s">
        <v>52</v>
      </c>
      <c r="M181" s="2934"/>
      <c r="N181" s="3422"/>
      <c r="O181" s="2091" t="s">
        <v>367</v>
      </c>
      <c r="P181" s="2092"/>
      <c r="Q181" s="2092"/>
      <c r="R181" s="2092"/>
      <c r="S181" s="2092"/>
      <c r="T181" s="2092"/>
      <c r="U181" s="2092"/>
      <c r="V181" s="2092"/>
      <c r="W181" s="2092"/>
      <c r="X181" s="2092"/>
      <c r="Y181" s="2092"/>
      <c r="Z181" s="2092"/>
      <c r="AA181" s="2092"/>
      <c r="AB181" s="2092"/>
      <c r="AC181" s="2092"/>
      <c r="AD181" s="2092"/>
      <c r="AE181" s="2092"/>
      <c r="AF181" s="3324">
        <v>3</v>
      </c>
      <c r="AG181" s="3325" t="s">
        <v>939</v>
      </c>
      <c r="AH181" s="3325" t="s">
        <v>953</v>
      </c>
      <c r="AI181" s="3324"/>
      <c r="AJ181" s="3325"/>
      <c r="AK181" s="3325"/>
      <c r="AL181" s="3424"/>
      <c r="AM181" s="2738"/>
      <c r="AN181" s="2738"/>
      <c r="AO181" s="2738"/>
      <c r="AP181" s="2738"/>
      <c r="AQ181" s="2738"/>
      <c r="AR181" s="2738"/>
      <c r="AS181" s="2738"/>
      <c r="AT181" s="2738"/>
      <c r="AU181" s="2738"/>
      <c r="AV181" s="2738"/>
      <c r="AW181" s="2738"/>
      <c r="AX181" s="2738"/>
      <c r="AY181" s="2738"/>
      <c r="AZ181" s="2738"/>
      <c r="BA181" s="2738"/>
      <c r="BB181" s="2738"/>
      <c r="BC181" s="2738"/>
      <c r="BD181" s="2738"/>
      <c r="BE181" s="2738"/>
      <c r="BF181" s="2738"/>
    </row>
    <row customHeight="1" ht="11.25">
      <c r="A182" s="2080" t="s">
        <v>905</v>
      </c>
      <c r="B182" s="2080"/>
      <c r="C182" s="2080"/>
      <c r="D182" s="2074"/>
      <c r="E182" s="2084"/>
      <c r="F182" s="2744"/>
      <c r="G182" s="2745"/>
      <c r="H182" s="3333" t="s">
        <v>975</v>
      </c>
      <c r="I182" s="3334"/>
      <c r="J182" s="15876"/>
      <c r="K182" s="3335"/>
      <c r="L182" s="2933"/>
      <c r="M182" s="2934"/>
      <c r="N182" s="3398"/>
      <c r="O182" s="3421">
        <v>1</v>
      </c>
      <c r="P182" s="3328" t="s">
        <v>52</v>
      </c>
      <c r="Q182" s="3331" t="s">
        <v>18</v>
      </c>
      <c r="R182" s="3331" t="s">
        <v>18</v>
      </c>
      <c r="S182" s="3331" t="s">
        <v>18</v>
      </c>
      <c r="T182" s="3331" t="s">
        <v>18</v>
      </c>
      <c r="U182" s="3331" t="s">
        <v>18</v>
      </c>
      <c r="V182" s="3331" t="s">
        <v>18</v>
      </c>
      <c r="W182" s="3331" t="s">
        <v>18</v>
      </c>
      <c r="X182" s="3331" t="s">
        <v>18</v>
      </c>
      <c r="Y182" s="3331"/>
      <c r="Z182" s="2089"/>
      <c r="AA182" s="2090"/>
      <c r="AB182" s="2090"/>
      <c r="AC182" s="2094"/>
      <c r="AD182" s="2094"/>
      <c r="AE182" s="2095"/>
      <c r="AF182" s="3324"/>
      <c r="AG182" s="3325"/>
      <c r="AH182" s="3325"/>
      <c r="AI182" s="3324"/>
      <c r="AJ182" s="3325"/>
      <c r="AK182" s="3325"/>
      <c r="AL182" s="3424"/>
      <c r="AM182" s="2738"/>
      <c r="AN182" s="2738"/>
      <c r="AO182" s="2738"/>
      <c r="AP182" s="2738"/>
      <c r="AQ182" s="2738"/>
      <c r="AR182" s="2738"/>
      <c r="AS182" s="2738"/>
      <c r="AT182" s="2738"/>
      <c r="AU182" s="2738"/>
      <c r="AV182" s="2738"/>
      <c r="AW182" s="2738"/>
      <c r="AX182" s="2738"/>
      <c r="AY182" s="2738"/>
      <c r="AZ182" s="2738"/>
      <c r="BA182" s="2738"/>
      <c r="BB182" s="2738"/>
      <c r="BC182" s="2738"/>
      <c r="BD182" s="2738"/>
      <c r="BE182" s="2738"/>
      <c r="BF182" s="2738"/>
    </row>
    <row customHeight="1" ht="21">
      <c r="A183" s="2080" t="s">
        <v>905</v>
      </c>
      <c r="B183" s="2080"/>
      <c r="C183" s="2080"/>
      <c r="D183" s="2074"/>
      <c r="E183" s="2084"/>
      <c r="F183" s="2744"/>
      <c r="G183" s="2745"/>
      <c r="H183" s="3333" t="s">
        <v>975</v>
      </c>
      <c r="I183" s="3334"/>
      <c r="J183" s="15876"/>
      <c r="K183" s="3335"/>
      <c r="L183" s="2933"/>
      <c r="M183" s="2934"/>
      <c r="N183" s="3398"/>
      <c r="O183" s="3421"/>
      <c r="P183" s="3329"/>
      <c r="Q183" s="3331"/>
      <c r="R183" s="3331"/>
      <c r="S183" s="3332"/>
      <c r="T183" s="3331"/>
      <c r="U183" s="3331"/>
      <c r="V183" s="3331"/>
      <c r="W183" s="3331"/>
      <c r="X183" s="3331"/>
      <c r="Y183" s="3331"/>
      <c r="Z183" s="2743"/>
      <c r="AA183" s="2709">
        <v>1</v>
      </c>
      <c r="AB183" s="2093" t="s">
        <v>949</v>
      </c>
      <c r="AC183" s="2083">
        <v>11614.18</v>
      </c>
      <c r="AD183" s="2093" t="str">
        <f>AB183</f>
        <v>      Прочие амортизационные отчисления</v>
      </c>
      <c r="AE183" s="2083"/>
      <c r="AF183" s="3324"/>
      <c r="AG183" s="3325"/>
      <c r="AH183" s="3325"/>
      <c r="AI183" s="3324"/>
      <c r="AJ183" s="3325"/>
      <c r="AK183" s="3325"/>
      <c r="AL183" s="3424"/>
      <c r="AM183" s="2738"/>
      <c r="AN183" s="2738"/>
      <c r="AO183" s="2738"/>
      <c r="AP183" s="2738"/>
      <c r="AQ183" s="2738"/>
      <c r="AR183" s="2738"/>
      <c r="AS183" s="2738"/>
      <c r="AT183" s="2738"/>
      <c r="AU183" s="2738"/>
      <c r="AV183" s="2738"/>
      <c r="AW183" s="2738"/>
      <c r="AX183" s="2738"/>
      <c r="AY183" s="2738"/>
      <c r="AZ183" s="2738"/>
      <c r="BA183" s="2738"/>
      <c r="BB183" s="2738"/>
      <c r="BC183" s="2738"/>
      <c r="BD183" s="2738"/>
      <c r="BE183" s="2738"/>
      <c r="BF183" s="2738"/>
    </row>
    <row customHeight="1" ht="11.25">
      <c r="A184" s="2080" t="s">
        <v>905</v>
      </c>
      <c r="B184" s="2080"/>
      <c r="C184" s="2080"/>
      <c r="D184" s="2074"/>
      <c r="E184" s="2084"/>
      <c r="F184" s="2745"/>
      <c r="G184" s="2745"/>
      <c r="H184" s="2745"/>
      <c r="I184" s="2745"/>
      <c r="J184" s="2745"/>
      <c r="K184" s="2745"/>
      <c r="L184" s="2745"/>
      <c r="M184" s="2745"/>
      <c r="N184" s="2745"/>
      <c r="O184" s="2745"/>
      <c r="P184" s="2745"/>
      <c r="Q184" s="2745"/>
      <c r="R184" s="2745"/>
      <c r="S184" s="2745"/>
      <c r="T184" s="2745"/>
      <c r="U184" s="2745"/>
      <c r="V184" s="2745"/>
      <c r="W184" s="2745"/>
      <c r="X184" s="2745"/>
      <c r="Y184" s="2745"/>
      <c r="Z184" s="15875" t="s">
        <v>844</v>
      </c>
      <c r="AA184" s="2729" t="s">
        <v>103</v>
      </c>
      <c r="AB184" s="2093" t="s">
        <v>941</v>
      </c>
      <c r="AC184" s="2083">
        <v>12385.82</v>
      </c>
      <c r="AD184" s="2093" t="str">
        <f>AB184</f>
        <v>  Прочие</v>
      </c>
      <c r="AE184" s="2083"/>
      <c r="AF184" s="2746"/>
      <c r="AG184" s="2674"/>
      <c r="AH184" s="2674"/>
      <c r="AI184" s="2746"/>
      <c r="AJ184" s="2674"/>
      <c r="AK184" s="3423"/>
      <c r="AL184" s="3424"/>
      <c r="AM184" s="2738"/>
      <c r="AN184" s="2738"/>
      <c r="AO184" s="2738"/>
      <c r="AP184" s="2738"/>
      <c r="AQ184" s="2738"/>
      <c r="AR184" s="2738"/>
      <c r="AS184" s="2738"/>
      <c r="AT184" s="2738"/>
      <c r="AU184" s="2738"/>
      <c r="AV184" s="2738"/>
      <c r="AW184" s="2738"/>
      <c r="AX184" s="2738"/>
      <c r="AY184" s="2738"/>
      <c r="AZ184" s="2738"/>
      <c r="BA184" s="2738"/>
      <c r="BB184" s="2738"/>
      <c r="BC184" s="2738"/>
      <c r="BD184" s="2738"/>
      <c r="BE184" s="2738"/>
      <c r="BF184" s="2738"/>
    </row>
    <row customHeight="1" ht="11.25">
      <c r="A185" s="2080" t="s">
        <v>905</v>
      </c>
      <c r="B185" s="2080"/>
      <c r="C185" s="2080"/>
      <c r="D185" s="2074"/>
      <c r="E185" s="2084"/>
      <c r="F185" s="2744"/>
      <c r="G185" s="2745"/>
      <c r="H185" s="3333" t="s">
        <v>975</v>
      </c>
      <c r="I185" s="3334"/>
      <c r="J185" s="15876"/>
      <c r="K185" s="3335"/>
      <c r="L185" s="2933"/>
      <c r="M185" s="2934"/>
      <c r="N185" s="3398"/>
      <c r="O185" s="3421"/>
      <c r="P185" s="3330"/>
      <c r="Q185" s="3331"/>
      <c r="R185" s="3331"/>
      <c r="S185" s="3332"/>
      <c r="T185" s="3331"/>
      <c r="U185" s="3331"/>
      <c r="V185" s="3331"/>
      <c r="W185" s="3331"/>
      <c r="X185" s="3331"/>
      <c r="Y185" s="3331"/>
      <c r="Z185" s="2089"/>
      <c r="AA185" s="2090"/>
      <c r="AB185" s="2155" t="s">
        <v>942</v>
      </c>
      <c r="AC185" s="2094"/>
      <c r="AD185" s="2094"/>
      <c r="AE185" s="2096"/>
      <c r="AF185" s="3324"/>
      <c r="AG185" s="3325"/>
      <c r="AH185" s="3325"/>
      <c r="AI185" s="3324"/>
      <c r="AJ185" s="3325"/>
      <c r="AK185" s="3325"/>
      <c r="AL185" s="3424"/>
      <c r="AM185" s="2738"/>
      <c r="AN185" s="2738"/>
      <c r="AO185" s="2738"/>
      <c r="AP185" s="2738"/>
      <c r="AQ185" s="2738"/>
      <c r="AR185" s="2738"/>
      <c r="AS185" s="2738"/>
      <c r="AT185" s="2738"/>
      <c r="AU185" s="2738"/>
      <c r="AV185" s="2738"/>
      <c r="AW185" s="2738"/>
      <c r="AX185" s="2738"/>
      <c r="AY185" s="2738"/>
      <c r="AZ185" s="2738"/>
      <c r="BA185" s="2738"/>
      <c r="BB185" s="2738"/>
      <c r="BC185" s="2738"/>
      <c r="BD185" s="2738"/>
      <c r="BE185" s="2738"/>
      <c r="BF185" s="2738"/>
    </row>
    <row customHeight="1" ht="11.25">
      <c r="A186" s="2080" t="s">
        <v>905</v>
      </c>
      <c r="B186" s="2080"/>
      <c r="C186" s="2080"/>
      <c r="D186" s="2074"/>
      <c r="E186" s="2084"/>
      <c r="F186" s="2744"/>
      <c r="G186" s="2745"/>
      <c r="H186" s="3333" t="s">
        <v>975</v>
      </c>
      <c r="I186" s="3334"/>
      <c r="J186" s="15876"/>
      <c r="K186" s="3335"/>
      <c r="L186" s="2933"/>
      <c r="M186" s="2934"/>
      <c r="N186" s="2089"/>
      <c r="O186" s="2090"/>
      <c r="P186" s="2082" t="s">
        <v>943</v>
      </c>
      <c r="Q186" s="2090"/>
      <c r="R186" s="2090"/>
      <c r="S186" s="2090"/>
      <c r="T186" s="2090"/>
      <c r="U186" s="2090"/>
      <c r="V186" s="2090"/>
      <c r="W186" s="2090"/>
      <c r="X186" s="2090"/>
      <c r="Y186" s="2090"/>
      <c r="Z186" s="2090"/>
      <c r="AA186" s="2090"/>
      <c r="AB186" s="2090"/>
      <c r="AC186" s="2090"/>
      <c r="AD186" s="2090"/>
      <c r="AE186" s="2097"/>
      <c r="AF186" s="3324"/>
      <c r="AG186" s="3325"/>
      <c r="AH186" s="3325"/>
      <c r="AI186" s="3324"/>
      <c r="AJ186" s="3325"/>
      <c r="AK186" s="3325"/>
      <c r="AL186" s="3424"/>
      <c r="AM186" s="2738"/>
      <c r="AN186" s="2738"/>
      <c r="AO186" s="2738"/>
      <c r="AP186" s="2738"/>
      <c r="AQ186" s="2738"/>
      <c r="AR186" s="2738"/>
      <c r="AS186" s="2738"/>
      <c r="AT186" s="2738"/>
      <c r="AU186" s="2738"/>
      <c r="AV186" s="2738"/>
      <c r="AW186" s="2738"/>
      <c r="AX186" s="2738"/>
      <c r="AY186" s="2738"/>
      <c r="AZ186" s="2738"/>
      <c r="BA186" s="2738"/>
      <c r="BB186" s="2738"/>
      <c r="BC186" s="2738"/>
      <c r="BD186" s="2738"/>
      <c r="BE186" s="2738"/>
      <c r="BF186" s="2738"/>
    </row>
    <row customHeight="1" ht="11.25">
      <c r="A187" s="2080" t="s">
        <v>905</v>
      </c>
      <c r="B187" s="2080" t="s">
        <v>18</v>
      </c>
      <c r="C187" s="2080"/>
      <c r="D187" s="2074"/>
      <c r="E187" s="2084"/>
      <c r="F187" s="2744"/>
      <c r="G187" s="13093" t="s">
        <v>844</v>
      </c>
      <c r="H187" s="3333" t="s">
        <v>978</v>
      </c>
      <c r="I187" s="3334" t="s">
        <v>959</v>
      </c>
      <c r="J187" s="15876" t="s">
        <v>18</v>
      </c>
      <c r="K187" s="3335" t="s">
        <v>962</v>
      </c>
      <c r="L187" s="2933" t="s">
        <v>52</v>
      </c>
      <c r="M187" s="2934"/>
      <c r="N187" s="3422"/>
      <c r="O187" s="2091" t="s">
        <v>367</v>
      </c>
      <c r="P187" s="2092"/>
      <c r="Q187" s="2092"/>
      <c r="R187" s="2092"/>
      <c r="S187" s="2092"/>
      <c r="T187" s="2092"/>
      <c r="U187" s="2092"/>
      <c r="V187" s="2092"/>
      <c r="W187" s="2092"/>
      <c r="X187" s="2092"/>
      <c r="Y187" s="2092"/>
      <c r="Z187" s="2092"/>
      <c r="AA187" s="2092"/>
      <c r="AB187" s="2092"/>
      <c r="AC187" s="2092"/>
      <c r="AD187" s="2092"/>
      <c r="AE187" s="2092"/>
      <c r="AF187" s="3324">
        <v>6</v>
      </c>
      <c r="AG187" s="3325" t="s">
        <v>939</v>
      </c>
      <c r="AH187" s="3325" t="s">
        <v>940</v>
      </c>
      <c r="AI187" s="3324"/>
      <c r="AJ187" s="3325"/>
      <c r="AK187" s="3325"/>
      <c r="AL187" s="3424"/>
      <c r="AM187" s="2738"/>
      <c r="AN187" s="2738"/>
      <c r="AO187" s="2738"/>
      <c r="AP187" s="2738"/>
      <c r="AQ187" s="2738"/>
      <c r="AR187" s="2738"/>
      <c r="AS187" s="2738"/>
      <c r="AT187" s="2738"/>
      <c r="AU187" s="2738"/>
      <c r="AV187" s="2738"/>
      <c r="AW187" s="2738"/>
      <c r="AX187" s="2738"/>
      <c r="AY187" s="2738"/>
      <c r="AZ187" s="2738"/>
      <c r="BA187" s="2738"/>
      <c r="BB187" s="2738"/>
      <c r="BC187" s="2738"/>
      <c r="BD187" s="2738"/>
      <c r="BE187" s="2738"/>
      <c r="BF187" s="2738"/>
    </row>
    <row customHeight="1" ht="11.25">
      <c r="A188" s="2080" t="s">
        <v>905</v>
      </c>
      <c r="B188" s="2080"/>
      <c r="C188" s="2080"/>
      <c r="D188" s="2074"/>
      <c r="E188" s="2084"/>
      <c r="F188" s="2744"/>
      <c r="G188" s="2745"/>
      <c r="H188" s="3333" t="s">
        <v>976</v>
      </c>
      <c r="I188" s="3334"/>
      <c r="J188" s="15876"/>
      <c r="K188" s="3335"/>
      <c r="L188" s="2933"/>
      <c r="M188" s="2934"/>
      <c r="N188" s="3398"/>
      <c r="O188" s="3421">
        <v>1</v>
      </c>
      <c r="P188" s="3328" t="s">
        <v>52</v>
      </c>
      <c r="Q188" s="3331" t="s">
        <v>18</v>
      </c>
      <c r="R188" s="3331" t="s">
        <v>18</v>
      </c>
      <c r="S188" s="3331" t="s">
        <v>18</v>
      </c>
      <c r="T188" s="3331" t="s">
        <v>18</v>
      </c>
      <c r="U188" s="3331" t="s">
        <v>18</v>
      </c>
      <c r="V188" s="3331" t="s">
        <v>18</v>
      </c>
      <c r="W188" s="3331" t="s">
        <v>18</v>
      </c>
      <c r="X188" s="3331" t="s">
        <v>18</v>
      </c>
      <c r="Y188" s="3331"/>
      <c r="Z188" s="2089"/>
      <c r="AA188" s="2090"/>
      <c r="AB188" s="2090"/>
      <c r="AC188" s="2094"/>
      <c r="AD188" s="2094"/>
      <c r="AE188" s="2095"/>
      <c r="AF188" s="3324"/>
      <c r="AG188" s="3325"/>
      <c r="AH188" s="3325"/>
      <c r="AI188" s="3324"/>
      <c r="AJ188" s="3325"/>
      <c r="AK188" s="3325"/>
      <c r="AL188" s="3424"/>
      <c r="AM188" s="2738"/>
      <c r="AN188" s="2738"/>
      <c r="AO188" s="2738"/>
      <c r="AP188" s="2738"/>
      <c r="AQ188" s="2738"/>
      <c r="AR188" s="2738"/>
      <c r="AS188" s="2738"/>
      <c r="AT188" s="2738"/>
      <c r="AU188" s="2738"/>
      <c r="AV188" s="2738"/>
      <c r="AW188" s="2738"/>
      <c r="AX188" s="2738"/>
      <c r="AY188" s="2738"/>
      <c r="AZ188" s="2738"/>
      <c r="BA188" s="2738"/>
      <c r="BB188" s="2738"/>
      <c r="BC188" s="2738"/>
      <c r="BD188" s="2738"/>
      <c r="BE188" s="2738"/>
      <c r="BF188" s="2738"/>
    </row>
    <row customHeight="1" ht="11.25">
      <c r="A189" s="2080" t="s">
        <v>905</v>
      </c>
      <c r="B189" s="2080"/>
      <c r="C189" s="2080"/>
      <c r="D189" s="2074"/>
      <c r="E189" s="2084"/>
      <c r="F189" s="2744"/>
      <c r="G189" s="2745"/>
      <c r="H189" s="3333" t="s">
        <v>976</v>
      </c>
      <c r="I189" s="3334"/>
      <c r="J189" s="15876"/>
      <c r="K189" s="3335"/>
      <c r="L189" s="2933"/>
      <c r="M189" s="2934"/>
      <c r="N189" s="3398"/>
      <c r="O189" s="3421"/>
      <c r="P189" s="3329"/>
      <c r="Q189" s="3331"/>
      <c r="R189" s="3331"/>
      <c r="S189" s="3332"/>
      <c r="T189" s="3331"/>
      <c r="U189" s="3331"/>
      <c r="V189" s="3331"/>
      <c r="W189" s="3331"/>
      <c r="X189" s="3331"/>
      <c r="Y189" s="3331"/>
      <c r="Z189" s="2743"/>
      <c r="AA189" s="2709">
        <v>1</v>
      </c>
      <c r="AB189" s="2093" t="s">
        <v>949</v>
      </c>
      <c r="AC189" s="2083">
        <v>86249.29</v>
      </c>
      <c r="AD189" s="2093" t="str">
        <f>AB189</f>
        <v>      Прочие амортизационные отчисления</v>
      </c>
      <c r="AE189" s="2083"/>
      <c r="AF189" s="3324"/>
      <c r="AG189" s="3325"/>
      <c r="AH189" s="3325"/>
      <c r="AI189" s="3324"/>
      <c r="AJ189" s="3325"/>
      <c r="AK189" s="3325"/>
      <c r="AL189" s="3424"/>
      <c r="AM189" s="2738"/>
      <c r="AN189" s="2738"/>
      <c r="AO189" s="2738"/>
      <c r="AP189" s="2738"/>
      <c r="AQ189" s="2738"/>
      <c r="AR189" s="2738"/>
      <c r="AS189" s="2738"/>
      <c r="AT189" s="2738"/>
      <c r="AU189" s="2738"/>
      <c r="AV189" s="2738"/>
      <c r="AW189" s="2738"/>
      <c r="AX189" s="2738"/>
      <c r="AY189" s="2738"/>
      <c r="AZ189" s="2738"/>
      <c r="BA189" s="2738"/>
      <c r="BB189" s="2738"/>
      <c r="BC189" s="2738"/>
      <c r="BD189" s="2738"/>
      <c r="BE189" s="2738"/>
      <c r="BF189" s="2738"/>
    </row>
    <row customHeight="1" ht="11.25">
      <c r="A190" s="2080" t="s">
        <v>905</v>
      </c>
      <c r="B190" s="2080"/>
      <c r="C190" s="2080"/>
      <c r="D190" s="2074"/>
      <c r="E190" s="2084"/>
      <c r="F190" s="2745"/>
      <c r="G190" s="2745"/>
      <c r="H190" s="2745"/>
      <c r="I190" s="2745"/>
      <c r="J190" s="2745"/>
      <c r="K190" s="2745"/>
      <c r="L190" s="2745"/>
      <c r="M190" s="2745"/>
      <c r="N190" s="2745"/>
      <c r="O190" s="2745"/>
      <c r="P190" s="2745"/>
      <c r="Q190" s="2745"/>
      <c r="R190" s="2745"/>
      <c r="S190" s="2745"/>
      <c r="T190" s="2745"/>
      <c r="U190" s="2745"/>
      <c r="V190" s="2745"/>
      <c r="W190" s="2745"/>
      <c r="X190" s="2745"/>
      <c r="Y190" s="2745"/>
      <c r="Z190" s="15875" t="s">
        <v>844</v>
      </c>
      <c r="AA190" s="2729" t="s">
        <v>103</v>
      </c>
      <c r="AB190" s="2093" t="s">
        <v>941</v>
      </c>
      <c r="AC190" s="2083">
        <v>91979.71</v>
      </c>
      <c r="AD190" s="2093" t="str">
        <f>AB190</f>
        <v>  Прочие</v>
      </c>
      <c r="AE190" s="2083"/>
      <c r="AF190" s="2746"/>
      <c r="AG190" s="2674"/>
      <c r="AH190" s="2674"/>
      <c r="AI190" s="2746"/>
      <c r="AJ190" s="2674"/>
      <c r="AK190" s="3423"/>
      <c r="AL190" s="3424"/>
      <c r="AM190" s="2738"/>
      <c r="AN190" s="2738"/>
      <c r="AO190" s="2738"/>
      <c r="AP190" s="2738"/>
      <c r="AQ190" s="2738"/>
      <c r="AR190" s="2738"/>
      <c r="AS190" s="2738"/>
      <c r="AT190" s="2738"/>
      <c r="AU190" s="2738"/>
      <c r="AV190" s="2738"/>
      <c r="AW190" s="2738"/>
      <c r="AX190" s="2738"/>
      <c r="AY190" s="2738"/>
      <c r="AZ190" s="2738"/>
      <c r="BA190" s="2738"/>
      <c r="BB190" s="2738"/>
      <c r="BC190" s="2738"/>
      <c r="BD190" s="2738"/>
      <c r="BE190" s="2738"/>
      <c r="BF190" s="2738"/>
    </row>
    <row customHeight="1" ht="11.25">
      <c r="A191" s="2080" t="s">
        <v>905</v>
      </c>
      <c r="B191" s="2080"/>
      <c r="C191" s="2080"/>
      <c r="D191" s="2074"/>
      <c r="E191" s="2084"/>
      <c r="F191" s="2744"/>
      <c r="G191" s="2745"/>
      <c r="H191" s="3333" t="s">
        <v>976</v>
      </c>
      <c r="I191" s="3334"/>
      <c r="J191" s="15876"/>
      <c r="K191" s="3335"/>
      <c r="L191" s="2933"/>
      <c r="M191" s="2934"/>
      <c r="N191" s="3398"/>
      <c r="O191" s="3421"/>
      <c r="P191" s="3330"/>
      <c r="Q191" s="3331"/>
      <c r="R191" s="3331"/>
      <c r="S191" s="3332"/>
      <c r="T191" s="3331"/>
      <c r="U191" s="3331"/>
      <c r="V191" s="3331"/>
      <c r="W191" s="3331"/>
      <c r="X191" s="3331"/>
      <c r="Y191" s="3331"/>
      <c r="Z191" s="2089"/>
      <c r="AA191" s="2090"/>
      <c r="AB191" s="2155" t="s">
        <v>942</v>
      </c>
      <c r="AC191" s="2094"/>
      <c r="AD191" s="2094"/>
      <c r="AE191" s="2096"/>
      <c r="AF191" s="3324"/>
      <c r="AG191" s="3325"/>
      <c r="AH191" s="3325"/>
      <c r="AI191" s="3324"/>
      <c r="AJ191" s="3325"/>
      <c r="AK191" s="3325"/>
      <c r="AL191" s="3424"/>
      <c r="AM191" s="2738"/>
      <c r="AN191" s="2738"/>
      <c r="AO191" s="2738"/>
      <c r="AP191" s="2738"/>
      <c r="AQ191" s="2738"/>
      <c r="AR191" s="2738"/>
      <c r="AS191" s="2738"/>
      <c r="AT191" s="2738"/>
      <c r="AU191" s="2738"/>
      <c r="AV191" s="2738"/>
      <c r="AW191" s="2738"/>
      <c r="AX191" s="2738"/>
      <c r="AY191" s="2738"/>
      <c r="AZ191" s="2738"/>
      <c r="BA191" s="2738"/>
      <c r="BB191" s="2738"/>
      <c r="BC191" s="2738"/>
      <c r="BD191" s="2738"/>
      <c r="BE191" s="2738"/>
      <c r="BF191" s="2738"/>
    </row>
    <row customHeight="1" ht="11.25">
      <c r="A192" s="2080" t="s">
        <v>905</v>
      </c>
      <c r="B192" s="2080"/>
      <c r="C192" s="2080"/>
      <c r="D192" s="2074"/>
      <c r="E192" s="2084"/>
      <c r="F192" s="2744"/>
      <c r="G192" s="2745"/>
      <c r="H192" s="3333" t="s">
        <v>976</v>
      </c>
      <c r="I192" s="3334"/>
      <c r="J192" s="15876"/>
      <c r="K192" s="3335"/>
      <c r="L192" s="2933"/>
      <c r="M192" s="2934"/>
      <c r="N192" s="2089"/>
      <c r="O192" s="2090"/>
      <c r="P192" s="2082" t="s">
        <v>943</v>
      </c>
      <c r="Q192" s="2090"/>
      <c r="R192" s="2090"/>
      <c r="S192" s="2090"/>
      <c r="T192" s="2090"/>
      <c r="U192" s="2090"/>
      <c r="V192" s="2090"/>
      <c r="W192" s="2090"/>
      <c r="X192" s="2090"/>
      <c r="Y192" s="2090"/>
      <c r="Z192" s="2090"/>
      <c r="AA192" s="2090"/>
      <c r="AB192" s="2090"/>
      <c r="AC192" s="2090"/>
      <c r="AD192" s="2090"/>
      <c r="AE192" s="2097"/>
      <c r="AF192" s="3324"/>
      <c r="AG192" s="3325"/>
      <c r="AH192" s="3325"/>
      <c r="AI192" s="3324"/>
      <c r="AJ192" s="3325"/>
      <c r="AK192" s="3325"/>
      <c r="AL192" s="3424"/>
      <c r="AM192" s="2738"/>
      <c r="AN192" s="2738"/>
      <c r="AO192" s="2738"/>
      <c r="AP192" s="2738"/>
      <c r="AQ192" s="2738"/>
      <c r="AR192" s="2738"/>
      <c r="AS192" s="2738"/>
      <c r="AT192" s="2738"/>
      <c r="AU192" s="2738"/>
      <c r="AV192" s="2738"/>
      <c r="AW192" s="2738"/>
      <c r="AX192" s="2738"/>
      <c r="AY192" s="2738"/>
      <c r="AZ192" s="2738"/>
      <c r="BA192" s="2738"/>
      <c r="BB192" s="2738"/>
      <c r="BC192" s="2738"/>
      <c r="BD192" s="2738"/>
      <c r="BE192" s="2738"/>
      <c r="BF192" s="2738"/>
    </row>
    <row customHeight="1" ht="11.25">
      <c r="A193" s="2080" t="s">
        <v>905</v>
      </c>
      <c r="B193" s="2080" t="s">
        <v>18</v>
      </c>
      <c r="C193" s="2080"/>
      <c r="D193" s="2074"/>
      <c r="E193" s="2084"/>
      <c r="F193" s="2744"/>
      <c r="G193" s="13093" t="s">
        <v>844</v>
      </c>
      <c r="H193" s="3333" t="s">
        <v>979</v>
      </c>
      <c r="I193" s="3334" t="s">
        <v>959</v>
      </c>
      <c r="J193" s="15876" t="s">
        <v>18</v>
      </c>
      <c r="K193" s="3335" t="s">
        <v>964</v>
      </c>
      <c r="L193" s="2933" t="s">
        <v>52</v>
      </c>
      <c r="M193" s="2934"/>
      <c r="N193" s="3422"/>
      <c r="O193" s="2091" t="s">
        <v>367</v>
      </c>
      <c r="P193" s="2092"/>
      <c r="Q193" s="2092"/>
      <c r="R193" s="2092"/>
      <c r="S193" s="2092"/>
      <c r="T193" s="2092"/>
      <c r="U193" s="2092"/>
      <c r="V193" s="2092"/>
      <c r="W193" s="2092"/>
      <c r="X193" s="2092"/>
      <c r="Y193" s="2092"/>
      <c r="Z193" s="2092"/>
      <c r="AA193" s="2092"/>
      <c r="AB193" s="2092"/>
      <c r="AC193" s="2092"/>
      <c r="AD193" s="2092"/>
      <c r="AE193" s="2092"/>
      <c r="AF193" s="3324">
        <v>3</v>
      </c>
      <c r="AG193" s="3325" t="s">
        <v>939</v>
      </c>
      <c r="AH193" s="3325" t="s">
        <v>948</v>
      </c>
      <c r="AI193" s="3324"/>
      <c r="AJ193" s="3325"/>
      <c r="AK193" s="3325"/>
      <c r="AL193" s="3424"/>
      <c r="AM193" s="2738"/>
      <c r="AN193" s="2738"/>
      <c r="AO193" s="2738"/>
      <c r="AP193" s="2738"/>
      <c r="AQ193" s="2738"/>
      <c r="AR193" s="2738"/>
      <c r="AS193" s="2738"/>
      <c r="AT193" s="2738"/>
      <c r="AU193" s="2738"/>
      <c r="AV193" s="2738"/>
      <c r="AW193" s="2738"/>
      <c r="AX193" s="2738"/>
      <c r="AY193" s="2738"/>
      <c r="AZ193" s="2738"/>
      <c r="BA193" s="2738"/>
      <c r="BB193" s="2738"/>
      <c r="BC193" s="2738"/>
      <c r="BD193" s="2738"/>
      <c r="BE193" s="2738"/>
      <c r="BF193" s="2738"/>
    </row>
    <row customHeight="1" ht="11.25">
      <c r="A194" s="2080" t="s">
        <v>905</v>
      </c>
      <c r="B194" s="2080"/>
      <c r="C194" s="2080"/>
      <c r="D194" s="2074"/>
      <c r="E194" s="2084"/>
      <c r="F194" s="2744"/>
      <c r="G194" s="2745"/>
      <c r="H194" s="3333" t="s">
        <v>978</v>
      </c>
      <c r="I194" s="3334"/>
      <c r="J194" s="15876"/>
      <c r="K194" s="3335"/>
      <c r="L194" s="2933"/>
      <c r="M194" s="2934"/>
      <c r="N194" s="3398"/>
      <c r="O194" s="3421">
        <v>1</v>
      </c>
      <c r="P194" s="3328" t="s">
        <v>52</v>
      </c>
      <c r="Q194" s="3331" t="s">
        <v>18</v>
      </c>
      <c r="R194" s="3331" t="s">
        <v>18</v>
      </c>
      <c r="S194" s="3331" t="s">
        <v>18</v>
      </c>
      <c r="T194" s="3331" t="s">
        <v>18</v>
      </c>
      <c r="U194" s="3331" t="s">
        <v>18</v>
      </c>
      <c r="V194" s="3331" t="s">
        <v>18</v>
      </c>
      <c r="W194" s="3331" t="s">
        <v>18</v>
      </c>
      <c r="X194" s="3331" t="s">
        <v>18</v>
      </c>
      <c r="Y194" s="3331"/>
      <c r="Z194" s="2089"/>
      <c r="AA194" s="2090"/>
      <c r="AB194" s="2090"/>
      <c r="AC194" s="2094"/>
      <c r="AD194" s="2094"/>
      <c r="AE194" s="2095"/>
      <c r="AF194" s="3324"/>
      <c r="AG194" s="3325"/>
      <c r="AH194" s="3325"/>
      <c r="AI194" s="3324"/>
      <c r="AJ194" s="3325"/>
      <c r="AK194" s="3325"/>
      <c r="AL194" s="3424"/>
      <c r="AM194" s="2738"/>
      <c r="AN194" s="2738"/>
      <c r="AO194" s="2738"/>
      <c r="AP194" s="2738"/>
      <c r="AQ194" s="2738"/>
      <c r="AR194" s="2738"/>
      <c r="AS194" s="2738"/>
      <c r="AT194" s="2738"/>
      <c r="AU194" s="2738"/>
      <c r="AV194" s="2738"/>
      <c r="AW194" s="2738"/>
      <c r="AX194" s="2738"/>
      <c r="AY194" s="2738"/>
      <c r="AZ194" s="2738"/>
      <c r="BA194" s="2738"/>
      <c r="BB194" s="2738"/>
      <c r="BC194" s="2738"/>
      <c r="BD194" s="2738"/>
      <c r="BE194" s="2738"/>
      <c r="BF194" s="2738"/>
    </row>
    <row customHeight="1" ht="11.25">
      <c r="A195" s="2080" t="s">
        <v>905</v>
      </c>
      <c r="B195" s="2080"/>
      <c r="C195" s="2080"/>
      <c r="D195" s="2074"/>
      <c r="E195" s="2084"/>
      <c r="F195" s="2744"/>
      <c r="G195" s="2745"/>
      <c r="H195" s="3333" t="s">
        <v>978</v>
      </c>
      <c r="I195" s="3334"/>
      <c r="J195" s="15876"/>
      <c r="K195" s="3335"/>
      <c r="L195" s="2933"/>
      <c r="M195" s="2934"/>
      <c r="N195" s="3398"/>
      <c r="O195" s="3421"/>
      <c r="P195" s="3329"/>
      <c r="Q195" s="3331"/>
      <c r="R195" s="3331"/>
      <c r="S195" s="3332"/>
      <c r="T195" s="3331"/>
      <c r="U195" s="3331"/>
      <c r="V195" s="3331"/>
      <c r="W195" s="3331"/>
      <c r="X195" s="3331"/>
      <c r="Y195" s="3331"/>
      <c r="Z195" s="2743"/>
      <c r="AA195" s="2709">
        <v>1</v>
      </c>
      <c r="AB195" s="2093" t="s">
        <v>949</v>
      </c>
      <c r="AC195" s="2083">
        <v>44694.16</v>
      </c>
      <c r="AD195" s="2093" t="str">
        <f>AB195</f>
        <v>      Прочие амортизационные отчисления</v>
      </c>
      <c r="AE195" s="2083"/>
      <c r="AF195" s="3324"/>
      <c r="AG195" s="3325"/>
      <c r="AH195" s="3325"/>
      <c r="AI195" s="3324"/>
      <c r="AJ195" s="3325"/>
      <c r="AK195" s="3325"/>
      <c r="AL195" s="3424"/>
      <c r="AM195" s="2738"/>
      <c r="AN195" s="2738"/>
      <c r="AO195" s="2738"/>
      <c r="AP195" s="2738"/>
      <c r="AQ195" s="2738"/>
      <c r="AR195" s="2738"/>
      <c r="AS195" s="2738"/>
      <c r="AT195" s="2738"/>
      <c r="AU195" s="2738"/>
      <c r="AV195" s="2738"/>
      <c r="AW195" s="2738"/>
      <c r="AX195" s="2738"/>
      <c r="AY195" s="2738"/>
      <c r="AZ195" s="2738"/>
      <c r="BA195" s="2738"/>
      <c r="BB195" s="2738"/>
      <c r="BC195" s="2738"/>
      <c r="BD195" s="2738"/>
      <c r="BE195" s="2738"/>
      <c r="BF195" s="2738"/>
    </row>
    <row customHeight="1" ht="11.25">
      <c r="A196" s="2080" t="s">
        <v>905</v>
      </c>
      <c r="B196" s="2080"/>
      <c r="C196" s="2080"/>
      <c r="D196" s="2074"/>
      <c r="E196" s="2084"/>
      <c r="F196" s="2745"/>
      <c r="G196" s="2745"/>
      <c r="H196" s="2745"/>
      <c r="I196" s="2745"/>
      <c r="J196" s="2745"/>
      <c r="K196" s="2745"/>
      <c r="L196" s="2745"/>
      <c r="M196" s="2745"/>
      <c r="N196" s="2745"/>
      <c r="O196" s="2745"/>
      <c r="P196" s="2745"/>
      <c r="Q196" s="2745"/>
      <c r="R196" s="2745"/>
      <c r="S196" s="2745"/>
      <c r="T196" s="2745"/>
      <c r="U196" s="2745"/>
      <c r="V196" s="2745"/>
      <c r="W196" s="2745"/>
      <c r="X196" s="2745"/>
      <c r="Y196" s="2745"/>
      <c r="Z196" s="15875" t="s">
        <v>844</v>
      </c>
      <c r="AA196" s="2729" t="s">
        <v>103</v>
      </c>
      <c r="AB196" s="2093" t="s">
        <v>941</v>
      </c>
      <c r="AC196" s="2083">
        <v>47663.64</v>
      </c>
      <c r="AD196" s="2093" t="str">
        <f>AB196</f>
        <v>  Прочие</v>
      </c>
      <c r="AE196" s="2083"/>
      <c r="AF196" s="2746"/>
      <c r="AG196" s="2674"/>
      <c r="AH196" s="2674"/>
      <c r="AI196" s="2746"/>
      <c r="AJ196" s="2674"/>
      <c r="AK196" s="3423"/>
      <c r="AL196" s="3424"/>
      <c r="AM196" s="2738"/>
      <c r="AN196" s="2738"/>
      <c r="AO196" s="2738"/>
      <c r="AP196" s="2738"/>
      <c r="AQ196" s="2738"/>
      <c r="AR196" s="2738"/>
      <c r="AS196" s="2738"/>
      <c r="AT196" s="2738"/>
      <c r="AU196" s="2738"/>
      <c r="AV196" s="2738"/>
      <c r="AW196" s="2738"/>
      <c r="AX196" s="2738"/>
      <c r="AY196" s="2738"/>
      <c r="AZ196" s="2738"/>
      <c r="BA196" s="2738"/>
      <c r="BB196" s="2738"/>
      <c r="BC196" s="2738"/>
      <c r="BD196" s="2738"/>
      <c r="BE196" s="2738"/>
      <c r="BF196" s="2738"/>
    </row>
    <row customHeight="1" ht="11.25">
      <c r="A197" s="2080" t="s">
        <v>905</v>
      </c>
      <c r="B197" s="2080"/>
      <c r="C197" s="2080"/>
      <c r="D197" s="2074"/>
      <c r="E197" s="2084"/>
      <c r="F197" s="2744"/>
      <c r="G197" s="2745"/>
      <c r="H197" s="3333" t="s">
        <v>978</v>
      </c>
      <c r="I197" s="3334"/>
      <c r="J197" s="15876"/>
      <c r="K197" s="3335"/>
      <c r="L197" s="2933"/>
      <c r="M197" s="2934"/>
      <c r="N197" s="3398"/>
      <c r="O197" s="3421"/>
      <c r="P197" s="3330"/>
      <c r="Q197" s="3331"/>
      <c r="R197" s="3331"/>
      <c r="S197" s="3332"/>
      <c r="T197" s="3331"/>
      <c r="U197" s="3331"/>
      <c r="V197" s="3331"/>
      <c r="W197" s="3331"/>
      <c r="X197" s="3331"/>
      <c r="Y197" s="3331"/>
      <c r="Z197" s="2089"/>
      <c r="AA197" s="2090"/>
      <c r="AB197" s="2155" t="s">
        <v>942</v>
      </c>
      <c r="AC197" s="2094"/>
      <c r="AD197" s="2094"/>
      <c r="AE197" s="2096"/>
      <c r="AF197" s="3324"/>
      <c r="AG197" s="3325"/>
      <c r="AH197" s="3325"/>
      <c r="AI197" s="3324"/>
      <c r="AJ197" s="3325"/>
      <c r="AK197" s="3325"/>
      <c r="AL197" s="3424"/>
      <c r="AM197" s="2738"/>
      <c r="AN197" s="2738"/>
      <c r="AO197" s="2738"/>
      <c r="AP197" s="2738"/>
      <c r="AQ197" s="2738"/>
      <c r="AR197" s="2738"/>
      <c r="AS197" s="2738"/>
      <c r="AT197" s="2738"/>
      <c r="AU197" s="2738"/>
      <c r="AV197" s="2738"/>
      <c r="AW197" s="2738"/>
      <c r="AX197" s="2738"/>
      <c r="AY197" s="2738"/>
      <c r="AZ197" s="2738"/>
      <c r="BA197" s="2738"/>
      <c r="BB197" s="2738"/>
      <c r="BC197" s="2738"/>
      <c r="BD197" s="2738"/>
      <c r="BE197" s="2738"/>
      <c r="BF197" s="2738"/>
    </row>
    <row customHeight="1" ht="11.25">
      <c r="A198" s="2080" t="s">
        <v>905</v>
      </c>
      <c r="B198" s="2080"/>
      <c r="C198" s="2080"/>
      <c r="D198" s="2074"/>
      <c r="E198" s="2084"/>
      <c r="F198" s="2744"/>
      <c r="G198" s="2745"/>
      <c r="H198" s="3333" t="s">
        <v>978</v>
      </c>
      <c r="I198" s="3334"/>
      <c r="J198" s="15876"/>
      <c r="K198" s="3335"/>
      <c r="L198" s="2933"/>
      <c r="M198" s="2934"/>
      <c r="N198" s="2089"/>
      <c r="O198" s="2090"/>
      <c r="P198" s="2082" t="s">
        <v>943</v>
      </c>
      <c r="Q198" s="2090"/>
      <c r="R198" s="2090"/>
      <c r="S198" s="2090"/>
      <c r="T198" s="2090"/>
      <c r="U198" s="2090"/>
      <c r="V198" s="2090"/>
      <c r="W198" s="2090"/>
      <c r="X198" s="2090"/>
      <c r="Y198" s="2090"/>
      <c r="Z198" s="2090"/>
      <c r="AA198" s="2090"/>
      <c r="AB198" s="2090"/>
      <c r="AC198" s="2090"/>
      <c r="AD198" s="2090"/>
      <c r="AE198" s="2097"/>
      <c r="AF198" s="3324"/>
      <c r="AG198" s="3325"/>
      <c r="AH198" s="3325"/>
      <c r="AI198" s="3324"/>
      <c r="AJ198" s="3325"/>
      <c r="AK198" s="3325"/>
      <c r="AL198" s="3424"/>
      <c r="AM198" s="2738"/>
      <c r="AN198" s="2738"/>
      <c r="AO198" s="2738"/>
      <c r="AP198" s="2738"/>
      <c r="AQ198" s="2738"/>
      <c r="AR198" s="2738"/>
      <c r="AS198" s="2738"/>
      <c r="AT198" s="2738"/>
      <c r="AU198" s="2738"/>
      <c r="AV198" s="2738"/>
      <c r="AW198" s="2738"/>
      <c r="AX198" s="2738"/>
      <c r="AY198" s="2738"/>
      <c r="AZ198" s="2738"/>
      <c r="BA198" s="2738"/>
      <c r="BB198" s="2738"/>
      <c r="BC198" s="2738"/>
      <c r="BD198" s="2738"/>
      <c r="BE198" s="2738"/>
      <c r="BF198" s="2738"/>
    </row>
    <row customHeight="1" ht="12">
      <c r="A199" s="2080" t="s">
        <v>905</v>
      </c>
      <c r="B199" s="2080"/>
      <c r="C199" s="2080"/>
      <c r="D199" s="2074"/>
      <c r="E199" s="2084"/>
      <c r="F199" s="3354"/>
      <c r="G199" s="2104"/>
      <c r="H199" s="2104"/>
      <c r="I199" s="3352" t="s">
        <v>965</v>
      </c>
      <c r="J199" s="3352"/>
      <c r="K199" s="3352"/>
      <c r="L199" s="2087"/>
      <c r="M199" s="2087"/>
      <c r="N199" s="2088"/>
      <c r="O199" s="2088"/>
      <c r="P199" s="2088"/>
      <c r="Q199" s="2088"/>
      <c r="R199" s="2088"/>
      <c r="S199" s="2088"/>
      <c r="T199" s="2088"/>
      <c r="U199" s="2088"/>
      <c r="V199" s="2088"/>
      <c r="W199" s="2088"/>
      <c r="X199" s="2088"/>
      <c r="Y199" s="2088"/>
      <c r="Z199" s="2088"/>
      <c r="AA199" s="2088"/>
      <c r="AB199" s="2088"/>
      <c r="AC199" s="2088"/>
      <c r="AD199" s="2088"/>
      <c r="AE199" s="2088"/>
      <c r="AF199" s="2088"/>
      <c r="AG199" s="2087"/>
      <c r="AH199" s="2087"/>
      <c r="AI199" s="2088"/>
      <c r="AJ199" s="2087"/>
      <c r="AK199" s="2088"/>
      <c r="AL199" s="3424"/>
      <c r="AM199" s="2738"/>
      <c r="AN199" s="2738"/>
      <c r="AO199" s="2738"/>
      <c r="AP199" s="2738"/>
      <c r="AQ199" s="2738"/>
      <c r="AR199" s="2738"/>
      <c r="AS199" s="2738"/>
      <c r="AT199" s="2738"/>
      <c r="AU199" s="2738"/>
      <c r="AV199" s="2738"/>
      <c r="AW199" s="2738"/>
      <c r="AX199" s="2738"/>
      <c r="AY199" s="2738"/>
      <c r="AZ199" s="2738"/>
      <c r="BA199" s="2738"/>
      <c r="BB199" s="2738"/>
      <c r="BC199" s="2738"/>
      <c r="BD199" s="2738"/>
      <c r="BE199" s="2738"/>
      <c r="BF199" s="2738"/>
    </row>
    <row customHeight="1" ht="33">
      <c r="A200" s="2080" t="s">
        <v>905</v>
      </c>
      <c r="B200" s="2080" t="s">
        <v>18</v>
      </c>
      <c r="C200" s="2080"/>
      <c r="D200" s="2074"/>
      <c r="E200" s="2084"/>
      <c r="F200" s="3353">
        <v>2026</v>
      </c>
      <c r="G200" s="3333"/>
      <c r="H200" s="3333" t="s">
        <v>102</v>
      </c>
      <c r="I200" s="3334" t="s">
        <v>937</v>
      </c>
      <c r="J200" s="18660" t="s">
        <v>18</v>
      </c>
      <c r="K200" s="3335" t="s">
        <v>938</v>
      </c>
      <c r="L200" s="3325" t="s">
        <v>52</v>
      </c>
      <c r="M200" s="2934"/>
      <c r="N200" s="2092"/>
      <c r="O200" s="2091" t="s">
        <v>367</v>
      </c>
      <c r="P200" s="2092"/>
      <c r="Q200" s="2092"/>
      <c r="R200" s="2092"/>
      <c r="S200" s="2092"/>
      <c r="T200" s="2092"/>
      <c r="U200" s="2092"/>
      <c r="V200" s="2092"/>
      <c r="W200" s="2092"/>
      <c r="X200" s="2092"/>
      <c r="Y200" s="2092"/>
      <c r="Z200" s="2092"/>
      <c r="AA200" s="2092"/>
      <c r="AB200" s="2092"/>
      <c r="AC200" s="2092"/>
      <c r="AD200" s="2092"/>
      <c r="AE200" s="2092"/>
      <c r="AF200" s="3324">
        <v>4</v>
      </c>
      <c r="AG200" s="3325" t="s">
        <v>939</v>
      </c>
      <c r="AH200" s="3325" t="s">
        <v>940</v>
      </c>
      <c r="AI200" s="3324"/>
      <c r="AJ200" s="3325"/>
      <c r="AK200" s="3325"/>
      <c r="AL200" s="3424"/>
      <c r="AM200" s="2738"/>
      <c r="AN200" s="2738"/>
      <c r="AO200" s="2738"/>
      <c r="AP200" s="2738"/>
      <c r="AQ200" s="2738"/>
      <c r="AR200" s="2738"/>
      <c r="AS200" s="2738"/>
      <c r="AT200" s="2738"/>
      <c r="AU200" s="2738"/>
      <c r="AV200" s="2738"/>
      <c r="AW200" s="2738"/>
      <c r="AX200" s="2738"/>
      <c r="AY200" s="2738"/>
      <c r="AZ200" s="2738"/>
      <c r="BA200" s="2738"/>
      <c r="BB200" s="2738"/>
      <c r="BC200" s="2738"/>
      <c r="BD200" s="2738"/>
      <c r="BE200" s="2738"/>
      <c r="BF200" s="2738"/>
    </row>
    <row customHeight="1" ht="25.5">
      <c r="A201" s="2080" t="s">
        <v>905</v>
      </c>
      <c r="B201" s="2080"/>
      <c r="C201" s="2080"/>
      <c r="D201" s="2074"/>
      <c r="E201" s="2084"/>
      <c r="F201" s="3353"/>
      <c r="G201" s="3333"/>
      <c r="H201" s="3333"/>
      <c r="I201" s="3334"/>
      <c r="J201" s="18660"/>
      <c r="K201" s="3335"/>
      <c r="L201" s="3325"/>
      <c r="M201" s="2934"/>
      <c r="N201" s="3326"/>
      <c r="O201" s="3327">
        <v>1</v>
      </c>
      <c r="P201" s="3328" t="s">
        <v>52</v>
      </c>
      <c r="Q201" s="3331" t="s">
        <v>18</v>
      </c>
      <c r="R201" s="3331" t="s">
        <v>18</v>
      </c>
      <c r="S201" s="3331" t="s">
        <v>18</v>
      </c>
      <c r="T201" s="3331" t="s">
        <v>18</v>
      </c>
      <c r="U201" s="3331" t="s">
        <v>18</v>
      </c>
      <c r="V201" s="3331" t="s">
        <v>18</v>
      </c>
      <c r="W201" s="3331" t="s">
        <v>18</v>
      </c>
      <c r="X201" s="3331" t="s">
        <v>18</v>
      </c>
      <c r="Y201" s="3331"/>
      <c r="Z201" s="2089"/>
      <c r="AA201" s="2090"/>
      <c r="AB201" s="2090"/>
      <c r="AC201" s="2094"/>
      <c r="AD201" s="2094"/>
      <c r="AE201" s="2095"/>
      <c r="AF201" s="3324"/>
      <c r="AG201" s="3325"/>
      <c r="AH201" s="3325"/>
      <c r="AI201" s="3324"/>
      <c r="AJ201" s="3325"/>
      <c r="AK201" s="3325"/>
      <c r="AL201" s="3424"/>
      <c r="AM201" s="2738"/>
      <c r="AN201" s="2738"/>
      <c r="AO201" s="2738"/>
      <c r="AP201" s="2738"/>
      <c r="AQ201" s="2738"/>
      <c r="AR201" s="2738"/>
      <c r="AS201" s="2738"/>
      <c r="AT201" s="2738"/>
      <c r="AU201" s="2738"/>
      <c r="AV201" s="2738"/>
      <c r="AW201" s="2738"/>
      <c r="AX201" s="2738"/>
      <c r="AY201" s="2738"/>
      <c r="AZ201" s="2738"/>
      <c r="BA201" s="2738"/>
      <c r="BB201" s="2738"/>
      <c r="BC201" s="2738"/>
      <c r="BD201" s="2738"/>
      <c r="BE201" s="2738"/>
      <c r="BF201" s="2738"/>
    </row>
    <row customHeight="1" ht="11.25">
      <c r="A202" s="2080" t="s">
        <v>905</v>
      </c>
      <c r="B202" s="2080"/>
      <c r="C202" s="2080"/>
      <c r="D202" s="2074"/>
      <c r="E202" s="2084"/>
      <c r="F202" s="3353"/>
      <c r="G202" s="3333"/>
      <c r="H202" s="3333"/>
      <c r="I202" s="3334"/>
      <c r="J202" s="18660"/>
      <c r="K202" s="3335"/>
      <c r="L202" s="3325"/>
      <c r="M202" s="2934"/>
      <c r="N202" s="3326"/>
      <c r="O202" s="3327"/>
      <c r="P202" s="3329"/>
      <c r="Q202" s="3331"/>
      <c r="R202" s="3331"/>
      <c r="S202" s="3332"/>
      <c r="T202" s="3331"/>
      <c r="U202" s="3331"/>
      <c r="V202" s="3331"/>
      <c r="W202" s="3331"/>
      <c r="X202" s="3331"/>
      <c r="Y202" s="3331"/>
      <c r="Z202" s="2743"/>
      <c r="AA202" s="2709">
        <v>1</v>
      </c>
      <c r="AB202" s="2093" t="s">
        <v>941</v>
      </c>
      <c r="AC202" s="2083">
        <v>415600.61</v>
      </c>
      <c r="AD202" s="2093" t="str">
        <f>AB202</f>
        <v>  Прочие</v>
      </c>
      <c r="AE202" s="2083"/>
      <c r="AF202" s="3324"/>
      <c r="AG202" s="3325"/>
      <c r="AH202" s="3325"/>
      <c r="AI202" s="3324"/>
      <c r="AJ202" s="3325"/>
      <c r="AK202" s="3325"/>
      <c r="AL202" s="3424"/>
      <c r="AM202" s="2738"/>
      <c r="AN202" s="2738"/>
      <c r="AO202" s="2738"/>
      <c r="AP202" s="2738"/>
      <c r="AQ202" s="2738"/>
      <c r="AR202" s="2738"/>
      <c r="AS202" s="2738"/>
      <c r="AT202" s="2738"/>
      <c r="AU202" s="2738"/>
      <c r="AV202" s="2738"/>
      <c r="AW202" s="2738"/>
      <c r="AX202" s="2738"/>
      <c r="AY202" s="2738"/>
      <c r="AZ202" s="2738"/>
      <c r="BA202" s="2738"/>
      <c r="BB202" s="2738"/>
      <c r="BC202" s="2738"/>
      <c r="BD202" s="2738"/>
      <c r="BE202" s="2738"/>
      <c r="BF202" s="2738"/>
    </row>
    <row customHeight="1" ht="22.5">
      <c r="A203" s="2080" t="s">
        <v>905</v>
      </c>
      <c r="B203" s="2080"/>
      <c r="C203" s="2080"/>
      <c r="D203" s="2074"/>
      <c r="E203" s="2084"/>
      <c r="F203" s="3353"/>
      <c r="G203" s="3333"/>
      <c r="H203" s="3333"/>
      <c r="I203" s="3334"/>
      <c r="J203" s="18660"/>
      <c r="K203" s="3335"/>
      <c r="L203" s="3325"/>
      <c r="M203" s="2934"/>
      <c r="N203" s="3326"/>
      <c r="O203" s="3327"/>
      <c r="P203" s="3330"/>
      <c r="Q203" s="3331"/>
      <c r="R203" s="3331"/>
      <c r="S203" s="3332"/>
      <c r="T203" s="3331"/>
      <c r="U203" s="3331"/>
      <c r="V203" s="3331"/>
      <c r="W203" s="3331"/>
      <c r="X203" s="3331"/>
      <c r="Y203" s="3331"/>
      <c r="Z203" s="2089"/>
      <c r="AA203" s="2090"/>
      <c r="AB203" s="2155" t="s">
        <v>942</v>
      </c>
      <c r="AC203" s="2094"/>
      <c r="AD203" s="2094"/>
      <c r="AE203" s="2096"/>
      <c r="AF203" s="3324"/>
      <c r="AG203" s="3325"/>
      <c r="AH203" s="3325"/>
      <c r="AI203" s="3324"/>
      <c r="AJ203" s="3325"/>
      <c r="AK203" s="3325"/>
      <c r="AL203" s="3424"/>
      <c r="AM203" s="2738"/>
      <c r="AN203" s="2738"/>
      <c r="AO203" s="2738"/>
      <c r="AP203" s="2738"/>
      <c r="AQ203" s="2738"/>
      <c r="AR203" s="2738"/>
      <c r="AS203" s="2738"/>
      <c r="AT203" s="2738"/>
      <c r="AU203" s="2738"/>
      <c r="AV203" s="2738"/>
      <c r="AW203" s="2738"/>
      <c r="AX203" s="2738"/>
      <c r="AY203" s="2738"/>
      <c r="AZ203" s="2738"/>
      <c r="BA203" s="2738"/>
      <c r="BB203" s="2738"/>
      <c r="BC203" s="2738"/>
      <c r="BD203" s="2738"/>
      <c r="BE203" s="2738"/>
      <c r="BF203" s="2738"/>
    </row>
    <row customHeight="1" ht="21.75">
      <c r="A204" s="2080" t="s">
        <v>905</v>
      </c>
      <c r="B204" s="2080"/>
      <c r="C204" s="2080"/>
      <c r="D204" s="2074"/>
      <c r="E204" s="2084"/>
      <c r="F204" s="3353"/>
      <c r="G204" s="3333"/>
      <c r="H204" s="3333"/>
      <c r="I204" s="3334"/>
      <c r="J204" s="18660"/>
      <c r="K204" s="3335"/>
      <c r="L204" s="3325"/>
      <c r="M204" s="2934"/>
      <c r="N204" s="2090"/>
      <c r="O204" s="2090"/>
      <c r="P204" s="2082" t="s">
        <v>943</v>
      </c>
      <c r="Q204" s="2090"/>
      <c r="R204" s="2090"/>
      <c r="S204" s="2090"/>
      <c r="T204" s="2090"/>
      <c r="U204" s="2090"/>
      <c r="V204" s="2090"/>
      <c r="W204" s="2090"/>
      <c r="X204" s="2090"/>
      <c r="Y204" s="2090"/>
      <c r="Z204" s="2090"/>
      <c r="AA204" s="2090"/>
      <c r="AB204" s="2090"/>
      <c r="AC204" s="2090"/>
      <c r="AD204" s="2090"/>
      <c r="AE204" s="2097"/>
      <c r="AF204" s="3324"/>
      <c r="AG204" s="3325"/>
      <c r="AH204" s="3325"/>
      <c r="AI204" s="3324"/>
      <c r="AJ204" s="3325"/>
      <c r="AK204" s="3325"/>
      <c r="AL204" s="3424"/>
      <c r="AM204" s="2738"/>
      <c r="AN204" s="2738"/>
      <c r="AO204" s="2738"/>
      <c r="AP204" s="2738"/>
      <c r="AQ204" s="2738"/>
      <c r="AR204" s="2738"/>
      <c r="AS204" s="2738"/>
      <c r="AT204" s="2738"/>
      <c r="AU204" s="2738"/>
      <c r="AV204" s="2738"/>
      <c r="AW204" s="2738"/>
      <c r="AX204" s="2738"/>
      <c r="AY204" s="2738"/>
      <c r="AZ204" s="2738"/>
      <c r="BA204" s="2738"/>
      <c r="BB204" s="2738"/>
      <c r="BC204" s="2738"/>
      <c r="BD204" s="2738"/>
      <c r="BE204" s="2738"/>
      <c r="BF204" s="2738"/>
    </row>
    <row customHeight="1" ht="11.25">
      <c r="A205" s="2080" t="s">
        <v>905</v>
      </c>
      <c r="B205" s="2080" t="s">
        <v>944</v>
      </c>
      <c r="C205" s="2080"/>
      <c r="D205" s="2074"/>
      <c r="E205" s="2084"/>
      <c r="F205" s="2744"/>
      <c r="G205" s="15875" t="s">
        <v>844</v>
      </c>
      <c r="H205" s="3333" t="s">
        <v>103</v>
      </c>
      <c r="I205" s="3334" t="s">
        <v>945</v>
      </c>
      <c r="J205" s="3303" t="s">
        <v>946</v>
      </c>
      <c r="K205" s="3335" t="s">
        <v>950</v>
      </c>
      <c r="L205" s="2933" t="s">
        <v>52</v>
      </c>
      <c r="M205" s="2934"/>
      <c r="N205" s="3422"/>
      <c r="O205" s="2091" t="s">
        <v>367</v>
      </c>
      <c r="P205" s="2092"/>
      <c r="Q205" s="2092"/>
      <c r="R205" s="2092"/>
      <c r="S205" s="2092"/>
      <c r="T205" s="2092"/>
      <c r="U205" s="2092"/>
      <c r="V205" s="2092"/>
      <c r="W205" s="2092"/>
      <c r="X205" s="2092"/>
      <c r="Y205" s="2092"/>
      <c r="Z205" s="2092"/>
      <c r="AA205" s="2092"/>
      <c r="AB205" s="2092"/>
      <c r="AC205" s="2092"/>
      <c r="AD205" s="2092"/>
      <c r="AE205" s="2092"/>
      <c r="AF205" s="3324">
        <v>12</v>
      </c>
      <c r="AG205" s="3325" t="s">
        <v>939</v>
      </c>
      <c r="AH205" s="3325" t="s">
        <v>940</v>
      </c>
      <c r="AI205" s="3324"/>
      <c r="AJ205" s="3325"/>
      <c r="AK205" s="3325"/>
      <c r="AL205" s="3424"/>
      <c r="AM205" s="2738"/>
      <c r="AN205" s="2738"/>
      <c r="AO205" s="2738"/>
      <c r="AP205" s="2738"/>
      <c r="AQ205" s="2738"/>
      <c r="AR205" s="2738"/>
      <c r="AS205" s="2738"/>
      <c r="AT205" s="2738"/>
      <c r="AU205" s="2738"/>
      <c r="AV205" s="2738"/>
      <c r="AW205" s="2738"/>
      <c r="AX205" s="2738"/>
      <c r="AY205" s="2738"/>
      <c r="AZ205" s="2738"/>
      <c r="BA205" s="2738"/>
      <c r="BB205" s="2738"/>
      <c r="BC205" s="2738"/>
      <c r="BD205" s="2738"/>
      <c r="BE205" s="2738"/>
      <c r="BF205" s="2738"/>
    </row>
    <row customHeight="1" ht="11.25">
      <c r="A206" s="2080" t="s">
        <v>905</v>
      </c>
      <c r="B206" s="2080"/>
      <c r="C206" s="2080"/>
      <c r="D206" s="2074"/>
      <c r="E206" s="2084"/>
      <c r="F206" s="2744"/>
      <c r="G206" s="2745"/>
      <c r="H206" s="3333" t="s">
        <v>102</v>
      </c>
      <c r="I206" s="3334"/>
      <c r="J206" s="3303"/>
      <c r="K206" s="3335"/>
      <c r="L206" s="2933"/>
      <c r="M206" s="2934"/>
      <c r="N206" s="3398"/>
      <c r="O206" s="3421">
        <v>1</v>
      </c>
      <c r="P206" s="3328" t="s">
        <v>52</v>
      </c>
      <c r="Q206" s="3331" t="s">
        <v>18</v>
      </c>
      <c r="R206" s="3331" t="s">
        <v>18</v>
      </c>
      <c r="S206" s="3331" t="s">
        <v>18</v>
      </c>
      <c r="T206" s="3331" t="s">
        <v>18</v>
      </c>
      <c r="U206" s="3331" t="s">
        <v>18</v>
      </c>
      <c r="V206" s="3331" t="s">
        <v>18</v>
      </c>
      <c r="W206" s="3331" t="s">
        <v>18</v>
      </c>
      <c r="X206" s="3331" t="s">
        <v>18</v>
      </c>
      <c r="Y206" s="3331"/>
      <c r="Z206" s="2089"/>
      <c r="AA206" s="2090"/>
      <c r="AB206" s="2090"/>
      <c r="AC206" s="2094"/>
      <c r="AD206" s="2094"/>
      <c r="AE206" s="2095"/>
      <c r="AF206" s="3324"/>
      <c r="AG206" s="3325"/>
      <c r="AH206" s="3325"/>
      <c r="AI206" s="3324"/>
      <c r="AJ206" s="3325"/>
      <c r="AK206" s="3325"/>
      <c r="AL206" s="3424"/>
      <c r="AM206" s="2738"/>
      <c r="AN206" s="2738"/>
      <c r="AO206" s="2738"/>
      <c r="AP206" s="2738"/>
      <c r="AQ206" s="2738"/>
      <c r="AR206" s="2738"/>
      <c r="AS206" s="2738"/>
      <c r="AT206" s="2738"/>
      <c r="AU206" s="2738"/>
      <c r="AV206" s="2738"/>
      <c r="AW206" s="2738"/>
      <c r="AX206" s="2738"/>
      <c r="AY206" s="2738"/>
      <c r="AZ206" s="2738"/>
      <c r="BA206" s="2738"/>
      <c r="BB206" s="2738"/>
      <c r="BC206" s="2738"/>
      <c r="BD206" s="2738"/>
      <c r="BE206" s="2738"/>
      <c r="BF206" s="2738"/>
    </row>
    <row customHeight="1" ht="11.25">
      <c r="A207" s="2080" t="s">
        <v>905</v>
      </c>
      <c r="B207" s="2080"/>
      <c r="C207" s="2080"/>
      <c r="D207" s="2074"/>
      <c r="E207" s="2084"/>
      <c r="F207" s="2744"/>
      <c r="G207" s="2745"/>
      <c r="H207" s="3333" t="s">
        <v>102</v>
      </c>
      <c r="I207" s="3334"/>
      <c r="J207" s="3303"/>
      <c r="K207" s="3335"/>
      <c r="L207" s="2933"/>
      <c r="M207" s="2934"/>
      <c r="N207" s="3398"/>
      <c r="O207" s="3421"/>
      <c r="P207" s="3329"/>
      <c r="Q207" s="3331"/>
      <c r="R207" s="3331"/>
      <c r="S207" s="3332"/>
      <c r="T207" s="3331"/>
      <c r="U207" s="3331"/>
      <c r="V207" s="3331"/>
      <c r="W207" s="3331"/>
      <c r="X207" s="3331"/>
      <c r="Y207" s="3331"/>
      <c r="Z207" s="2743"/>
      <c r="AA207" s="2709">
        <v>1</v>
      </c>
      <c r="AB207" s="2093" t="s">
        <v>949</v>
      </c>
      <c r="AC207" s="2083">
        <v>81041.05</v>
      </c>
      <c r="AD207" s="2093" t="str">
        <f>AB207</f>
        <v>      Прочие амортизационные отчисления</v>
      </c>
      <c r="AE207" s="2083"/>
      <c r="AF207" s="3324"/>
      <c r="AG207" s="3325"/>
      <c r="AH207" s="3325"/>
      <c r="AI207" s="3324"/>
      <c r="AJ207" s="3325"/>
      <c r="AK207" s="3325"/>
      <c r="AL207" s="3424"/>
      <c r="AM207" s="2738"/>
      <c r="AN207" s="2738"/>
      <c r="AO207" s="2738"/>
      <c r="AP207" s="2738"/>
      <c r="AQ207" s="2738"/>
      <c r="AR207" s="2738"/>
      <c r="AS207" s="2738"/>
      <c r="AT207" s="2738"/>
      <c r="AU207" s="2738"/>
      <c r="AV207" s="2738"/>
      <c r="AW207" s="2738"/>
      <c r="AX207" s="2738"/>
      <c r="AY207" s="2738"/>
      <c r="AZ207" s="2738"/>
      <c r="BA207" s="2738"/>
      <c r="BB207" s="2738"/>
      <c r="BC207" s="2738"/>
      <c r="BD207" s="2738"/>
      <c r="BE207" s="2738"/>
      <c r="BF207" s="2738"/>
    </row>
    <row customHeight="1" ht="11.25">
      <c r="A208" s="2080" t="s">
        <v>905</v>
      </c>
      <c r="B208" s="2080"/>
      <c r="C208" s="2080"/>
      <c r="D208" s="2074"/>
      <c r="E208" s="2084"/>
      <c r="F208" s="2745"/>
      <c r="G208" s="2745"/>
      <c r="H208" s="2745"/>
      <c r="I208" s="2745"/>
      <c r="J208" s="2745"/>
      <c r="K208" s="2745"/>
      <c r="L208" s="2745"/>
      <c r="M208" s="2745"/>
      <c r="N208" s="2745"/>
      <c r="O208" s="2745"/>
      <c r="P208" s="2745"/>
      <c r="Q208" s="2745"/>
      <c r="R208" s="2745"/>
      <c r="S208" s="2745"/>
      <c r="T208" s="2745"/>
      <c r="U208" s="2745"/>
      <c r="V208" s="2745"/>
      <c r="W208" s="2745"/>
      <c r="X208" s="2745"/>
      <c r="Y208" s="2745"/>
      <c r="Z208" s="18661" t="s">
        <v>844</v>
      </c>
      <c r="AA208" s="2729" t="s">
        <v>103</v>
      </c>
      <c r="AB208" s="2093" t="s">
        <v>941</v>
      </c>
      <c r="AC208" s="2083">
        <v>27798.95</v>
      </c>
      <c r="AD208" s="2093" t="str">
        <f>AB208</f>
        <v>  Прочие</v>
      </c>
      <c r="AE208" s="2083"/>
      <c r="AF208" s="2746"/>
      <c r="AG208" s="2674"/>
      <c r="AH208" s="2674"/>
      <c r="AI208" s="2746"/>
      <c r="AJ208" s="2674"/>
      <c r="AK208" s="3423"/>
      <c r="AL208" s="3424"/>
      <c r="AM208" s="2738"/>
      <c r="AN208" s="2738"/>
      <c r="AO208" s="2738"/>
      <c r="AP208" s="2738"/>
      <c r="AQ208" s="2738"/>
      <c r="AR208" s="2738"/>
      <c r="AS208" s="2738"/>
      <c r="AT208" s="2738"/>
      <c r="AU208" s="2738"/>
      <c r="AV208" s="2738"/>
      <c r="AW208" s="2738"/>
      <c r="AX208" s="2738"/>
      <c r="AY208" s="2738"/>
      <c r="AZ208" s="2738"/>
      <c r="BA208" s="2738"/>
      <c r="BB208" s="2738"/>
      <c r="BC208" s="2738"/>
      <c r="BD208" s="2738"/>
      <c r="BE208" s="2738"/>
      <c r="BF208" s="2738"/>
    </row>
    <row customHeight="1" ht="11.25">
      <c r="A209" s="2080" t="s">
        <v>905</v>
      </c>
      <c r="B209" s="2080"/>
      <c r="C209" s="2080"/>
      <c r="D209" s="2074"/>
      <c r="E209" s="2084"/>
      <c r="F209" s="2744"/>
      <c r="G209" s="2745"/>
      <c r="H209" s="3333" t="s">
        <v>102</v>
      </c>
      <c r="I209" s="3334"/>
      <c r="J209" s="3303"/>
      <c r="K209" s="3335"/>
      <c r="L209" s="2933"/>
      <c r="M209" s="2934"/>
      <c r="N209" s="3398"/>
      <c r="O209" s="3421"/>
      <c r="P209" s="3330"/>
      <c r="Q209" s="3331"/>
      <c r="R209" s="3331"/>
      <c r="S209" s="3332"/>
      <c r="T209" s="3331"/>
      <c r="U209" s="3331"/>
      <c r="V209" s="3331"/>
      <c r="W209" s="3331"/>
      <c r="X209" s="3331"/>
      <c r="Y209" s="3331"/>
      <c r="Z209" s="2089"/>
      <c r="AA209" s="2090"/>
      <c r="AB209" s="2155" t="s">
        <v>942</v>
      </c>
      <c r="AC209" s="2094"/>
      <c r="AD209" s="2094"/>
      <c r="AE209" s="2096"/>
      <c r="AF209" s="3324"/>
      <c r="AG209" s="3325"/>
      <c r="AH209" s="3325"/>
      <c r="AI209" s="3324"/>
      <c r="AJ209" s="3325"/>
      <c r="AK209" s="3325"/>
      <c r="AL209" s="3424"/>
      <c r="AM209" s="2738"/>
      <c r="AN209" s="2738"/>
      <c r="AO209" s="2738"/>
      <c r="AP209" s="2738"/>
      <c r="AQ209" s="2738"/>
      <c r="AR209" s="2738"/>
      <c r="AS209" s="2738"/>
      <c r="AT209" s="2738"/>
      <c r="AU209" s="2738"/>
      <c r="AV209" s="2738"/>
      <c r="AW209" s="2738"/>
      <c r="AX209" s="2738"/>
      <c r="AY209" s="2738"/>
      <c r="AZ209" s="2738"/>
      <c r="BA209" s="2738"/>
      <c r="BB209" s="2738"/>
      <c r="BC209" s="2738"/>
      <c r="BD209" s="2738"/>
      <c r="BE209" s="2738"/>
      <c r="BF209" s="2738"/>
    </row>
    <row customHeight="1" ht="11.25">
      <c r="A210" s="2080" t="s">
        <v>905</v>
      </c>
      <c r="B210" s="2080"/>
      <c r="C210" s="2080"/>
      <c r="D210" s="2074"/>
      <c r="E210" s="2084"/>
      <c r="F210" s="2744"/>
      <c r="G210" s="2745"/>
      <c r="H210" s="3333" t="s">
        <v>102</v>
      </c>
      <c r="I210" s="3334"/>
      <c r="J210" s="3303"/>
      <c r="K210" s="3335"/>
      <c r="L210" s="2933"/>
      <c r="M210" s="2934"/>
      <c r="N210" s="2089"/>
      <c r="O210" s="2090"/>
      <c r="P210" s="2082" t="s">
        <v>943</v>
      </c>
      <c r="Q210" s="2090"/>
      <c r="R210" s="2090"/>
      <c r="S210" s="2090"/>
      <c r="T210" s="2090"/>
      <c r="U210" s="2090"/>
      <c r="V210" s="2090"/>
      <c r="W210" s="2090"/>
      <c r="X210" s="2090"/>
      <c r="Y210" s="2090"/>
      <c r="Z210" s="2090"/>
      <c r="AA210" s="2090"/>
      <c r="AB210" s="2090"/>
      <c r="AC210" s="2090"/>
      <c r="AD210" s="2090"/>
      <c r="AE210" s="2097"/>
      <c r="AF210" s="3324"/>
      <c r="AG210" s="3325"/>
      <c r="AH210" s="3325"/>
      <c r="AI210" s="3324"/>
      <c r="AJ210" s="3325"/>
      <c r="AK210" s="3325"/>
      <c r="AL210" s="3424"/>
      <c r="AM210" s="2738"/>
      <c r="AN210" s="2738"/>
      <c r="AO210" s="2738"/>
      <c r="AP210" s="2738"/>
      <c r="AQ210" s="2738"/>
      <c r="AR210" s="2738"/>
      <c r="AS210" s="2738"/>
      <c r="AT210" s="2738"/>
      <c r="AU210" s="2738"/>
      <c r="AV210" s="2738"/>
      <c r="AW210" s="2738"/>
      <c r="AX210" s="2738"/>
      <c r="AY210" s="2738"/>
      <c r="AZ210" s="2738"/>
      <c r="BA210" s="2738"/>
      <c r="BB210" s="2738"/>
      <c r="BC210" s="2738"/>
      <c r="BD210" s="2738"/>
      <c r="BE210" s="2738"/>
      <c r="BF210" s="2738"/>
    </row>
    <row customHeight="1" ht="27.75">
      <c r="A211" s="2080" t="s">
        <v>905</v>
      </c>
      <c r="B211" s="2080" t="s">
        <v>944</v>
      </c>
      <c r="C211" s="2080"/>
      <c r="D211" s="2074"/>
      <c r="E211" s="2084"/>
      <c r="F211" s="2744"/>
      <c r="G211" s="15875" t="s">
        <v>844</v>
      </c>
      <c r="H211" s="3333" t="s">
        <v>86</v>
      </c>
      <c r="I211" s="3334" t="s">
        <v>945</v>
      </c>
      <c r="J211" s="3303" t="s">
        <v>946</v>
      </c>
      <c r="K211" s="3335" t="s">
        <v>966</v>
      </c>
      <c r="L211" s="2933" t="s">
        <v>52</v>
      </c>
      <c r="M211" s="2934"/>
      <c r="N211" s="3422"/>
      <c r="O211" s="2091" t="s">
        <v>367</v>
      </c>
      <c r="P211" s="2092"/>
      <c r="Q211" s="2092"/>
      <c r="R211" s="2092"/>
      <c r="S211" s="2092"/>
      <c r="T211" s="2092"/>
      <c r="U211" s="2092"/>
      <c r="V211" s="2092"/>
      <c r="W211" s="2092"/>
      <c r="X211" s="2092"/>
      <c r="Y211" s="2092"/>
      <c r="Z211" s="2092"/>
      <c r="AA211" s="2092"/>
      <c r="AB211" s="2092"/>
      <c r="AC211" s="2092"/>
      <c r="AD211" s="2092"/>
      <c r="AE211" s="2092"/>
      <c r="AF211" s="3324">
        <v>4</v>
      </c>
      <c r="AG211" s="3325" t="s">
        <v>939</v>
      </c>
      <c r="AH211" s="3325" t="s">
        <v>958</v>
      </c>
      <c r="AI211" s="3324"/>
      <c r="AJ211" s="3325"/>
      <c r="AK211" s="3325"/>
      <c r="AL211" s="3424"/>
      <c r="AM211" s="2738"/>
      <c r="AN211" s="2738"/>
      <c r="AO211" s="2738"/>
      <c r="AP211" s="2738"/>
      <c r="AQ211" s="2738"/>
      <c r="AR211" s="2738"/>
      <c r="AS211" s="2738"/>
      <c r="AT211" s="2738"/>
      <c r="AU211" s="2738"/>
      <c r="AV211" s="2738"/>
      <c r="AW211" s="2738"/>
      <c r="AX211" s="2738"/>
      <c r="AY211" s="2738"/>
      <c r="AZ211" s="2738"/>
      <c r="BA211" s="2738"/>
      <c r="BB211" s="2738"/>
      <c r="BC211" s="2738"/>
      <c r="BD211" s="2738"/>
      <c r="BE211" s="2738"/>
      <c r="BF211" s="2738"/>
    </row>
    <row customHeight="1" ht="11.25">
      <c r="A212" s="2080" t="s">
        <v>905</v>
      </c>
      <c r="B212" s="2080"/>
      <c r="C212" s="2080"/>
      <c r="D212" s="2074"/>
      <c r="E212" s="2084"/>
      <c r="F212" s="2744"/>
      <c r="G212" s="2745"/>
      <c r="H212" s="3333" t="s">
        <v>103</v>
      </c>
      <c r="I212" s="3334"/>
      <c r="J212" s="3303"/>
      <c r="K212" s="3335"/>
      <c r="L212" s="2933"/>
      <c r="M212" s="2934"/>
      <c r="N212" s="3398"/>
      <c r="O212" s="3421">
        <v>1</v>
      </c>
      <c r="P212" s="3328" t="s">
        <v>52</v>
      </c>
      <c r="Q212" s="3331" t="s">
        <v>18</v>
      </c>
      <c r="R212" s="3331" t="s">
        <v>18</v>
      </c>
      <c r="S212" s="3331" t="s">
        <v>18</v>
      </c>
      <c r="T212" s="3331" t="s">
        <v>18</v>
      </c>
      <c r="U212" s="3331" t="s">
        <v>18</v>
      </c>
      <c r="V212" s="3331" t="s">
        <v>18</v>
      </c>
      <c r="W212" s="3331" t="s">
        <v>18</v>
      </c>
      <c r="X212" s="3331" t="s">
        <v>18</v>
      </c>
      <c r="Y212" s="3331"/>
      <c r="Z212" s="2089"/>
      <c r="AA212" s="2090"/>
      <c r="AB212" s="2090"/>
      <c r="AC212" s="2094"/>
      <c r="AD212" s="2094"/>
      <c r="AE212" s="2095"/>
      <c r="AF212" s="3324"/>
      <c r="AG212" s="3325"/>
      <c r="AH212" s="3325"/>
      <c r="AI212" s="3324"/>
      <c r="AJ212" s="3325"/>
      <c r="AK212" s="3325"/>
      <c r="AL212" s="3424"/>
      <c r="AM212" s="2738"/>
      <c r="AN212" s="2738"/>
      <c r="AO212" s="2738"/>
      <c r="AP212" s="2738"/>
      <c r="AQ212" s="2738"/>
      <c r="AR212" s="2738"/>
      <c r="AS212" s="2738"/>
      <c r="AT212" s="2738"/>
      <c r="AU212" s="2738"/>
      <c r="AV212" s="2738"/>
      <c r="AW212" s="2738"/>
      <c r="AX212" s="2738"/>
      <c r="AY212" s="2738"/>
      <c r="AZ212" s="2738"/>
      <c r="BA212" s="2738"/>
      <c r="BB212" s="2738"/>
      <c r="BC212" s="2738"/>
      <c r="BD212" s="2738"/>
      <c r="BE212" s="2738"/>
      <c r="BF212" s="2738"/>
    </row>
    <row customHeight="1" ht="11.25">
      <c r="A213" s="2080" t="s">
        <v>905</v>
      </c>
      <c r="B213" s="2080"/>
      <c r="C213" s="2080"/>
      <c r="D213" s="2074"/>
      <c r="E213" s="2084"/>
      <c r="F213" s="2744"/>
      <c r="G213" s="2745"/>
      <c r="H213" s="3333" t="s">
        <v>103</v>
      </c>
      <c r="I213" s="3334"/>
      <c r="J213" s="3303"/>
      <c r="K213" s="3335"/>
      <c r="L213" s="2933"/>
      <c r="M213" s="2934"/>
      <c r="N213" s="3398"/>
      <c r="O213" s="3421"/>
      <c r="P213" s="3329"/>
      <c r="Q213" s="3331"/>
      <c r="R213" s="3331"/>
      <c r="S213" s="3332"/>
      <c r="T213" s="3331"/>
      <c r="U213" s="3331"/>
      <c r="V213" s="3331"/>
      <c r="W213" s="3331"/>
      <c r="X213" s="3331"/>
      <c r="Y213" s="3331"/>
      <c r="Z213" s="2743"/>
      <c r="AA213" s="2709">
        <v>1</v>
      </c>
      <c r="AB213" s="2093" t="s">
        <v>949</v>
      </c>
      <c r="AC213" s="2083">
        <v>9745.73</v>
      </c>
      <c r="AD213" s="2093" t="str">
        <f>AB213</f>
        <v>      Прочие амортизационные отчисления</v>
      </c>
      <c r="AE213" s="2083"/>
      <c r="AF213" s="3324"/>
      <c r="AG213" s="3325"/>
      <c r="AH213" s="3325"/>
      <c r="AI213" s="3324"/>
      <c r="AJ213" s="3325"/>
      <c r="AK213" s="3325"/>
      <c r="AL213" s="3424"/>
      <c r="AM213" s="2738"/>
      <c r="AN213" s="2738"/>
      <c r="AO213" s="2738"/>
      <c r="AP213" s="2738"/>
      <c r="AQ213" s="2738"/>
      <c r="AR213" s="2738"/>
      <c r="AS213" s="2738"/>
      <c r="AT213" s="2738"/>
      <c r="AU213" s="2738"/>
      <c r="AV213" s="2738"/>
      <c r="AW213" s="2738"/>
      <c r="AX213" s="2738"/>
      <c r="AY213" s="2738"/>
      <c r="AZ213" s="2738"/>
      <c r="BA213" s="2738"/>
      <c r="BB213" s="2738"/>
      <c r="BC213" s="2738"/>
      <c r="BD213" s="2738"/>
      <c r="BE213" s="2738"/>
      <c r="BF213" s="2738"/>
    </row>
    <row customHeight="1" ht="11.25">
      <c r="A214" s="2080" t="s">
        <v>905</v>
      </c>
      <c r="B214" s="2080"/>
      <c r="C214" s="2080"/>
      <c r="D214" s="2074"/>
      <c r="E214" s="2084"/>
      <c r="F214" s="2745"/>
      <c r="G214" s="2745"/>
      <c r="H214" s="2745"/>
      <c r="I214" s="2745"/>
      <c r="J214" s="2745"/>
      <c r="K214" s="2745"/>
      <c r="L214" s="2745"/>
      <c r="M214" s="2745"/>
      <c r="N214" s="2745"/>
      <c r="O214" s="2745"/>
      <c r="P214" s="2745"/>
      <c r="Q214" s="2745"/>
      <c r="R214" s="2745"/>
      <c r="S214" s="2745"/>
      <c r="T214" s="2745"/>
      <c r="U214" s="2745"/>
      <c r="V214" s="2745"/>
      <c r="W214" s="2745"/>
      <c r="X214" s="2745"/>
      <c r="Y214" s="2745"/>
      <c r="Z214" s="18661" t="s">
        <v>844</v>
      </c>
      <c r="AA214" s="2729" t="s">
        <v>103</v>
      </c>
      <c r="AB214" s="2093" t="s">
        <v>941</v>
      </c>
      <c r="AC214" s="2083">
        <v>11036.08</v>
      </c>
      <c r="AD214" s="2093" t="str">
        <f>AB214</f>
        <v>  Прочие</v>
      </c>
      <c r="AE214" s="2083"/>
      <c r="AF214" s="2746"/>
      <c r="AG214" s="2674"/>
      <c r="AH214" s="2674"/>
      <c r="AI214" s="2746"/>
      <c r="AJ214" s="2674"/>
      <c r="AK214" s="3423"/>
      <c r="AL214" s="3424"/>
      <c r="AM214" s="2738"/>
      <c r="AN214" s="2738"/>
      <c r="AO214" s="2738"/>
      <c r="AP214" s="2738"/>
      <c r="AQ214" s="2738"/>
      <c r="AR214" s="2738"/>
      <c r="AS214" s="2738"/>
      <c r="AT214" s="2738"/>
      <c r="AU214" s="2738"/>
      <c r="AV214" s="2738"/>
      <c r="AW214" s="2738"/>
      <c r="AX214" s="2738"/>
      <c r="AY214" s="2738"/>
      <c r="AZ214" s="2738"/>
      <c r="BA214" s="2738"/>
      <c r="BB214" s="2738"/>
      <c r="BC214" s="2738"/>
      <c r="BD214" s="2738"/>
      <c r="BE214" s="2738"/>
      <c r="BF214" s="2738"/>
    </row>
    <row customHeight="1" ht="11.25">
      <c r="A215" s="2080" t="s">
        <v>905</v>
      </c>
      <c r="B215" s="2080"/>
      <c r="C215" s="2080"/>
      <c r="D215" s="2074"/>
      <c r="E215" s="2084"/>
      <c r="F215" s="2744"/>
      <c r="G215" s="2745"/>
      <c r="H215" s="3333" t="s">
        <v>103</v>
      </c>
      <c r="I215" s="3334"/>
      <c r="J215" s="3303"/>
      <c r="K215" s="3335"/>
      <c r="L215" s="2933"/>
      <c r="M215" s="2934"/>
      <c r="N215" s="3398"/>
      <c r="O215" s="3421"/>
      <c r="P215" s="3330"/>
      <c r="Q215" s="3331"/>
      <c r="R215" s="3331"/>
      <c r="S215" s="3332"/>
      <c r="T215" s="3331"/>
      <c r="U215" s="3331"/>
      <c r="V215" s="3331"/>
      <c r="W215" s="3331"/>
      <c r="X215" s="3331"/>
      <c r="Y215" s="3331"/>
      <c r="Z215" s="2089"/>
      <c r="AA215" s="2090"/>
      <c r="AB215" s="2155" t="s">
        <v>942</v>
      </c>
      <c r="AC215" s="2094"/>
      <c r="AD215" s="2094"/>
      <c r="AE215" s="2096"/>
      <c r="AF215" s="3324"/>
      <c r="AG215" s="3325"/>
      <c r="AH215" s="3325"/>
      <c r="AI215" s="3324"/>
      <c r="AJ215" s="3325"/>
      <c r="AK215" s="3325"/>
      <c r="AL215" s="3424"/>
      <c r="AM215" s="2738"/>
      <c r="AN215" s="2738"/>
      <c r="AO215" s="2738"/>
      <c r="AP215" s="2738"/>
      <c r="AQ215" s="2738"/>
      <c r="AR215" s="2738"/>
      <c r="AS215" s="2738"/>
      <c r="AT215" s="2738"/>
      <c r="AU215" s="2738"/>
      <c r="AV215" s="2738"/>
      <c r="AW215" s="2738"/>
      <c r="AX215" s="2738"/>
      <c r="AY215" s="2738"/>
      <c r="AZ215" s="2738"/>
      <c r="BA215" s="2738"/>
      <c r="BB215" s="2738"/>
      <c r="BC215" s="2738"/>
      <c r="BD215" s="2738"/>
      <c r="BE215" s="2738"/>
      <c r="BF215" s="2738"/>
    </row>
    <row customHeight="1" ht="11.25">
      <c r="A216" s="2080" t="s">
        <v>905</v>
      </c>
      <c r="B216" s="2080"/>
      <c r="C216" s="2080"/>
      <c r="D216" s="2074"/>
      <c r="E216" s="2084"/>
      <c r="F216" s="2744"/>
      <c r="G216" s="2745"/>
      <c r="H216" s="3333" t="s">
        <v>103</v>
      </c>
      <c r="I216" s="3334"/>
      <c r="J216" s="3303"/>
      <c r="K216" s="3335"/>
      <c r="L216" s="2933"/>
      <c r="M216" s="2934"/>
      <c r="N216" s="2089"/>
      <c r="O216" s="2090"/>
      <c r="P216" s="2082" t="s">
        <v>943</v>
      </c>
      <c r="Q216" s="2090"/>
      <c r="R216" s="2090"/>
      <c r="S216" s="2090"/>
      <c r="T216" s="2090"/>
      <c r="U216" s="2090"/>
      <c r="V216" s="2090"/>
      <c r="W216" s="2090"/>
      <c r="X216" s="2090"/>
      <c r="Y216" s="2090"/>
      <c r="Z216" s="2090"/>
      <c r="AA216" s="2090"/>
      <c r="AB216" s="2090"/>
      <c r="AC216" s="2090"/>
      <c r="AD216" s="2090"/>
      <c r="AE216" s="2097"/>
      <c r="AF216" s="3324"/>
      <c r="AG216" s="3325"/>
      <c r="AH216" s="3325"/>
      <c r="AI216" s="3324"/>
      <c r="AJ216" s="3325"/>
      <c r="AK216" s="3325"/>
      <c r="AL216" s="3424"/>
      <c r="AM216" s="2738"/>
      <c r="AN216" s="2738"/>
      <c r="AO216" s="2738"/>
      <c r="AP216" s="2738"/>
      <c r="AQ216" s="2738"/>
      <c r="AR216" s="2738"/>
      <c r="AS216" s="2738"/>
      <c r="AT216" s="2738"/>
      <c r="AU216" s="2738"/>
      <c r="AV216" s="2738"/>
      <c r="AW216" s="2738"/>
      <c r="AX216" s="2738"/>
      <c r="AY216" s="2738"/>
      <c r="AZ216" s="2738"/>
      <c r="BA216" s="2738"/>
      <c r="BB216" s="2738"/>
      <c r="BC216" s="2738"/>
      <c r="BD216" s="2738"/>
      <c r="BE216" s="2738"/>
      <c r="BF216" s="2738"/>
    </row>
    <row customHeight="1" ht="20.25">
      <c r="A217" s="2080" t="s">
        <v>905</v>
      </c>
      <c r="B217" s="2080" t="s">
        <v>944</v>
      </c>
      <c r="C217" s="2080"/>
      <c r="D217" s="2074"/>
      <c r="E217" s="2084"/>
      <c r="F217" s="2744"/>
      <c r="G217" s="15875" t="s">
        <v>844</v>
      </c>
      <c r="H217" s="3333" t="s">
        <v>87</v>
      </c>
      <c r="I217" s="3334" t="s">
        <v>945</v>
      </c>
      <c r="J217" s="3303" t="s">
        <v>946</v>
      </c>
      <c r="K217" s="3335" t="s">
        <v>980</v>
      </c>
      <c r="L217" s="2933" t="s">
        <v>52</v>
      </c>
      <c r="M217" s="2934"/>
      <c r="N217" s="3422"/>
      <c r="O217" s="2091" t="s">
        <v>367</v>
      </c>
      <c r="P217" s="2092"/>
      <c r="Q217" s="2092"/>
      <c r="R217" s="2092"/>
      <c r="S217" s="2092"/>
      <c r="T217" s="2092"/>
      <c r="U217" s="2092"/>
      <c r="V217" s="2092"/>
      <c r="W217" s="2092"/>
      <c r="X217" s="2092"/>
      <c r="Y217" s="2092"/>
      <c r="Z217" s="2092"/>
      <c r="AA217" s="2092"/>
      <c r="AB217" s="2092"/>
      <c r="AC217" s="2092"/>
      <c r="AD217" s="2092"/>
      <c r="AE217" s="2092"/>
      <c r="AF217" s="3324">
        <v>2</v>
      </c>
      <c r="AG217" s="3325" t="s">
        <v>939</v>
      </c>
      <c r="AH217" s="3325" t="s">
        <v>953</v>
      </c>
      <c r="AI217" s="3324"/>
      <c r="AJ217" s="3325"/>
      <c r="AK217" s="3325"/>
      <c r="AL217" s="3424"/>
      <c r="AM217" s="2738"/>
      <c r="AN217" s="2738"/>
      <c r="AO217" s="2738"/>
      <c r="AP217" s="2738"/>
      <c r="AQ217" s="2738"/>
      <c r="AR217" s="2738"/>
      <c r="AS217" s="2738"/>
      <c r="AT217" s="2738"/>
      <c r="AU217" s="2738"/>
      <c r="AV217" s="2738"/>
      <c r="AW217" s="2738"/>
      <c r="AX217" s="2738"/>
      <c r="AY217" s="2738"/>
      <c r="AZ217" s="2738"/>
      <c r="BA217" s="2738"/>
      <c r="BB217" s="2738"/>
      <c r="BC217" s="2738"/>
      <c r="BD217" s="2738"/>
      <c r="BE217" s="2738"/>
      <c r="BF217" s="2738"/>
    </row>
    <row customHeight="1" ht="11.25">
      <c r="A218" s="2080" t="s">
        <v>905</v>
      </c>
      <c r="B218" s="2080"/>
      <c r="C218" s="2080"/>
      <c r="D218" s="2074"/>
      <c r="E218" s="2084"/>
      <c r="F218" s="2744"/>
      <c r="G218" s="2745"/>
      <c r="H218" s="3333" t="s">
        <v>86</v>
      </c>
      <c r="I218" s="3334"/>
      <c r="J218" s="3303"/>
      <c r="K218" s="3335"/>
      <c r="L218" s="2933"/>
      <c r="M218" s="2934"/>
      <c r="N218" s="3398"/>
      <c r="O218" s="3421">
        <v>1</v>
      </c>
      <c r="P218" s="3328" t="s">
        <v>52</v>
      </c>
      <c r="Q218" s="3331" t="s">
        <v>18</v>
      </c>
      <c r="R218" s="3331" t="s">
        <v>18</v>
      </c>
      <c r="S218" s="3331" t="s">
        <v>18</v>
      </c>
      <c r="T218" s="3331" t="s">
        <v>18</v>
      </c>
      <c r="U218" s="3331" t="s">
        <v>18</v>
      </c>
      <c r="V218" s="3331" t="s">
        <v>18</v>
      </c>
      <c r="W218" s="3331" t="s">
        <v>18</v>
      </c>
      <c r="X218" s="3331" t="s">
        <v>18</v>
      </c>
      <c r="Y218" s="3331"/>
      <c r="Z218" s="2089"/>
      <c r="AA218" s="2090"/>
      <c r="AB218" s="2090"/>
      <c r="AC218" s="2094"/>
      <c r="AD218" s="2094"/>
      <c r="AE218" s="2095"/>
      <c r="AF218" s="3324"/>
      <c r="AG218" s="3325"/>
      <c r="AH218" s="3325"/>
      <c r="AI218" s="3324"/>
      <c r="AJ218" s="3325"/>
      <c r="AK218" s="3325"/>
      <c r="AL218" s="3424"/>
      <c r="AM218" s="2738"/>
      <c r="AN218" s="2738"/>
      <c r="AO218" s="2738"/>
      <c r="AP218" s="2738"/>
      <c r="AQ218" s="2738"/>
      <c r="AR218" s="2738"/>
      <c r="AS218" s="2738"/>
      <c r="AT218" s="2738"/>
      <c r="AU218" s="2738"/>
      <c r="AV218" s="2738"/>
      <c r="AW218" s="2738"/>
      <c r="AX218" s="2738"/>
      <c r="AY218" s="2738"/>
      <c r="AZ218" s="2738"/>
      <c r="BA218" s="2738"/>
      <c r="BB218" s="2738"/>
      <c r="BC218" s="2738"/>
      <c r="BD218" s="2738"/>
      <c r="BE218" s="2738"/>
      <c r="BF218" s="2738"/>
    </row>
    <row customHeight="1" ht="11.25">
      <c r="A219" s="2080" t="s">
        <v>905</v>
      </c>
      <c r="B219" s="2080"/>
      <c r="C219" s="2080"/>
      <c r="D219" s="2074"/>
      <c r="E219" s="2084"/>
      <c r="F219" s="2744"/>
      <c r="G219" s="2745"/>
      <c r="H219" s="3333" t="s">
        <v>86</v>
      </c>
      <c r="I219" s="3334"/>
      <c r="J219" s="3303"/>
      <c r="K219" s="3335"/>
      <c r="L219" s="2933"/>
      <c r="M219" s="2934"/>
      <c r="N219" s="3398"/>
      <c r="O219" s="3421"/>
      <c r="P219" s="3329"/>
      <c r="Q219" s="3331"/>
      <c r="R219" s="3331"/>
      <c r="S219" s="3332"/>
      <c r="T219" s="3331"/>
      <c r="U219" s="3331"/>
      <c r="V219" s="3331"/>
      <c r="W219" s="3331"/>
      <c r="X219" s="3331"/>
      <c r="Y219" s="3331"/>
      <c r="Z219" s="2743"/>
      <c r="AA219" s="2709">
        <v>1</v>
      </c>
      <c r="AB219" s="2093" t="s">
        <v>949</v>
      </c>
      <c r="AC219" s="2083">
        <v>9745.73</v>
      </c>
      <c r="AD219" s="2093" t="str">
        <f>AB219</f>
        <v>      Прочие амортизационные отчисления</v>
      </c>
      <c r="AE219" s="2083"/>
      <c r="AF219" s="3324"/>
      <c r="AG219" s="3325"/>
      <c r="AH219" s="3325"/>
      <c r="AI219" s="3324"/>
      <c r="AJ219" s="3325"/>
      <c r="AK219" s="3325"/>
      <c r="AL219" s="3424"/>
      <c r="AM219" s="2738"/>
      <c r="AN219" s="2738"/>
      <c r="AO219" s="2738"/>
      <c r="AP219" s="2738"/>
      <c r="AQ219" s="2738"/>
      <c r="AR219" s="2738"/>
      <c r="AS219" s="2738"/>
      <c r="AT219" s="2738"/>
      <c r="AU219" s="2738"/>
      <c r="AV219" s="2738"/>
      <c r="AW219" s="2738"/>
      <c r="AX219" s="2738"/>
      <c r="AY219" s="2738"/>
      <c r="AZ219" s="2738"/>
      <c r="BA219" s="2738"/>
      <c r="BB219" s="2738"/>
      <c r="BC219" s="2738"/>
      <c r="BD219" s="2738"/>
      <c r="BE219" s="2738"/>
      <c r="BF219" s="2738"/>
    </row>
    <row customHeight="1" ht="11.25">
      <c r="A220" s="2080" t="s">
        <v>905</v>
      </c>
      <c r="B220" s="2080"/>
      <c r="C220" s="2080"/>
      <c r="D220" s="2074"/>
      <c r="E220" s="2084"/>
      <c r="F220" s="2745"/>
      <c r="G220" s="2745"/>
      <c r="H220" s="2745"/>
      <c r="I220" s="2745"/>
      <c r="J220" s="2745"/>
      <c r="K220" s="2745"/>
      <c r="L220" s="2745"/>
      <c r="M220" s="2745"/>
      <c r="N220" s="2745"/>
      <c r="O220" s="2745"/>
      <c r="P220" s="2745"/>
      <c r="Q220" s="2745"/>
      <c r="R220" s="2745"/>
      <c r="S220" s="2745"/>
      <c r="T220" s="2745"/>
      <c r="U220" s="2745"/>
      <c r="V220" s="2745"/>
      <c r="W220" s="2745"/>
      <c r="X220" s="2745"/>
      <c r="Y220" s="2745"/>
      <c r="Z220" s="18661" t="s">
        <v>844</v>
      </c>
      <c r="AA220" s="2729" t="s">
        <v>103</v>
      </c>
      <c r="AB220" s="2093" t="s">
        <v>941</v>
      </c>
      <c r="AC220" s="2083">
        <v>8646.17</v>
      </c>
      <c r="AD220" s="2093" t="str">
        <f>AB220</f>
        <v>  Прочие</v>
      </c>
      <c r="AE220" s="2083"/>
      <c r="AF220" s="2746"/>
      <c r="AG220" s="2674"/>
      <c r="AH220" s="2674"/>
      <c r="AI220" s="2746"/>
      <c r="AJ220" s="2674"/>
      <c r="AK220" s="3423"/>
      <c r="AL220" s="3424"/>
      <c r="AM220" s="2738"/>
      <c r="AN220" s="2738"/>
      <c r="AO220" s="2738"/>
      <c r="AP220" s="2738"/>
      <c r="AQ220" s="2738"/>
      <c r="AR220" s="2738"/>
      <c r="AS220" s="2738"/>
      <c r="AT220" s="2738"/>
      <c r="AU220" s="2738"/>
      <c r="AV220" s="2738"/>
      <c r="AW220" s="2738"/>
      <c r="AX220" s="2738"/>
      <c r="AY220" s="2738"/>
      <c r="AZ220" s="2738"/>
      <c r="BA220" s="2738"/>
      <c r="BB220" s="2738"/>
      <c r="BC220" s="2738"/>
      <c r="BD220" s="2738"/>
      <c r="BE220" s="2738"/>
      <c r="BF220" s="2738"/>
    </row>
    <row customHeight="1" ht="11.25">
      <c r="A221" s="2080" t="s">
        <v>905</v>
      </c>
      <c r="B221" s="2080"/>
      <c r="C221" s="2080"/>
      <c r="D221" s="2074"/>
      <c r="E221" s="2084"/>
      <c r="F221" s="2744"/>
      <c r="G221" s="2745"/>
      <c r="H221" s="3333" t="s">
        <v>86</v>
      </c>
      <c r="I221" s="3334"/>
      <c r="J221" s="3303"/>
      <c r="K221" s="3335"/>
      <c r="L221" s="2933"/>
      <c r="M221" s="2934"/>
      <c r="N221" s="3398"/>
      <c r="O221" s="3421"/>
      <c r="P221" s="3330"/>
      <c r="Q221" s="3331"/>
      <c r="R221" s="3331"/>
      <c r="S221" s="3332"/>
      <c r="T221" s="3331"/>
      <c r="U221" s="3331"/>
      <c r="V221" s="3331"/>
      <c r="W221" s="3331"/>
      <c r="X221" s="3331"/>
      <c r="Y221" s="3331"/>
      <c r="Z221" s="2089"/>
      <c r="AA221" s="2090"/>
      <c r="AB221" s="2155" t="s">
        <v>942</v>
      </c>
      <c r="AC221" s="2094"/>
      <c r="AD221" s="2094"/>
      <c r="AE221" s="2096"/>
      <c r="AF221" s="3324"/>
      <c r="AG221" s="3325"/>
      <c r="AH221" s="3325"/>
      <c r="AI221" s="3324"/>
      <c r="AJ221" s="3325"/>
      <c r="AK221" s="3325"/>
      <c r="AL221" s="3424"/>
      <c r="AM221" s="2738"/>
      <c r="AN221" s="2738"/>
      <c r="AO221" s="2738"/>
      <c r="AP221" s="2738"/>
      <c r="AQ221" s="2738"/>
      <c r="AR221" s="2738"/>
      <c r="AS221" s="2738"/>
      <c r="AT221" s="2738"/>
      <c r="AU221" s="2738"/>
      <c r="AV221" s="2738"/>
      <c r="AW221" s="2738"/>
      <c r="AX221" s="2738"/>
      <c r="AY221" s="2738"/>
      <c r="AZ221" s="2738"/>
      <c r="BA221" s="2738"/>
      <c r="BB221" s="2738"/>
      <c r="BC221" s="2738"/>
      <c r="BD221" s="2738"/>
      <c r="BE221" s="2738"/>
      <c r="BF221" s="2738"/>
    </row>
    <row customHeight="1" ht="11.25">
      <c r="A222" s="2080" t="s">
        <v>905</v>
      </c>
      <c r="B222" s="2080"/>
      <c r="C222" s="2080"/>
      <c r="D222" s="2074"/>
      <c r="E222" s="2084"/>
      <c r="F222" s="2744"/>
      <c r="G222" s="2745"/>
      <c r="H222" s="3333" t="s">
        <v>86</v>
      </c>
      <c r="I222" s="3334"/>
      <c r="J222" s="3303"/>
      <c r="K222" s="3335"/>
      <c r="L222" s="2933"/>
      <c r="M222" s="2934"/>
      <c r="N222" s="2089"/>
      <c r="O222" s="2090"/>
      <c r="P222" s="2082" t="s">
        <v>943</v>
      </c>
      <c r="Q222" s="2090"/>
      <c r="R222" s="2090"/>
      <c r="S222" s="2090"/>
      <c r="T222" s="2090"/>
      <c r="U222" s="2090"/>
      <c r="V222" s="2090"/>
      <c r="W222" s="2090"/>
      <c r="X222" s="2090"/>
      <c r="Y222" s="2090"/>
      <c r="Z222" s="2090"/>
      <c r="AA222" s="2090"/>
      <c r="AB222" s="2090"/>
      <c r="AC222" s="2090"/>
      <c r="AD222" s="2090"/>
      <c r="AE222" s="2097"/>
      <c r="AF222" s="3324"/>
      <c r="AG222" s="3325"/>
      <c r="AH222" s="3325"/>
      <c r="AI222" s="3324"/>
      <c r="AJ222" s="3325"/>
      <c r="AK222" s="3325"/>
      <c r="AL222" s="3424"/>
      <c r="AM222" s="2738"/>
      <c r="AN222" s="2738"/>
      <c r="AO222" s="2738"/>
      <c r="AP222" s="2738"/>
      <c r="AQ222" s="2738"/>
      <c r="AR222" s="2738"/>
      <c r="AS222" s="2738"/>
      <c r="AT222" s="2738"/>
      <c r="AU222" s="2738"/>
      <c r="AV222" s="2738"/>
      <c r="AW222" s="2738"/>
      <c r="AX222" s="2738"/>
      <c r="AY222" s="2738"/>
      <c r="AZ222" s="2738"/>
      <c r="BA222" s="2738"/>
      <c r="BB222" s="2738"/>
      <c r="BC222" s="2738"/>
      <c r="BD222" s="2738"/>
      <c r="BE222" s="2738"/>
      <c r="BF222" s="2738"/>
    </row>
    <row customHeight="1" ht="25.5">
      <c r="A223" s="2080" t="s">
        <v>905</v>
      </c>
      <c r="B223" s="2080" t="s">
        <v>944</v>
      </c>
      <c r="C223" s="2080"/>
      <c r="D223" s="2074"/>
      <c r="E223" s="2084"/>
      <c r="F223" s="2744"/>
      <c r="G223" s="15875" t="s">
        <v>844</v>
      </c>
      <c r="H223" s="3333" t="s">
        <v>104</v>
      </c>
      <c r="I223" s="3334" t="s">
        <v>945</v>
      </c>
      <c r="J223" s="3303" t="s">
        <v>946</v>
      </c>
      <c r="K223" s="3335" t="s">
        <v>981</v>
      </c>
      <c r="L223" s="2933" t="s">
        <v>52</v>
      </c>
      <c r="M223" s="2934"/>
      <c r="N223" s="3422"/>
      <c r="O223" s="2091" t="s">
        <v>367</v>
      </c>
      <c r="P223" s="2092"/>
      <c r="Q223" s="2092"/>
      <c r="R223" s="2092"/>
      <c r="S223" s="2092"/>
      <c r="T223" s="2092"/>
      <c r="U223" s="2092"/>
      <c r="V223" s="2092"/>
      <c r="W223" s="2092"/>
      <c r="X223" s="2092"/>
      <c r="Y223" s="2092"/>
      <c r="Z223" s="2092"/>
      <c r="AA223" s="2092"/>
      <c r="AB223" s="2092"/>
      <c r="AC223" s="2092"/>
      <c r="AD223" s="2092"/>
      <c r="AE223" s="2092"/>
      <c r="AF223" s="3324">
        <v>3</v>
      </c>
      <c r="AG223" s="3325" t="s">
        <v>939</v>
      </c>
      <c r="AH223" s="3325" t="s">
        <v>958</v>
      </c>
      <c r="AI223" s="3324"/>
      <c r="AJ223" s="3325"/>
      <c r="AK223" s="3325"/>
      <c r="AL223" s="3424"/>
      <c r="AM223" s="2738"/>
      <c r="AN223" s="2738"/>
      <c r="AO223" s="2738"/>
      <c r="AP223" s="2738"/>
      <c r="AQ223" s="2738"/>
      <c r="AR223" s="2738"/>
      <c r="AS223" s="2738"/>
      <c r="AT223" s="2738"/>
      <c r="AU223" s="2738"/>
      <c r="AV223" s="2738"/>
      <c r="AW223" s="2738"/>
      <c r="AX223" s="2738"/>
      <c r="AY223" s="2738"/>
      <c r="AZ223" s="2738"/>
      <c r="BA223" s="2738"/>
      <c r="BB223" s="2738"/>
      <c r="BC223" s="2738"/>
      <c r="BD223" s="2738"/>
      <c r="BE223" s="2738"/>
      <c r="BF223" s="2738"/>
    </row>
    <row customHeight="1" ht="11.25">
      <c r="A224" s="2080" t="s">
        <v>905</v>
      </c>
      <c r="B224" s="2080"/>
      <c r="C224" s="2080"/>
      <c r="D224" s="2074"/>
      <c r="E224" s="2084"/>
      <c r="F224" s="2744"/>
      <c r="G224" s="2745"/>
      <c r="H224" s="3333" t="s">
        <v>87</v>
      </c>
      <c r="I224" s="3334"/>
      <c r="J224" s="3303"/>
      <c r="K224" s="3335"/>
      <c r="L224" s="2933"/>
      <c r="M224" s="2934"/>
      <c r="N224" s="3398"/>
      <c r="O224" s="3421">
        <v>1</v>
      </c>
      <c r="P224" s="3328" t="s">
        <v>52</v>
      </c>
      <c r="Q224" s="3331" t="s">
        <v>18</v>
      </c>
      <c r="R224" s="3331" t="s">
        <v>18</v>
      </c>
      <c r="S224" s="3331" t="s">
        <v>18</v>
      </c>
      <c r="T224" s="3331" t="s">
        <v>18</v>
      </c>
      <c r="U224" s="3331" t="s">
        <v>18</v>
      </c>
      <c r="V224" s="3331" t="s">
        <v>18</v>
      </c>
      <c r="W224" s="3331" t="s">
        <v>18</v>
      </c>
      <c r="X224" s="3331" t="s">
        <v>18</v>
      </c>
      <c r="Y224" s="3331"/>
      <c r="Z224" s="2089"/>
      <c r="AA224" s="2090"/>
      <c r="AB224" s="2090"/>
      <c r="AC224" s="2094"/>
      <c r="AD224" s="2094"/>
      <c r="AE224" s="2095"/>
      <c r="AF224" s="3324"/>
      <c r="AG224" s="3325"/>
      <c r="AH224" s="3325"/>
      <c r="AI224" s="3324"/>
      <c r="AJ224" s="3325"/>
      <c r="AK224" s="3325"/>
      <c r="AL224" s="3424"/>
      <c r="AM224" s="2738"/>
      <c r="AN224" s="2738"/>
      <c r="AO224" s="2738"/>
      <c r="AP224" s="2738"/>
      <c r="AQ224" s="2738"/>
      <c r="AR224" s="2738"/>
      <c r="AS224" s="2738"/>
      <c r="AT224" s="2738"/>
      <c r="AU224" s="2738"/>
      <c r="AV224" s="2738"/>
      <c r="AW224" s="2738"/>
      <c r="AX224" s="2738"/>
      <c r="AY224" s="2738"/>
      <c r="AZ224" s="2738"/>
      <c r="BA224" s="2738"/>
      <c r="BB224" s="2738"/>
      <c r="BC224" s="2738"/>
      <c r="BD224" s="2738"/>
      <c r="BE224" s="2738"/>
      <c r="BF224" s="2738"/>
    </row>
    <row customHeight="1" ht="11.25">
      <c r="A225" s="2080" t="s">
        <v>905</v>
      </c>
      <c r="B225" s="2080"/>
      <c r="C225" s="2080"/>
      <c r="D225" s="2074"/>
      <c r="E225" s="2084"/>
      <c r="F225" s="2744"/>
      <c r="G225" s="2745"/>
      <c r="H225" s="3333" t="s">
        <v>87</v>
      </c>
      <c r="I225" s="3334"/>
      <c r="J225" s="3303"/>
      <c r="K225" s="3335"/>
      <c r="L225" s="2933"/>
      <c r="M225" s="2934"/>
      <c r="N225" s="3398"/>
      <c r="O225" s="3421"/>
      <c r="P225" s="3329"/>
      <c r="Q225" s="3331"/>
      <c r="R225" s="3331"/>
      <c r="S225" s="3332"/>
      <c r="T225" s="3331"/>
      <c r="U225" s="3331"/>
      <c r="V225" s="3331"/>
      <c r="W225" s="3331"/>
      <c r="X225" s="3331"/>
      <c r="Y225" s="3331"/>
      <c r="Z225" s="2743"/>
      <c r="AA225" s="2709">
        <v>1</v>
      </c>
      <c r="AB225" s="2093" t="s">
        <v>949</v>
      </c>
      <c r="AC225" s="2083">
        <v>9745.73</v>
      </c>
      <c r="AD225" s="2093" t="str">
        <f>AB225</f>
        <v>      Прочие амортизационные отчисления</v>
      </c>
      <c r="AE225" s="2083"/>
      <c r="AF225" s="3324"/>
      <c r="AG225" s="3325"/>
      <c r="AH225" s="3325"/>
      <c r="AI225" s="3324"/>
      <c r="AJ225" s="3325"/>
      <c r="AK225" s="3325"/>
      <c r="AL225" s="3424"/>
      <c r="AM225" s="2738"/>
      <c r="AN225" s="2738"/>
      <c r="AO225" s="2738"/>
      <c r="AP225" s="2738"/>
      <c r="AQ225" s="2738"/>
      <c r="AR225" s="2738"/>
      <c r="AS225" s="2738"/>
      <c r="AT225" s="2738"/>
      <c r="AU225" s="2738"/>
      <c r="AV225" s="2738"/>
      <c r="AW225" s="2738"/>
      <c r="AX225" s="2738"/>
      <c r="AY225" s="2738"/>
      <c r="AZ225" s="2738"/>
      <c r="BA225" s="2738"/>
      <c r="BB225" s="2738"/>
      <c r="BC225" s="2738"/>
      <c r="BD225" s="2738"/>
      <c r="BE225" s="2738"/>
      <c r="BF225" s="2738"/>
    </row>
    <row customHeight="1" ht="11.25">
      <c r="A226" s="2080" t="s">
        <v>905</v>
      </c>
      <c r="B226" s="2080"/>
      <c r="C226" s="2080"/>
      <c r="D226" s="2074"/>
      <c r="E226" s="2084"/>
      <c r="F226" s="2745"/>
      <c r="G226" s="2745"/>
      <c r="H226" s="2745"/>
      <c r="I226" s="2745"/>
      <c r="J226" s="2745"/>
      <c r="K226" s="2745"/>
      <c r="L226" s="2745"/>
      <c r="M226" s="2745"/>
      <c r="N226" s="2745"/>
      <c r="O226" s="2745"/>
      <c r="P226" s="2745"/>
      <c r="Q226" s="2745"/>
      <c r="R226" s="2745"/>
      <c r="S226" s="2745"/>
      <c r="T226" s="2745"/>
      <c r="U226" s="2745"/>
      <c r="V226" s="2745"/>
      <c r="W226" s="2745"/>
      <c r="X226" s="2745"/>
      <c r="Y226" s="2745"/>
      <c r="Z226" s="18661" t="s">
        <v>844</v>
      </c>
      <c r="AA226" s="2729" t="s">
        <v>103</v>
      </c>
      <c r="AB226" s="2093" t="s">
        <v>941</v>
      </c>
      <c r="AC226" s="2083">
        <v>8646.17</v>
      </c>
      <c r="AD226" s="2093" t="str">
        <f>AB226</f>
        <v>  Прочие</v>
      </c>
      <c r="AE226" s="2083"/>
      <c r="AF226" s="2746"/>
      <c r="AG226" s="2674"/>
      <c r="AH226" s="2674"/>
      <c r="AI226" s="2746"/>
      <c r="AJ226" s="2674"/>
      <c r="AK226" s="3423"/>
      <c r="AL226" s="3424"/>
      <c r="AM226" s="2738"/>
      <c r="AN226" s="2738"/>
      <c r="AO226" s="2738"/>
      <c r="AP226" s="2738"/>
      <c r="AQ226" s="2738"/>
      <c r="AR226" s="2738"/>
      <c r="AS226" s="2738"/>
      <c r="AT226" s="2738"/>
      <c r="AU226" s="2738"/>
      <c r="AV226" s="2738"/>
      <c r="AW226" s="2738"/>
      <c r="AX226" s="2738"/>
      <c r="AY226" s="2738"/>
      <c r="AZ226" s="2738"/>
      <c r="BA226" s="2738"/>
      <c r="BB226" s="2738"/>
      <c r="BC226" s="2738"/>
      <c r="BD226" s="2738"/>
      <c r="BE226" s="2738"/>
      <c r="BF226" s="2738"/>
    </row>
    <row customHeight="1" ht="11.25">
      <c r="A227" s="2080" t="s">
        <v>905</v>
      </c>
      <c r="B227" s="2080"/>
      <c r="C227" s="2080"/>
      <c r="D227" s="2074"/>
      <c r="E227" s="2084"/>
      <c r="F227" s="2744"/>
      <c r="G227" s="2745"/>
      <c r="H227" s="3333" t="s">
        <v>87</v>
      </c>
      <c r="I227" s="3334"/>
      <c r="J227" s="3303"/>
      <c r="K227" s="3335"/>
      <c r="L227" s="2933"/>
      <c r="M227" s="2934"/>
      <c r="N227" s="3398"/>
      <c r="O227" s="3421"/>
      <c r="P227" s="3330"/>
      <c r="Q227" s="3331"/>
      <c r="R227" s="3331"/>
      <c r="S227" s="3332"/>
      <c r="T227" s="3331"/>
      <c r="U227" s="3331"/>
      <c r="V227" s="3331"/>
      <c r="W227" s="3331"/>
      <c r="X227" s="3331"/>
      <c r="Y227" s="3331"/>
      <c r="Z227" s="2089"/>
      <c r="AA227" s="2090"/>
      <c r="AB227" s="2155" t="s">
        <v>942</v>
      </c>
      <c r="AC227" s="2094"/>
      <c r="AD227" s="2094"/>
      <c r="AE227" s="2096"/>
      <c r="AF227" s="3324"/>
      <c r="AG227" s="3325"/>
      <c r="AH227" s="3325"/>
      <c r="AI227" s="3324"/>
      <c r="AJ227" s="3325"/>
      <c r="AK227" s="3325"/>
      <c r="AL227" s="3424"/>
      <c r="AM227" s="2738"/>
      <c r="AN227" s="2738"/>
      <c r="AO227" s="2738"/>
      <c r="AP227" s="2738"/>
      <c r="AQ227" s="2738"/>
      <c r="AR227" s="2738"/>
      <c r="AS227" s="2738"/>
      <c r="AT227" s="2738"/>
      <c r="AU227" s="2738"/>
      <c r="AV227" s="2738"/>
      <c r="AW227" s="2738"/>
      <c r="AX227" s="2738"/>
      <c r="AY227" s="2738"/>
      <c r="AZ227" s="2738"/>
      <c r="BA227" s="2738"/>
      <c r="BB227" s="2738"/>
      <c r="BC227" s="2738"/>
      <c r="BD227" s="2738"/>
      <c r="BE227" s="2738"/>
      <c r="BF227" s="2738"/>
    </row>
    <row customHeight="1" ht="11.25">
      <c r="A228" s="2080" t="s">
        <v>905</v>
      </c>
      <c r="B228" s="2080"/>
      <c r="C228" s="2080"/>
      <c r="D228" s="2074"/>
      <c r="E228" s="2084"/>
      <c r="F228" s="2744"/>
      <c r="G228" s="2745"/>
      <c r="H228" s="3333" t="s">
        <v>87</v>
      </c>
      <c r="I228" s="3334"/>
      <c r="J228" s="3303"/>
      <c r="K228" s="3335"/>
      <c r="L228" s="2933"/>
      <c r="M228" s="2934"/>
      <c r="N228" s="2089"/>
      <c r="O228" s="2090"/>
      <c r="P228" s="2082" t="s">
        <v>943</v>
      </c>
      <c r="Q228" s="2090"/>
      <c r="R228" s="2090"/>
      <c r="S228" s="2090"/>
      <c r="T228" s="2090"/>
      <c r="U228" s="2090"/>
      <c r="V228" s="2090"/>
      <c r="W228" s="2090"/>
      <c r="X228" s="2090"/>
      <c r="Y228" s="2090"/>
      <c r="Z228" s="2090"/>
      <c r="AA228" s="2090"/>
      <c r="AB228" s="2090"/>
      <c r="AC228" s="2090"/>
      <c r="AD228" s="2090"/>
      <c r="AE228" s="2097"/>
      <c r="AF228" s="3324"/>
      <c r="AG228" s="3325"/>
      <c r="AH228" s="3325"/>
      <c r="AI228" s="3324"/>
      <c r="AJ228" s="3325"/>
      <c r="AK228" s="3325"/>
      <c r="AL228" s="3424"/>
      <c r="AM228" s="2738"/>
      <c r="AN228" s="2738"/>
      <c r="AO228" s="2738"/>
      <c r="AP228" s="2738"/>
      <c r="AQ228" s="2738"/>
      <c r="AR228" s="2738"/>
      <c r="AS228" s="2738"/>
      <c r="AT228" s="2738"/>
      <c r="AU228" s="2738"/>
      <c r="AV228" s="2738"/>
      <c r="AW228" s="2738"/>
      <c r="AX228" s="2738"/>
      <c r="AY228" s="2738"/>
      <c r="AZ228" s="2738"/>
      <c r="BA228" s="2738"/>
      <c r="BB228" s="2738"/>
      <c r="BC228" s="2738"/>
      <c r="BD228" s="2738"/>
      <c r="BE228" s="2738"/>
      <c r="BF228" s="2738"/>
    </row>
    <row customHeight="1" ht="40.5">
      <c r="A229" s="2080" t="s">
        <v>905</v>
      </c>
      <c r="B229" s="2080" t="s">
        <v>944</v>
      </c>
      <c r="C229" s="2080"/>
      <c r="D229" s="2074"/>
      <c r="E229" s="2084"/>
      <c r="F229" s="2744"/>
      <c r="G229" s="15875" t="s">
        <v>844</v>
      </c>
      <c r="H229" s="3333" t="s">
        <v>88</v>
      </c>
      <c r="I229" s="3334" t="s">
        <v>945</v>
      </c>
      <c r="J229" s="3303" t="s">
        <v>946</v>
      </c>
      <c r="K229" s="3335" t="s">
        <v>968</v>
      </c>
      <c r="L229" s="2933" t="s">
        <v>52</v>
      </c>
      <c r="M229" s="2934"/>
      <c r="N229" s="3422"/>
      <c r="O229" s="2091" t="s">
        <v>367</v>
      </c>
      <c r="P229" s="2092"/>
      <c r="Q229" s="2092"/>
      <c r="R229" s="2092"/>
      <c r="S229" s="2092"/>
      <c r="T229" s="2092"/>
      <c r="U229" s="2092"/>
      <c r="V229" s="2092"/>
      <c r="W229" s="2092"/>
      <c r="X229" s="2092"/>
      <c r="Y229" s="2092"/>
      <c r="Z229" s="2092"/>
      <c r="AA229" s="2092"/>
      <c r="AB229" s="2092"/>
      <c r="AC229" s="2092"/>
      <c r="AD229" s="2092"/>
      <c r="AE229" s="2092"/>
      <c r="AF229" s="3324">
        <v>4</v>
      </c>
      <c r="AG229" s="3325" t="s">
        <v>939</v>
      </c>
      <c r="AH229" s="3325" t="s">
        <v>940</v>
      </c>
      <c r="AI229" s="3324"/>
      <c r="AJ229" s="3325"/>
      <c r="AK229" s="3325"/>
      <c r="AL229" s="3424"/>
      <c r="AM229" s="2738"/>
      <c r="AN229" s="2738"/>
      <c r="AO229" s="2738"/>
      <c r="AP229" s="2738"/>
      <c r="AQ229" s="2738"/>
      <c r="AR229" s="2738"/>
      <c r="AS229" s="2738"/>
      <c r="AT229" s="2738"/>
      <c r="AU229" s="2738"/>
      <c r="AV229" s="2738"/>
      <c r="AW229" s="2738"/>
      <c r="AX229" s="2738"/>
      <c r="AY229" s="2738"/>
      <c r="AZ229" s="2738"/>
      <c r="BA229" s="2738"/>
      <c r="BB229" s="2738"/>
      <c r="BC229" s="2738"/>
      <c r="BD229" s="2738"/>
      <c r="BE229" s="2738"/>
      <c r="BF229" s="2738"/>
    </row>
    <row customHeight="1" ht="21.75">
      <c r="A230" s="2080" t="s">
        <v>905</v>
      </c>
      <c r="B230" s="2080"/>
      <c r="C230" s="2080"/>
      <c r="D230" s="2074"/>
      <c r="E230" s="2084"/>
      <c r="F230" s="2744"/>
      <c r="G230" s="2745"/>
      <c r="H230" s="3333" t="s">
        <v>104</v>
      </c>
      <c r="I230" s="3334"/>
      <c r="J230" s="3303"/>
      <c r="K230" s="3335"/>
      <c r="L230" s="2933"/>
      <c r="M230" s="2934"/>
      <c r="N230" s="3398"/>
      <c r="O230" s="3421">
        <v>1</v>
      </c>
      <c r="P230" s="3328" t="s">
        <v>52</v>
      </c>
      <c r="Q230" s="3331" t="s">
        <v>18</v>
      </c>
      <c r="R230" s="3331" t="s">
        <v>18</v>
      </c>
      <c r="S230" s="3331" t="s">
        <v>18</v>
      </c>
      <c r="T230" s="3331" t="s">
        <v>18</v>
      </c>
      <c r="U230" s="3331" t="s">
        <v>18</v>
      </c>
      <c r="V230" s="3331" t="s">
        <v>18</v>
      </c>
      <c r="W230" s="3331" t="s">
        <v>18</v>
      </c>
      <c r="X230" s="3331" t="s">
        <v>18</v>
      </c>
      <c r="Y230" s="3331"/>
      <c r="Z230" s="2089"/>
      <c r="AA230" s="2090"/>
      <c r="AB230" s="2090"/>
      <c r="AC230" s="2094"/>
      <c r="AD230" s="2094"/>
      <c r="AE230" s="2095"/>
      <c r="AF230" s="3324"/>
      <c r="AG230" s="3325"/>
      <c r="AH230" s="3325"/>
      <c r="AI230" s="3324"/>
      <c r="AJ230" s="3325"/>
      <c r="AK230" s="3325"/>
      <c r="AL230" s="3424"/>
      <c r="AM230" s="2738"/>
      <c r="AN230" s="2738"/>
      <c r="AO230" s="2738"/>
      <c r="AP230" s="2738"/>
      <c r="AQ230" s="2738"/>
      <c r="AR230" s="2738"/>
      <c r="AS230" s="2738"/>
      <c r="AT230" s="2738"/>
      <c r="AU230" s="2738"/>
      <c r="AV230" s="2738"/>
      <c r="AW230" s="2738"/>
      <c r="AX230" s="2738"/>
      <c r="AY230" s="2738"/>
      <c r="AZ230" s="2738"/>
      <c r="BA230" s="2738"/>
      <c r="BB230" s="2738"/>
      <c r="BC230" s="2738"/>
      <c r="BD230" s="2738"/>
      <c r="BE230" s="2738"/>
      <c r="BF230" s="2738"/>
    </row>
    <row customHeight="1" ht="11.25">
      <c r="A231" s="2080" t="s">
        <v>905</v>
      </c>
      <c r="B231" s="2080"/>
      <c r="C231" s="2080"/>
      <c r="D231" s="2074"/>
      <c r="E231" s="2084"/>
      <c r="F231" s="2744"/>
      <c r="G231" s="2745"/>
      <c r="H231" s="3333" t="s">
        <v>104</v>
      </c>
      <c r="I231" s="3334"/>
      <c r="J231" s="3303"/>
      <c r="K231" s="3335"/>
      <c r="L231" s="2933"/>
      <c r="M231" s="2934"/>
      <c r="N231" s="3398"/>
      <c r="O231" s="3421"/>
      <c r="P231" s="3329"/>
      <c r="Q231" s="3331"/>
      <c r="R231" s="3331"/>
      <c r="S231" s="3332"/>
      <c r="T231" s="3331"/>
      <c r="U231" s="3331"/>
      <c r="V231" s="3331"/>
      <c r="W231" s="3331"/>
      <c r="X231" s="3331"/>
      <c r="Y231" s="3331"/>
      <c r="Z231" s="2743"/>
      <c r="AA231" s="2709">
        <v>1</v>
      </c>
      <c r="AB231" s="2093" t="s">
        <v>949</v>
      </c>
      <c r="AC231" s="2083">
        <v>41418.1</v>
      </c>
      <c r="AD231" s="2093" t="str">
        <f>AB231</f>
        <v>      Прочие амортизационные отчисления</v>
      </c>
      <c r="AE231" s="2083"/>
      <c r="AF231" s="3324"/>
      <c r="AG231" s="3325"/>
      <c r="AH231" s="3325"/>
      <c r="AI231" s="3324"/>
      <c r="AJ231" s="3325"/>
      <c r="AK231" s="3325"/>
      <c r="AL231" s="3424"/>
      <c r="AM231" s="2738"/>
      <c r="AN231" s="2738"/>
      <c r="AO231" s="2738"/>
      <c r="AP231" s="2738"/>
      <c r="AQ231" s="2738"/>
      <c r="AR231" s="2738"/>
      <c r="AS231" s="2738"/>
      <c r="AT231" s="2738"/>
      <c r="AU231" s="2738"/>
      <c r="AV231" s="2738"/>
      <c r="AW231" s="2738"/>
      <c r="AX231" s="2738"/>
      <c r="AY231" s="2738"/>
      <c r="AZ231" s="2738"/>
      <c r="BA231" s="2738"/>
      <c r="BB231" s="2738"/>
      <c r="BC231" s="2738"/>
      <c r="BD231" s="2738"/>
      <c r="BE231" s="2738"/>
      <c r="BF231" s="2738"/>
    </row>
    <row customHeight="1" ht="11.25">
      <c r="A232" s="2080" t="s">
        <v>905</v>
      </c>
      <c r="B232" s="2080"/>
      <c r="C232" s="2080"/>
      <c r="D232" s="2074"/>
      <c r="E232" s="2084"/>
      <c r="F232" s="2745"/>
      <c r="G232" s="2745"/>
      <c r="H232" s="2745"/>
      <c r="I232" s="2745"/>
      <c r="J232" s="2745"/>
      <c r="K232" s="2745"/>
      <c r="L232" s="2745"/>
      <c r="M232" s="2745"/>
      <c r="N232" s="2745"/>
      <c r="O232" s="2745"/>
      <c r="P232" s="2745"/>
      <c r="Q232" s="2745"/>
      <c r="R232" s="2745"/>
      <c r="S232" s="2745"/>
      <c r="T232" s="2745"/>
      <c r="U232" s="2745"/>
      <c r="V232" s="2745"/>
      <c r="W232" s="2745"/>
      <c r="X232" s="2745"/>
      <c r="Y232" s="2745"/>
      <c r="Z232" s="18661" t="s">
        <v>844</v>
      </c>
      <c r="AA232" s="2729" t="s">
        <v>103</v>
      </c>
      <c r="AB232" s="2093" t="s">
        <v>941</v>
      </c>
      <c r="AC232" s="2083">
        <v>46901.9</v>
      </c>
      <c r="AD232" s="2093" t="str">
        <f>AB232</f>
        <v>  Прочие</v>
      </c>
      <c r="AE232" s="2083"/>
      <c r="AF232" s="2746"/>
      <c r="AG232" s="2674"/>
      <c r="AH232" s="2674"/>
      <c r="AI232" s="2746"/>
      <c r="AJ232" s="2674"/>
      <c r="AK232" s="3423"/>
      <c r="AL232" s="3424"/>
      <c r="AM232" s="2738"/>
      <c r="AN232" s="2738"/>
      <c r="AO232" s="2738"/>
      <c r="AP232" s="2738"/>
      <c r="AQ232" s="2738"/>
      <c r="AR232" s="2738"/>
      <c r="AS232" s="2738"/>
      <c r="AT232" s="2738"/>
      <c r="AU232" s="2738"/>
      <c r="AV232" s="2738"/>
      <c r="AW232" s="2738"/>
      <c r="AX232" s="2738"/>
      <c r="AY232" s="2738"/>
      <c r="AZ232" s="2738"/>
      <c r="BA232" s="2738"/>
      <c r="BB232" s="2738"/>
      <c r="BC232" s="2738"/>
      <c r="BD232" s="2738"/>
      <c r="BE232" s="2738"/>
      <c r="BF232" s="2738"/>
    </row>
    <row customHeight="1" ht="11.25">
      <c r="A233" s="2080" t="s">
        <v>905</v>
      </c>
      <c r="B233" s="2080"/>
      <c r="C233" s="2080"/>
      <c r="D233" s="2074"/>
      <c r="E233" s="2084"/>
      <c r="F233" s="2744"/>
      <c r="G233" s="2745"/>
      <c r="H233" s="3333" t="s">
        <v>104</v>
      </c>
      <c r="I233" s="3334"/>
      <c r="J233" s="3303"/>
      <c r="K233" s="3335"/>
      <c r="L233" s="2933"/>
      <c r="M233" s="2934"/>
      <c r="N233" s="3398"/>
      <c r="O233" s="3421"/>
      <c r="P233" s="3330"/>
      <c r="Q233" s="3331"/>
      <c r="R233" s="3331"/>
      <c r="S233" s="3332"/>
      <c r="T233" s="3331"/>
      <c r="U233" s="3331"/>
      <c r="V233" s="3331"/>
      <c r="W233" s="3331"/>
      <c r="X233" s="3331"/>
      <c r="Y233" s="3331"/>
      <c r="Z233" s="2089"/>
      <c r="AA233" s="2090"/>
      <c r="AB233" s="2155" t="s">
        <v>942</v>
      </c>
      <c r="AC233" s="2094"/>
      <c r="AD233" s="2094"/>
      <c r="AE233" s="2096"/>
      <c r="AF233" s="3324"/>
      <c r="AG233" s="3325"/>
      <c r="AH233" s="3325"/>
      <c r="AI233" s="3324"/>
      <c r="AJ233" s="3325"/>
      <c r="AK233" s="3325"/>
      <c r="AL233" s="3424"/>
      <c r="AM233" s="2738"/>
      <c r="AN233" s="2738"/>
      <c r="AO233" s="2738"/>
      <c r="AP233" s="2738"/>
      <c r="AQ233" s="2738"/>
      <c r="AR233" s="2738"/>
      <c r="AS233" s="2738"/>
      <c r="AT233" s="2738"/>
      <c r="AU233" s="2738"/>
      <c r="AV233" s="2738"/>
      <c r="AW233" s="2738"/>
      <c r="AX233" s="2738"/>
      <c r="AY233" s="2738"/>
      <c r="AZ233" s="2738"/>
      <c r="BA233" s="2738"/>
      <c r="BB233" s="2738"/>
      <c r="BC233" s="2738"/>
      <c r="BD233" s="2738"/>
      <c r="BE233" s="2738"/>
      <c r="BF233" s="2738"/>
    </row>
    <row customHeight="1" ht="11.25">
      <c r="A234" s="2080" t="s">
        <v>905</v>
      </c>
      <c r="B234" s="2080"/>
      <c r="C234" s="2080"/>
      <c r="D234" s="2074"/>
      <c r="E234" s="2084"/>
      <c r="F234" s="2744"/>
      <c r="G234" s="2745"/>
      <c r="H234" s="3333" t="s">
        <v>104</v>
      </c>
      <c r="I234" s="3334"/>
      <c r="J234" s="3303"/>
      <c r="K234" s="3335"/>
      <c r="L234" s="2933"/>
      <c r="M234" s="2934"/>
      <c r="N234" s="2089"/>
      <c r="O234" s="2090"/>
      <c r="P234" s="2082" t="s">
        <v>943</v>
      </c>
      <c r="Q234" s="2090"/>
      <c r="R234" s="2090"/>
      <c r="S234" s="2090"/>
      <c r="T234" s="2090"/>
      <c r="U234" s="2090"/>
      <c r="V234" s="2090"/>
      <c r="W234" s="2090"/>
      <c r="X234" s="2090"/>
      <c r="Y234" s="2090"/>
      <c r="Z234" s="2090"/>
      <c r="AA234" s="2090"/>
      <c r="AB234" s="2090"/>
      <c r="AC234" s="2090"/>
      <c r="AD234" s="2090"/>
      <c r="AE234" s="2097"/>
      <c r="AF234" s="3324"/>
      <c r="AG234" s="3325"/>
      <c r="AH234" s="3325"/>
      <c r="AI234" s="3324"/>
      <c r="AJ234" s="3325"/>
      <c r="AK234" s="3325"/>
      <c r="AL234" s="3424"/>
      <c r="AM234" s="2738"/>
      <c r="AN234" s="2738"/>
      <c r="AO234" s="2738"/>
      <c r="AP234" s="2738"/>
      <c r="AQ234" s="2738"/>
      <c r="AR234" s="2738"/>
      <c r="AS234" s="2738"/>
      <c r="AT234" s="2738"/>
      <c r="AU234" s="2738"/>
      <c r="AV234" s="2738"/>
      <c r="AW234" s="2738"/>
      <c r="AX234" s="2738"/>
      <c r="AY234" s="2738"/>
      <c r="AZ234" s="2738"/>
      <c r="BA234" s="2738"/>
      <c r="BB234" s="2738"/>
      <c r="BC234" s="2738"/>
      <c r="BD234" s="2738"/>
      <c r="BE234" s="2738"/>
      <c r="BF234" s="2738"/>
    </row>
    <row customHeight="1" ht="24.75">
      <c r="A235" s="2080" t="s">
        <v>905</v>
      </c>
      <c r="B235" s="2080" t="s">
        <v>944</v>
      </c>
      <c r="C235" s="2080"/>
      <c r="D235" s="2074"/>
      <c r="E235" s="2084"/>
      <c r="F235" s="2744"/>
      <c r="G235" s="15875" t="s">
        <v>844</v>
      </c>
      <c r="H235" s="3333" t="s">
        <v>89</v>
      </c>
      <c r="I235" s="3334" t="s">
        <v>945</v>
      </c>
      <c r="J235" s="3303" t="s">
        <v>946</v>
      </c>
      <c r="K235" s="3335" t="s">
        <v>982</v>
      </c>
      <c r="L235" s="2933" t="s">
        <v>52</v>
      </c>
      <c r="M235" s="2934"/>
      <c r="N235" s="3422"/>
      <c r="O235" s="2091" t="s">
        <v>367</v>
      </c>
      <c r="P235" s="2092"/>
      <c r="Q235" s="2092"/>
      <c r="R235" s="2092"/>
      <c r="S235" s="2092"/>
      <c r="T235" s="2092"/>
      <c r="U235" s="2092"/>
      <c r="V235" s="2092"/>
      <c r="W235" s="2092"/>
      <c r="X235" s="2092"/>
      <c r="Y235" s="2092"/>
      <c r="Z235" s="2092"/>
      <c r="AA235" s="2092"/>
      <c r="AB235" s="2092"/>
      <c r="AC235" s="2092"/>
      <c r="AD235" s="2092"/>
      <c r="AE235" s="2092"/>
      <c r="AF235" s="3324">
        <v>3</v>
      </c>
      <c r="AG235" s="3325" t="s">
        <v>939</v>
      </c>
      <c r="AH235" s="3325" t="s">
        <v>958</v>
      </c>
      <c r="AI235" s="3324"/>
      <c r="AJ235" s="3325"/>
      <c r="AK235" s="3325"/>
      <c r="AL235" s="3424"/>
      <c r="AM235" s="2738"/>
      <c r="AN235" s="2738"/>
      <c r="AO235" s="2738"/>
      <c r="AP235" s="2738"/>
      <c r="AQ235" s="2738"/>
      <c r="AR235" s="2738"/>
      <c r="AS235" s="2738"/>
      <c r="AT235" s="2738"/>
      <c r="AU235" s="2738"/>
      <c r="AV235" s="2738"/>
      <c r="AW235" s="2738"/>
      <c r="AX235" s="2738"/>
      <c r="AY235" s="2738"/>
      <c r="AZ235" s="2738"/>
      <c r="BA235" s="2738"/>
      <c r="BB235" s="2738"/>
      <c r="BC235" s="2738"/>
      <c r="BD235" s="2738"/>
      <c r="BE235" s="2738"/>
      <c r="BF235" s="2738"/>
    </row>
    <row customHeight="1" ht="11.25">
      <c r="A236" s="2080" t="s">
        <v>905</v>
      </c>
      <c r="B236" s="2080"/>
      <c r="C236" s="2080"/>
      <c r="D236" s="2074"/>
      <c r="E236" s="2084"/>
      <c r="F236" s="2744"/>
      <c r="G236" s="2745"/>
      <c r="H236" s="3333" t="s">
        <v>88</v>
      </c>
      <c r="I236" s="3334"/>
      <c r="J236" s="3303"/>
      <c r="K236" s="3335"/>
      <c r="L236" s="2933"/>
      <c r="M236" s="2934"/>
      <c r="N236" s="3398"/>
      <c r="O236" s="3421">
        <v>1</v>
      </c>
      <c r="P236" s="3328" t="s">
        <v>52</v>
      </c>
      <c r="Q236" s="3331" t="s">
        <v>18</v>
      </c>
      <c r="R236" s="3331" t="s">
        <v>18</v>
      </c>
      <c r="S236" s="3331" t="s">
        <v>18</v>
      </c>
      <c r="T236" s="3331" t="s">
        <v>18</v>
      </c>
      <c r="U236" s="3331" t="s">
        <v>18</v>
      </c>
      <c r="V236" s="3331" t="s">
        <v>18</v>
      </c>
      <c r="W236" s="3331" t="s">
        <v>18</v>
      </c>
      <c r="X236" s="3331" t="s">
        <v>18</v>
      </c>
      <c r="Y236" s="3331"/>
      <c r="Z236" s="2089"/>
      <c r="AA236" s="2090"/>
      <c r="AB236" s="2090"/>
      <c r="AC236" s="2094"/>
      <c r="AD236" s="2094"/>
      <c r="AE236" s="2095"/>
      <c r="AF236" s="3324"/>
      <c r="AG236" s="3325"/>
      <c r="AH236" s="3325"/>
      <c r="AI236" s="3324"/>
      <c r="AJ236" s="3325"/>
      <c r="AK236" s="3325"/>
      <c r="AL236" s="3424"/>
      <c r="AM236" s="2738"/>
      <c r="AN236" s="2738"/>
      <c r="AO236" s="2738"/>
      <c r="AP236" s="2738"/>
      <c r="AQ236" s="2738"/>
      <c r="AR236" s="2738"/>
      <c r="AS236" s="2738"/>
      <c r="AT236" s="2738"/>
      <c r="AU236" s="2738"/>
      <c r="AV236" s="2738"/>
      <c r="AW236" s="2738"/>
      <c r="AX236" s="2738"/>
      <c r="AY236" s="2738"/>
      <c r="AZ236" s="2738"/>
      <c r="BA236" s="2738"/>
      <c r="BB236" s="2738"/>
      <c r="BC236" s="2738"/>
      <c r="BD236" s="2738"/>
      <c r="BE236" s="2738"/>
      <c r="BF236" s="2738"/>
    </row>
    <row customHeight="1" ht="11.25">
      <c r="A237" s="2080" t="s">
        <v>905</v>
      </c>
      <c r="B237" s="2080"/>
      <c r="C237" s="2080"/>
      <c r="D237" s="2074"/>
      <c r="E237" s="2084"/>
      <c r="F237" s="2744"/>
      <c r="G237" s="2745"/>
      <c r="H237" s="3333" t="s">
        <v>88</v>
      </c>
      <c r="I237" s="3334"/>
      <c r="J237" s="3303"/>
      <c r="K237" s="3335"/>
      <c r="L237" s="2933"/>
      <c r="M237" s="2934"/>
      <c r="N237" s="3398"/>
      <c r="O237" s="3421"/>
      <c r="P237" s="3329"/>
      <c r="Q237" s="3331"/>
      <c r="R237" s="3331"/>
      <c r="S237" s="3332"/>
      <c r="T237" s="3331"/>
      <c r="U237" s="3331"/>
      <c r="V237" s="3331"/>
      <c r="W237" s="3331"/>
      <c r="X237" s="3331"/>
      <c r="Y237" s="3331"/>
      <c r="Z237" s="2743"/>
      <c r="AA237" s="2709">
        <v>1</v>
      </c>
      <c r="AB237" s="2093" t="s">
        <v>949</v>
      </c>
      <c r="AC237" s="2083">
        <v>79304.85</v>
      </c>
      <c r="AD237" s="2093" t="str">
        <f>AB237</f>
        <v>      Прочие амортизационные отчисления</v>
      </c>
      <c r="AE237" s="2083"/>
      <c r="AF237" s="3324"/>
      <c r="AG237" s="3325"/>
      <c r="AH237" s="3325"/>
      <c r="AI237" s="3324"/>
      <c r="AJ237" s="3325"/>
      <c r="AK237" s="3325"/>
      <c r="AL237" s="3424"/>
      <c r="AM237" s="2738"/>
      <c r="AN237" s="2738"/>
      <c r="AO237" s="2738"/>
      <c r="AP237" s="2738"/>
      <c r="AQ237" s="2738"/>
      <c r="AR237" s="2738"/>
      <c r="AS237" s="2738"/>
      <c r="AT237" s="2738"/>
      <c r="AU237" s="2738"/>
      <c r="AV237" s="2738"/>
      <c r="AW237" s="2738"/>
      <c r="AX237" s="2738"/>
      <c r="AY237" s="2738"/>
      <c r="AZ237" s="2738"/>
      <c r="BA237" s="2738"/>
      <c r="BB237" s="2738"/>
      <c r="BC237" s="2738"/>
      <c r="BD237" s="2738"/>
      <c r="BE237" s="2738"/>
      <c r="BF237" s="2738"/>
    </row>
    <row customHeight="1" ht="11.25">
      <c r="A238" s="2080" t="s">
        <v>905</v>
      </c>
      <c r="B238" s="2080"/>
      <c r="C238" s="2080"/>
      <c r="D238" s="2074"/>
      <c r="E238" s="2084"/>
      <c r="F238" s="2745"/>
      <c r="G238" s="2745"/>
      <c r="H238" s="2745"/>
      <c r="I238" s="2745"/>
      <c r="J238" s="2745"/>
      <c r="K238" s="2745"/>
      <c r="L238" s="2745"/>
      <c r="M238" s="2745"/>
      <c r="N238" s="2745"/>
      <c r="O238" s="2745"/>
      <c r="P238" s="2745"/>
      <c r="Q238" s="2745"/>
      <c r="R238" s="2745"/>
      <c r="S238" s="2745"/>
      <c r="T238" s="2745"/>
      <c r="U238" s="2745"/>
      <c r="V238" s="2745"/>
      <c r="W238" s="2745"/>
      <c r="X238" s="2745"/>
      <c r="Y238" s="2745"/>
      <c r="Z238" s="18661" t="s">
        <v>844</v>
      </c>
      <c r="AA238" s="2729" t="s">
        <v>103</v>
      </c>
      <c r="AB238" s="2093" t="s">
        <v>941</v>
      </c>
      <c r="AC238" s="2083">
        <v>89804.91</v>
      </c>
      <c r="AD238" s="2093" t="str">
        <f>AB238</f>
        <v>  Прочие</v>
      </c>
      <c r="AE238" s="2083"/>
      <c r="AF238" s="2746"/>
      <c r="AG238" s="2674"/>
      <c r="AH238" s="2674"/>
      <c r="AI238" s="2746"/>
      <c r="AJ238" s="2674"/>
      <c r="AK238" s="3423"/>
      <c r="AL238" s="3424"/>
      <c r="AM238" s="2738"/>
      <c r="AN238" s="2738"/>
      <c r="AO238" s="2738"/>
      <c r="AP238" s="2738"/>
      <c r="AQ238" s="2738"/>
      <c r="AR238" s="2738"/>
      <c r="AS238" s="2738"/>
      <c r="AT238" s="2738"/>
      <c r="AU238" s="2738"/>
      <c r="AV238" s="2738"/>
      <c r="AW238" s="2738"/>
      <c r="AX238" s="2738"/>
      <c r="AY238" s="2738"/>
      <c r="AZ238" s="2738"/>
      <c r="BA238" s="2738"/>
      <c r="BB238" s="2738"/>
      <c r="BC238" s="2738"/>
      <c r="BD238" s="2738"/>
      <c r="BE238" s="2738"/>
      <c r="BF238" s="2738"/>
    </row>
    <row customHeight="1" ht="11.25">
      <c r="A239" s="2080" t="s">
        <v>905</v>
      </c>
      <c r="B239" s="2080"/>
      <c r="C239" s="2080"/>
      <c r="D239" s="2074"/>
      <c r="E239" s="2084"/>
      <c r="F239" s="2744"/>
      <c r="G239" s="2745"/>
      <c r="H239" s="3333" t="s">
        <v>88</v>
      </c>
      <c r="I239" s="3334"/>
      <c r="J239" s="3303"/>
      <c r="K239" s="3335"/>
      <c r="L239" s="2933"/>
      <c r="M239" s="2934"/>
      <c r="N239" s="3398"/>
      <c r="O239" s="3421"/>
      <c r="P239" s="3330"/>
      <c r="Q239" s="3331"/>
      <c r="R239" s="3331"/>
      <c r="S239" s="3332"/>
      <c r="T239" s="3331"/>
      <c r="U239" s="3331"/>
      <c r="V239" s="3331"/>
      <c r="W239" s="3331"/>
      <c r="X239" s="3331"/>
      <c r="Y239" s="3331"/>
      <c r="Z239" s="2089"/>
      <c r="AA239" s="2090"/>
      <c r="AB239" s="2155" t="s">
        <v>942</v>
      </c>
      <c r="AC239" s="2094"/>
      <c r="AD239" s="2094"/>
      <c r="AE239" s="2096"/>
      <c r="AF239" s="3324"/>
      <c r="AG239" s="3325"/>
      <c r="AH239" s="3325"/>
      <c r="AI239" s="3324"/>
      <c r="AJ239" s="3325"/>
      <c r="AK239" s="3325"/>
      <c r="AL239" s="3424"/>
      <c r="AM239" s="2738"/>
      <c r="AN239" s="2738"/>
      <c r="AO239" s="2738"/>
      <c r="AP239" s="2738"/>
      <c r="AQ239" s="2738"/>
      <c r="AR239" s="2738"/>
      <c r="AS239" s="2738"/>
      <c r="AT239" s="2738"/>
      <c r="AU239" s="2738"/>
      <c r="AV239" s="2738"/>
      <c r="AW239" s="2738"/>
      <c r="AX239" s="2738"/>
      <c r="AY239" s="2738"/>
      <c r="AZ239" s="2738"/>
      <c r="BA239" s="2738"/>
      <c r="BB239" s="2738"/>
      <c r="BC239" s="2738"/>
      <c r="BD239" s="2738"/>
      <c r="BE239" s="2738"/>
      <c r="BF239" s="2738"/>
    </row>
    <row customHeight="1" ht="15.75">
      <c r="A240" s="2080" t="s">
        <v>905</v>
      </c>
      <c r="B240" s="2080"/>
      <c r="C240" s="2080"/>
      <c r="D240" s="2074"/>
      <c r="E240" s="2084"/>
      <c r="F240" s="2744"/>
      <c r="G240" s="2745"/>
      <c r="H240" s="3333" t="s">
        <v>88</v>
      </c>
      <c r="I240" s="3334"/>
      <c r="J240" s="3303"/>
      <c r="K240" s="3335"/>
      <c r="L240" s="2933"/>
      <c r="M240" s="2934"/>
      <c r="N240" s="2089"/>
      <c r="O240" s="2090"/>
      <c r="P240" s="2082" t="s">
        <v>943</v>
      </c>
      <c r="Q240" s="2090"/>
      <c r="R240" s="2090"/>
      <c r="S240" s="2090"/>
      <c r="T240" s="2090"/>
      <c r="U240" s="2090"/>
      <c r="V240" s="2090"/>
      <c r="W240" s="2090"/>
      <c r="X240" s="2090"/>
      <c r="Y240" s="2090"/>
      <c r="Z240" s="2090"/>
      <c r="AA240" s="2090"/>
      <c r="AB240" s="2090"/>
      <c r="AC240" s="2090"/>
      <c r="AD240" s="2090"/>
      <c r="AE240" s="2097"/>
      <c r="AF240" s="3324"/>
      <c r="AG240" s="3325"/>
      <c r="AH240" s="3325"/>
      <c r="AI240" s="3324"/>
      <c r="AJ240" s="3325"/>
      <c r="AK240" s="3325"/>
      <c r="AL240" s="3424"/>
      <c r="AM240" s="2738"/>
      <c r="AN240" s="2738"/>
      <c r="AO240" s="2738"/>
      <c r="AP240" s="2738"/>
      <c r="AQ240" s="2738"/>
      <c r="AR240" s="2738"/>
      <c r="AS240" s="2738"/>
      <c r="AT240" s="2738"/>
      <c r="AU240" s="2738"/>
      <c r="AV240" s="2738"/>
      <c r="AW240" s="2738"/>
      <c r="AX240" s="2738"/>
      <c r="AY240" s="2738"/>
      <c r="AZ240" s="2738"/>
      <c r="BA240" s="2738"/>
      <c r="BB240" s="2738"/>
      <c r="BC240" s="2738"/>
      <c r="BD240" s="2738"/>
      <c r="BE240" s="2738"/>
      <c r="BF240" s="2738"/>
    </row>
    <row customHeight="1" ht="21">
      <c r="A241" s="2080" t="s">
        <v>905</v>
      </c>
      <c r="B241" s="2080" t="s">
        <v>944</v>
      </c>
      <c r="C241" s="2080"/>
      <c r="D241" s="2074"/>
      <c r="E241" s="2084"/>
      <c r="F241" s="2744"/>
      <c r="G241" s="15875" t="s">
        <v>844</v>
      </c>
      <c r="H241" s="3333" t="s">
        <v>105</v>
      </c>
      <c r="I241" s="3334" t="s">
        <v>945</v>
      </c>
      <c r="J241" s="3303" t="s">
        <v>946</v>
      </c>
      <c r="K241" s="3335" t="s">
        <v>983</v>
      </c>
      <c r="L241" s="2933" t="s">
        <v>52</v>
      </c>
      <c r="M241" s="2934"/>
      <c r="N241" s="3422"/>
      <c r="O241" s="2091" t="s">
        <v>367</v>
      </c>
      <c r="P241" s="2092"/>
      <c r="Q241" s="2092"/>
      <c r="R241" s="2092"/>
      <c r="S241" s="2092"/>
      <c r="T241" s="2092"/>
      <c r="U241" s="2092"/>
      <c r="V241" s="2092"/>
      <c r="W241" s="2092"/>
      <c r="X241" s="2092"/>
      <c r="Y241" s="2092"/>
      <c r="Z241" s="2092"/>
      <c r="AA241" s="2092"/>
      <c r="AB241" s="2092"/>
      <c r="AC241" s="2092"/>
      <c r="AD241" s="2092"/>
      <c r="AE241" s="2092"/>
      <c r="AF241" s="3324">
        <v>2</v>
      </c>
      <c r="AG241" s="3325" t="s">
        <v>939</v>
      </c>
      <c r="AH241" s="3325" t="s">
        <v>953</v>
      </c>
      <c r="AI241" s="3324"/>
      <c r="AJ241" s="3325"/>
      <c r="AK241" s="3325"/>
      <c r="AL241" s="3424"/>
      <c r="AM241" s="2738"/>
      <c r="AN241" s="2738"/>
      <c r="AO241" s="2738"/>
      <c r="AP241" s="2738"/>
      <c r="AQ241" s="2738"/>
      <c r="AR241" s="2738"/>
      <c r="AS241" s="2738"/>
      <c r="AT241" s="2738"/>
      <c r="AU241" s="2738"/>
      <c r="AV241" s="2738"/>
      <c r="AW241" s="2738"/>
      <c r="AX241" s="2738"/>
      <c r="AY241" s="2738"/>
      <c r="AZ241" s="2738"/>
      <c r="BA241" s="2738"/>
      <c r="BB241" s="2738"/>
      <c r="BC241" s="2738"/>
      <c r="BD241" s="2738"/>
      <c r="BE241" s="2738"/>
      <c r="BF241" s="2738"/>
    </row>
    <row customHeight="1" ht="23.25">
      <c r="A242" s="2080" t="s">
        <v>905</v>
      </c>
      <c r="B242" s="2080"/>
      <c r="C242" s="2080"/>
      <c r="D242" s="2074"/>
      <c r="E242" s="2084"/>
      <c r="F242" s="2744"/>
      <c r="G242" s="2745"/>
      <c r="H242" s="3333" t="s">
        <v>89</v>
      </c>
      <c r="I242" s="3334"/>
      <c r="J242" s="3303"/>
      <c r="K242" s="3335"/>
      <c r="L242" s="2933"/>
      <c r="M242" s="2934"/>
      <c r="N242" s="3398"/>
      <c r="O242" s="3421">
        <v>1</v>
      </c>
      <c r="P242" s="3328" t="s">
        <v>52</v>
      </c>
      <c r="Q242" s="3331" t="s">
        <v>18</v>
      </c>
      <c r="R242" s="3331" t="s">
        <v>18</v>
      </c>
      <c r="S242" s="3331" t="s">
        <v>18</v>
      </c>
      <c r="T242" s="3331" t="s">
        <v>18</v>
      </c>
      <c r="U242" s="3331" t="s">
        <v>18</v>
      </c>
      <c r="V242" s="3331" t="s">
        <v>18</v>
      </c>
      <c r="W242" s="3331" t="s">
        <v>18</v>
      </c>
      <c r="X242" s="3331" t="s">
        <v>18</v>
      </c>
      <c r="Y242" s="3331"/>
      <c r="Z242" s="2089"/>
      <c r="AA242" s="2090"/>
      <c r="AB242" s="2090"/>
      <c r="AC242" s="2094"/>
      <c r="AD242" s="2094"/>
      <c r="AE242" s="2095"/>
      <c r="AF242" s="3324"/>
      <c r="AG242" s="3325"/>
      <c r="AH242" s="3325"/>
      <c r="AI242" s="3324"/>
      <c r="AJ242" s="3325"/>
      <c r="AK242" s="3325"/>
      <c r="AL242" s="3424"/>
      <c r="AM242" s="2738"/>
      <c r="AN242" s="2738"/>
      <c r="AO242" s="2738"/>
      <c r="AP242" s="2738"/>
      <c r="AQ242" s="2738"/>
      <c r="AR242" s="2738"/>
      <c r="AS242" s="2738"/>
      <c r="AT242" s="2738"/>
      <c r="AU242" s="2738"/>
      <c r="AV242" s="2738"/>
      <c r="AW242" s="2738"/>
      <c r="AX242" s="2738"/>
      <c r="AY242" s="2738"/>
      <c r="AZ242" s="2738"/>
      <c r="BA242" s="2738"/>
      <c r="BB242" s="2738"/>
      <c r="BC242" s="2738"/>
      <c r="BD242" s="2738"/>
      <c r="BE242" s="2738"/>
      <c r="BF242" s="2738"/>
    </row>
    <row customHeight="1" ht="11.25">
      <c r="A243" s="2080" t="s">
        <v>905</v>
      </c>
      <c r="B243" s="2080"/>
      <c r="C243" s="2080"/>
      <c r="D243" s="2074"/>
      <c r="E243" s="2084"/>
      <c r="F243" s="2744"/>
      <c r="G243" s="2745"/>
      <c r="H243" s="3333" t="s">
        <v>89</v>
      </c>
      <c r="I243" s="3334"/>
      <c r="J243" s="3303"/>
      <c r="K243" s="3335"/>
      <c r="L243" s="2933"/>
      <c r="M243" s="2934"/>
      <c r="N243" s="3398"/>
      <c r="O243" s="3421"/>
      <c r="P243" s="3329"/>
      <c r="Q243" s="3331"/>
      <c r="R243" s="3331"/>
      <c r="S243" s="3332"/>
      <c r="T243" s="3331"/>
      <c r="U243" s="3331"/>
      <c r="V243" s="3331"/>
      <c r="W243" s="3331"/>
      <c r="X243" s="3331"/>
      <c r="Y243" s="3331"/>
      <c r="Z243" s="2743"/>
      <c r="AA243" s="2709">
        <v>1</v>
      </c>
      <c r="AB243" s="2093" t="s">
        <v>949</v>
      </c>
      <c r="AC243" s="2083">
        <v>229362.22</v>
      </c>
      <c r="AD243" s="2093" t="str">
        <f>AB243</f>
        <v>      Прочие амортизационные отчисления</v>
      </c>
      <c r="AE243" s="2083"/>
      <c r="AF243" s="3324"/>
      <c r="AG243" s="3325"/>
      <c r="AH243" s="3325"/>
      <c r="AI243" s="3324"/>
      <c r="AJ243" s="3325"/>
      <c r="AK243" s="3325"/>
      <c r="AL243" s="3424"/>
      <c r="AM243" s="2738"/>
      <c r="AN243" s="2738"/>
      <c r="AO243" s="2738"/>
      <c r="AP243" s="2738"/>
      <c r="AQ243" s="2738"/>
      <c r="AR243" s="2738"/>
      <c r="AS243" s="2738"/>
      <c r="AT243" s="2738"/>
      <c r="AU243" s="2738"/>
      <c r="AV243" s="2738"/>
      <c r="AW243" s="2738"/>
      <c r="AX243" s="2738"/>
      <c r="AY243" s="2738"/>
      <c r="AZ243" s="2738"/>
      <c r="BA243" s="2738"/>
      <c r="BB243" s="2738"/>
      <c r="BC243" s="2738"/>
      <c r="BD243" s="2738"/>
      <c r="BE243" s="2738"/>
      <c r="BF243" s="2738"/>
    </row>
    <row customHeight="1" ht="11.25">
      <c r="A244" s="2080" t="s">
        <v>905</v>
      </c>
      <c r="B244" s="2080"/>
      <c r="C244" s="2080"/>
      <c r="D244" s="2074"/>
      <c r="E244" s="2084"/>
      <c r="F244" s="2745"/>
      <c r="G244" s="2745"/>
      <c r="H244" s="2745"/>
      <c r="I244" s="2745"/>
      <c r="J244" s="2745"/>
      <c r="K244" s="2745"/>
      <c r="L244" s="2745"/>
      <c r="M244" s="2745"/>
      <c r="N244" s="2745"/>
      <c r="O244" s="2745"/>
      <c r="P244" s="2745"/>
      <c r="Q244" s="2745"/>
      <c r="R244" s="2745"/>
      <c r="S244" s="2745"/>
      <c r="T244" s="2745"/>
      <c r="U244" s="2745"/>
      <c r="V244" s="2745"/>
      <c r="W244" s="2745"/>
      <c r="X244" s="2745"/>
      <c r="Y244" s="2745"/>
      <c r="Z244" s="18661" t="s">
        <v>844</v>
      </c>
      <c r="AA244" s="2729" t="s">
        <v>103</v>
      </c>
      <c r="AB244" s="2093" t="s">
        <v>941</v>
      </c>
      <c r="AC244" s="2083">
        <v>1536890.93</v>
      </c>
      <c r="AD244" s="2093" t="str">
        <f>AB244</f>
        <v>  Прочие</v>
      </c>
      <c r="AE244" s="2083"/>
      <c r="AF244" s="2746"/>
      <c r="AG244" s="2674"/>
      <c r="AH244" s="2674"/>
      <c r="AI244" s="2746"/>
      <c r="AJ244" s="2674"/>
      <c r="AK244" s="3423"/>
      <c r="AL244" s="3424"/>
      <c r="AM244" s="2738"/>
      <c r="AN244" s="2738"/>
      <c r="AO244" s="2738"/>
      <c r="AP244" s="2738"/>
      <c r="AQ244" s="2738"/>
      <c r="AR244" s="2738"/>
      <c r="AS244" s="2738"/>
      <c r="AT244" s="2738"/>
      <c r="AU244" s="2738"/>
      <c r="AV244" s="2738"/>
      <c r="AW244" s="2738"/>
      <c r="AX244" s="2738"/>
      <c r="AY244" s="2738"/>
      <c r="AZ244" s="2738"/>
      <c r="BA244" s="2738"/>
      <c r="BB244" s="2738"/>
      <c r="BC244" s="2738"/>
      <c r="BD244" s="2738"/>
      <c r="BE244" s="2738"/>
      <c r="BF244" s="2738"/>
    </row>
    <row customHeight="1" ht="24.75">
      <c r="A245" s="2080" t="s">
        <v>905</v>
      </c>
      <c r="B245" s="2080"/>
      <c r="C245" s="2080"/>
      <c r="D245" s="2074"/>
      <c r="E245" s="2084"/>
      <c r="F245" s="2744"/>
      <c r="G245" s="2745"/>
      <c r="H245" s="3333" t="s">
        <v>89</v>
      </c>
      <c r="I245" s="3334"/>
      <c r="J245" s="3303"/>
      <c r="K245" s="3335"/>
      <c r="L245" s="2933"/>
      <c r="M245" s="2934"/>
      <c r="N245" s="3398"/>
      <c r="O245" s="3421"/>
      <c r="P245" s="3330"/>
      <c r="Q245" s="3331"/>
      <c r="R245" s="3331"/>
      <c r="S245" s="3332"/>
      <c r="T245" s="3331"/>
      <c r="U245" s="3331"/>
      <c r="V245" s="3331"/>
      <c r="W245" s="3331"/>
      <c r="X245" s="3331"/>
      <c r="Y245" s="3331"/>
      <c r="Z245" s="2089"/>
      <c r="AA245" s="2090"/>
      <c r="AB245" s="2155" t="s">
        <v>942</v>
      </c>
      <c r="AC245" s="2094"/>
      <c r="AD245" s="2094"/>
      <c r="AE245" s="2096"/>
      <c r="AF245" s="3324"/>
      <c r="AG245" s="3325"/>
      <c r="AH245" s="3325"/>
      <c r="AI245" s="3324"/>
      <c r="AJ245" s="3325"/>
      <c r="AK245" s="3325"/>
      <c r="AL245" s="3424"/>
      <c r="AM245" s="2738"/>
      <c r="AN245" s="2738"/>
      <c r="AO245" s="2738"/>
      <c r="AP245" s="2738"/>
      <c r="AQ245" s="2738"/>
      <c r="AR245" s="2738"/>
      <c r="AS245" s="2738"/>
      <c r="AT245" s="2738"/>
      <c r="AU245" s="2738"/>
      <c r="AV245" s="2738"/>
      <c r="AW245" s="2738"/>
      <c r="AX245" s="2738"/>
      <c r="AY245" s="2738"/>
      <c r="AZ245" s="2738"/>
      <c r="BA245" s="2738"/>
      <c r="BB245" s="2738"/>
      <c r="BC245" s="2738"/>
      <c r="BD245" s="2738"/>
      <c r="BE245" s="2738"/>
      <c r="BF245" s="2738"/>
    </row>
    <row customHeight="1" ht="25.5">
      <c r="A246" s="2080" t="s">
        <v>905</v>
      </c>
      <c r="B246" s="2080"/>
      <c r="C246" s="2080"/>
      <c r="D246" s="2074"/>
      <c r="E246" s="2084"/>
      <c r="F246" s="2744"/>
      <c r="G246" s="2745"/>
      <c r="H246" s="3333" t="s">
        <v>89</v>
      </c>
      <c r="I246" s="3334"/>
      <c r="J246" s="3303"/>
      <c r="K246" s="3335"/>
      <c r="L246" s="2933"/>
      <c r="M246" s="2934"/>
      <c r="N246" s="2089"/>
      <c r="O246" s="2090"/>
      <c r="P246" s="2082" t="s">
        <v>943</v>
      </c>
      <c r="Q246" s="2090"/>
      <c r="R246" s="2090"/>
      <c r="S246" s="2090"/>
      <c r="T246" s="2090"/>
      <c r="U246" s="2090"/>
      <c r="V246" s="2090"/>
      <c r="W246" s="2090"/>
      <c r="X246" s="2090"/>
      <c r="Y246" s="2090"/>
      <c r="Z246" s="2090"/>
      <c r="AA246" s="2090"/>
      <c r="AB246" s="2090"/>
      <c r="AC246" s="2090"/>
      <c r="AD246" s="2090"/>
      <c r="AE246" s="2097"/>
      <c r="AF246" s="3324"/>
      <c r="AG246" s="3325"/>
      <c r="AH246" s="3325"/>
      <c r="AI246" s="3324"/>
      <c r="AJ246" s="3325"/>
      <c r="AK246" s="3325"/>
      <c r="AL246" s="3424"/>
      <c r="AM246" s="2738"/>
      <c r="AN246" s="2738"/>
      <c r="AO246" s="2738"/>
      <c r="AP246" s="2738"/>
      <c r="AQ246" s="2738"/>
      <c r="AR246" s="2738"/>
      <c r="AS246" s="2738"/>
      <c r="AT246" s="2738"/>
      <c r="AU246" s="2738"/>
      <c r="AV246" s="2738"/>
      <c r="AW246" s="2738"/>
      <c r="AX246" s="2738"/>
      <c r="AY246" s="2738"/>
      <c r="AZ246" s="2738"/>
      <c r="BA246" s="2738"/>
      <c r="BB246" s="2738"/>
      <c r="BC246" s="2738"/>
      <c r="BD246" s="2738"/>
      <c r="BE246" s="2738"/>
      <c r="BF246" s="2738"/>
    </row>
    <row customHeight="1" ht="30.75">
      <c r="A247" s="2080" t="s">
        <v>905</v>
      </c>
      <c r="B247" s="2080" t="s">
        <v>944</v>
      </c>
      <c r="C247" s="2080"/>
      <c r="D247" s="2074"/>
      <c r="E247" s="2084"/>
      <c r="F247" s="2744"/>
      <c r="G247" s="15875" t="s">
        <v>844</v>
      </c>
      <c r="H247" s="3333" t="s">
        <v>141</v>
      </c>
      <c r="I247" s="3334" t="s">
        <v>945</v>
      </c>
      <c r="J247" s="3303" t="s">
        <v>946</v>
      </c>
      <c r="K247" s="3335" t="s">
        <v>952</v>
      </c>
      <c r="L247" s="2933" t="s">
        <v>52</v>
      </c>
      <c r="M247" s="2934"/>
      <c r="N247" s="3422"/>
      <c r="O247" s="2091" t="s">
        <v>367</v>
      </c>
      <c r="P247" s="2092"/>
      <c r="Q247" s="2092"/>
      <c r="R247" s="2092"/>
      <c r="S247" s="2092"/>
      <c r="T247" s="2092"/>
      <c r="U247" s="2092"/>
      <c r="V247" s="2092"/>
      <c r="W247" s="2092"/>
      <c r="X247" s="2092"/>
      <c r="Y247" s="2092"/>
      <c r="Z247" s="2092"/>
      <c r="AA247" s="2092"/>
      <c r="AB247" s="2092"/>
      <c r="AC247" s="2092"/>
      <c r="AD247" s="2092"/>
      <c r="AE247" s="2092"/>
      <c r="AF247" s="3324">
        <v>5</v>
      </c>
      <c r="AG247" s="3325" t="s">
        <v>939</v>
      </c>
      <c r="AH247" s="3325" t="s">
        <v>953</v>
      </c>
      <c r="AI247" s="3324"/>
      <c r="AJ247" s="3325"/>
      <c r="AK247" s="3325"/>
      <c r="AL247" s="3424"/>
      <c r="AM247" s="2738"/>
      <c r="AN247" s="2738"/>
      <c r="AO247" s="2738"/>
      <c r="AP247" s="2738"/>
      <c r="AQ247" s="2738"/>
      <c r="AR247" s="2738"/>
      <c r="AS247" s="2738"/>
      <c r="AT247" s="2738"/>
      <c r="AU247" s="2738"/>
      <c r="AV247" s="2738"/>
      <c r="AW247" s="2738"/>
      <c r="AX247" s="2738"/>
      <c r="AY247" s="2738"/>
      <c r="AZ247" s="2738"/>
      <c r="BA247" s="2738"/>
      <c r="BB247" s="2738"/>
      <c r="BC247" s="2738"/>
      <c r="BD247" s="2738"/>
      <c r="BE247" s="2738"/>
      <c r="BF247" s="2738"/>
    </row>
    <row customHeight="1" ht="35.25">
      <c r="A248" s="2080" t="s">
        <v>905</v>
      </c>
      <c r="B248" s="2080"/>
      <c r="C248" s="2080"/>
      <c r="D248" s="2074"/>
      <c r="E248" s="2084"/>
      <c r="F248" s="2744"/>
      <c r="G248" s="2745"/>
      <c r="H248" s="3333" t="s">
        <v>105</v>
      </c>
      <c r="I248" s="3334"/>
      <c r="J248" s="3303"/>
      <c r="K248" s="3335"/>
      <c r="L248" s="2933"/>
      <c r="M248" s="2934"/>
      <c r="N248" s="3398"/>
      <c r="O248" s="3421">
        <v>1</v>
      </c>
      <c r="P248" s="3328" t="s">
        <v>52</v>
      </c>
      <c r="Q248" s="3331" t="s">
        <v>18</v>
      </c>
      <c r="R248" s="3331" t="s">
        <v>18</v>
      </c>
      <c r="S248" s="3331" t="s">
        <v>18</v>
      </c>
      <c r="T248" s="3331" t="s">
        <v>18</v>
      </c>
      <c r="U248" s="3331" t="s">
        <v>18</v>
      </c>
      <c r="V248" s="3331" t="s">
        <v>18</v>
      </c>
      <c r="W248" s="3331" t="s">
        <v>18</v>
      </c>
      <c r="X248" s="3331" t="s">
        <v>18</v>
      </c>
      <c r="Y248" s="3331"/>
      <c r="Z248" s="2089"/>
      <c r="AA248" s="2090"/>
      <c r="AB248" s="2090"/>
      <c r="AC248" s="2094"/>
      <c r="AD248" s="2094"/>
      <c r="AE248" s="2095"/>
      <c r="AF248" s="3324"/>
      <c r="AG248" s="3325"/>
      <c r="AH248" s="3325"/>
      <c r="AI248" s="3324"/>
      <c r="AJ248" s="3325"/>
      <c r="AK248" s="3325"/>
      <c r="AL248" s="3424"/>
      <c r="AM248" s="2738"/>
      <c r="AN248" s="2738"/>
      <c r="AO248" s="2738"/>
      <c r="AP248" s="2738"/>
      <c r="AQ248" s="2738"/>
      <c r="AR248" s="2738"/>
      <c r="AS248" s="2738"/>
      <c r="AT248" s="2738"/>
      <c r="AU248" s="2738"/>
      <c r="AV248" s="2738"/>
      <c r="AW248" s="2738"/>
      <c r="AX248" s="2738"/>
      <c r="AY248" s="2738"/>
      <c r="AZ248" s="2738"/>
      <c r="BA248" s="2738"/>
      <c r="BB248" s="2738"/>
      <c r="BC248" s="2738"/>
      <c r="BD248" s="2738"/>
      <c r="BE248" s="2738"/>
      <c r="BF248" s="2738"/>
    </row>
    <row customHeight="1" ht="11.25">
      <c r="A249" s="2080" t="s">
        <v>905</v>
      </c>
      <c r="B249" s="2080"/>
      <c r="C249" s="2080"/>
      <c r="D249" s="2074"/>
      <c r="E249" s="2084"/>
      <c r="F249" s="2744"/>
      <c r="G249" s="2745"/>
      <c r="H249" s="3333" t="s">
        <v>105</v>
      </c>
      <c r="I249" s="3334"/>
      <c r="J249" s="3303"/>
      <c r="K249" s="3335"/>
      <c r="L249" s="2933"/>
      <c r="M249" s="2934"/>
      <c r="N249" s="3398"/>
      <c r="O249" s="3421"/>
      <c r="P249" s="3329"/>
      <c r="Q249" s="3331"/>
      <c r="R249" s="3331"/>
      <c r="S249" s="3332"/>
      <c r="T249" s="3331"/>
      <c r="U249" s="3331"/>
      <c r="V249" s="3331"/>
      <c r="W249" s="3331"/>
      <c r="X249" s="3331"/>
      <c r="Y249" s="3331"/>
      <c r="Z249" s="2743"/>
      <c r="AA249" s="2709">
        <v>1</v>
      </c>
      <c r="AB249" s="2093" t="s">
        <v>949</v>
      </c>
      <c r="AC249" s="2083">
        <v>594376.65</v>
      </c>
      <c r="AD249" s="2093" t="str">
        <f>AB249</f>
        <v>      Прочие амортизационные отчисления</v>
      </c>
      <c r="AE249" s="2083"/>
      <c r="AF249" s="3324"/>
      <c r="AG249" s="3325"/>
      <c r="AH249" s="3325"/>
      <c r="AI249" s="3324"/>
      <c r="AJ249" s="3325"/>
      <c r="AK249" s="3325"/>
      <c r="AL249" s="3424"/>
      <c r="AM249" s="2738"/>
      <c r="AN249" s="2738"/>
      <c r="AO249" s="2738"/>
      <c r="AP249" s="2738"/>
      <c r="AQ249" s="2738"/>
      <c r="AR249" s="2738"/>
      <c r="AS249" s="2738"/>
      <c r="AT249" s="2738"/>
      <c r="AU249" s="2738"/>
      <c r="AV249" s="2738"/>
      <c r="AW249" s="2738"/>
      <c r="AX249" s="2738"/>
      <c r="AY249" s="2738"/>
      <c r="AZ249" s="2738"/>
      <c r="BA249" s="2738"/>
      <c r="BB249" s="2738"/>
      <c r="BC249" s="2738"/>
      <c r="BD249" s="2738"/>
      <c r="BE249" s="2738"/>
      <c r="BF249" s="2738"/>
    </row>
    <row customHeight="1" ht="11.25">
      <c r="A250" s="2080" t="s">
        <v>905</v>
      </c>
      <c r="B250" s="2080"/>
      <c r="C250" s="2080"/>
      <c r="D250" s="2074"/>
      <c r="E250" s="2084"/>
      <c r="F250" s="2745"/>
      <c r="G250" s="2745"/>
      <c r="H250" s="2745"/>
      <c r="I250" s="2745"/>
      <c r="J250" s="2745"/>
      <c r="K250" s="2745"/>
      <c r="L250" s="2745"/>
      <c r="M250" s="2745"/>
      <c r="N250" s="2745"/>
      <c r="O250" s="2745"/>
      <c r="P250" s="2745"/>
      <c r="Q250" s="2745"/>
      <c r="R250" s="2745"/>
      <c r="S250" s="2745"/>
      <c r="T250" s="2745"/>
      <c r="U250" s="2745"/>
      <c r="V250" s="2745"/>
      <c r="W250" s="2745"/>
      <c r="X250" s="2745"/>
      <c r="Y250" s="2745"/>
      <c r="Z250" s="18661" t="s">
        <v>844</v>
      </c>
      <c r="AA250" s="2729" t="s">
        <v>103</v>
      </c>
      <c r="AB250" s="2093" t="s">
        <v>941</v>
      </c>
      <c r="AC250" s="2083">
        <v>298355.43</v>
      </c>
      <c r="AD250" s="2093" t="str">
        <f>AB250</f>
        <v>  Прочие</v>
      </c>
      <c r="AE250" s="2083"/>
      <c r="AF250" s="2746"/>
      <c r="AG250" s="2674"/>
      <c r="AH250" s="2674"/>
      <c r="AI250" s="2746"/>
      <c r="AJ250" s="2674"/>
      <c r="AK250" s="3423"/>
      <c r="AL250" s="3424"/>
      <c r="AM250" s="2738"/>
      <c r="AN250" s="2738"/>
      <c r="AO250" s="2738"/>
      <c r="AP250" s="2738"/>
      <c r="AQ250" s="2738"/>
      <c r="AR250" s="2738"/>
      <c r="AS250" s="2738"/>
      <c r="AT250" s="2738"/>
      <c r="AU250" s="2738"/>
      <c r="AV250" s="2738"/>
      <c r="AW250" s="2738"/>
      <c r="AX250" s="2738"/>
      <c r="AY250" s="2738"/>
      <c r="AZ250" s="2738"/>
      <c r="BA250" s="2738"/>
      <c r="BB250" s="2738"/>
      <c r="BC250" s="2738"/>
      <c r="BD250" s="2738"/>
      <c r="BE250" s="2738"/>
      <c r="BF250" s="2738"/>
    </row>
    <row customHeight="1" ht="29.25">
      <c r="A251" s="2080" t="s">
        <v>905</v>
      </c>
      <c r="B251" s="2080"/>
      <c r="C251" s="2080"/>
      <c r="D251" s="2074"/>
      <c r="E251" s="2084"/>
      <c r="F251" s="2744"/>
      <c r="G251" s="2745"/>
      <c r="H251" s="3333" t="s">
        <v>105</v>
      </c>
      <c r="I251" s="3334"/>
      <c r="J251" s="3303"/>
      <c r="K251" s="3335"/>
      <c r="L251" s="2933"/>
      <c r="M251" s="2934"/>
      <c r="N251" s="3398"/>
      <c r="O251" s="3421"/>
      <c r="P251" s="3330"/>
      <c r="Q251" s="3331"/>
      <c r="R251" s="3331"/>
      <c r="S251" s="3332"/>
      <c r="T251" s="3331"/>
      <c r="U251" s="3331"/>
      <c r="V251" s="3331"/>
      <c r="W251" s="3331"/>
      <c r="X251" s="3331"/>
      <c r="Y251" s="3331"/>
      <c r="Z251" s="2089"/>
      <c r="AA251" s="2090"/>
      <c r="AB251" s="2155" t="s">
        <v>942</v>
      </c>
      <c r="AC251" s="2094"/>
      <c r="AD251" s="2094"/>
      <c r="AE251" s="2096"/>
      <c r="AF251" s="3324"/>
      <c r="AG251" s="3325"/>
      <c r="AH251" s="3325"/>
      <c r="AI251" s="3324"/>
      <c r="AJ251" s="3325"/>
      <c r="AK251" s="3325"/>
      <c r="AL251" s="3424"/>
      <c r="AM251" s="2738"/>
      <c r="AN251" s="2738"/>
      <c r="AO251" s="2738"/>
      <c r="AP251" s="2738"/>
      <c r="AQ251" s="2738"/>
      <c r="AR251" s="2738"/>
      <c r="AS251" s="2738"/>
      <c r="AT251" s="2738"/>
      <c r="AU251" s="2738"/>
      <c r="AV251" s="2738"/>
      <c r="AW251" s="2738"/>
      <c r="AX251" s="2738"/>
      <c r="AY251" s="2738"/>
      <c r="AZ251" s="2738"/>
      <c r="BA251" s="2738"/>
      <c r="BB251" s="2738"/>
      <c r="BC251" s="2738"/>
      <c r="BD251" s="2738"/>
      <c r="BE251" s="2738"/>
      <c r="BF251" s="2738"/>
    </row>
    <row customHeight="1" ht="36">
      <c r="A252" s="2080" t="s">
        <v>905</v>
      </c>
      <c r="B252" s="2080"/>
      <c r="C252" s="2080"/>
      <c r="D252" s="2074"/>
      <c r="E252" s="2084"/>
      <c r="F252" s="2744"/>
      <c r="G252" s="2745"/>
      <c r="H252" s="3333" t="s">
        <v>105</v>
      </c>
      <c r="I252" s="3334"/>
      <c r="J252" s="3303"/>
      <c r="K252" s="3335"/>
      <c r="L252" s="2933"/>
      <c r="M252" s="2934"/>
      <c r="N252" s="2089"/>
      <c r="O252" s="2090"/>
      <c r="P252" s="2082" t="s">
        <v>943</v>
      </c>
      <c r="Q252" s="2090"/>
      <c r="R252" s="2090"/>
      <c r="S252" s="2090"/>
      <c r="T252" s="2090"/>
      <c r="U252" s="2090"/>
      <c r="V252" s="2090"/>
      <c r="W252" s="2090"/>
      <c r="X252" s="2090"/>
      <c r="Y252" s="2090"/>
      <c r="Z252" s="2090"/>
      <c r="AA252" s="2090"/>
      <c r="AB252" s="2090"/>
      <c r="AC252" s="2090"/>
      <c r="AD252" s="2090"/>
      <c r="AE252" s="2097"/>
      <c r="AF252" s="3324"/>
      <c r="AG252" s="3325"/>
      <c r="AH252" s="3325"/>
      <c r="AI252" s="3324"/>
      <c r="AJ252" s="3325"/>
      <c r="AK252" s="3325"/>
      <c r="AL252" s="3424"/>
      <c r="AM252" s="2738"/>
      <c r="AN252" s="2738"/>
      <c r="AO252" s="2738"/>
      <c r="AP252" s="2738"/>
      <c r="AQ252" s="2738"/>
      <c r="AR252" s="2738"/>
      <c r="AS252" s="2738"/>
      <c r="AT252" s="2738"/>
      <c r="AU252" s="2738"/>
      <c r="AV252" s="2738"/>
      <c r="AW252" s="2738"/>
      <c r="AX252" s="2738"/>
      <c r="AY252" s="2738"/>
      <c r="AZ252" s="2738"/>
      <c r="BA252" s="2738"/>
      <c r="BB252" s="2738"/>
      <c r="BC252" s="2738"/>
      <c r="BD252" s="2738"/>
      <c r="BE252" s="2738"/>
      <c r="BF252" s="2738"/>
    </row>
    <row customHeight="1" ht="49.5">
      <c r="A253" s="2080" t="s">
        <v>905</v>
      </c>
      <c r="B253" s="2080" t="s">
        <v>944</v>
      </c>
      <c r="C253" s="2080"/>
      <c r="D253" s="2074"/>
      <c r="E253" s="2084"/>
      <c r="F253" s="2744"/>
      <c r="G253" s="15875" t="s">
        <v>844</v>
      </c>
      <c r="H253" s="3333" t="s">
        <v>142</v>
      </c>
      <c r="I253" s="3334" t="s">
        <v>945</v>
      </c>
      <c r="J253" s="3303" t="s">
        <v>946</v>
      </c>
      <c r="K253" s="3335" t="s">
        <v>954</v>
      </c>
      <c r="L253" s="2933" t="s">
        <v>52</v>
      </c>
      <c r="M253" s="2934"/>
      <c r="N253" s="3422"/>
      <c r="O253" s="2091" t="s">
        <v>367</v>
      </c>
      <c r="P253" s="2092"/>
      <c r="Q253" s="2092"/>
      <c r="R253" s="2092"/>
      <c r="S253" s="2092"/>
      <c r="T253" s="2092"/>
      <c r="U253" s="2092"/>
      <c r="V253" s="2092"/>
      <c r="W253" s="2092"/>
      <c r="X253" s="2092"/>
      <c r="Y253" s="2092"/>
      <c r="Z253" s="2092"/>
      <c r="AA253" s="2092"/>
      <c r="AB253" s="2092"/>
      <c r="AC253" s="2092"/>
      <c r="AD253" s="2092"/>
      <c r="AE253" s="2092"/>
      <c r="AF253" s="3324">
        <v>4</v>
      </c>
      <c r="AG253" s="3325" t="s">
        <v>939</v>
      </c>
      <c r="AH253" s="3325" t="s">
        <v>940</v>
      </c>
      <c r="AI253" s="3324"/>
      <c r="AJ253" s="3325"/>
      <c r="AK253" s="3325"/>
      <c r="AL253" s="3424"/>
      <c r="AM253" s="2738"/>
      <c r="AN253" s="2738"/>
      <c r="AO253" s="2738"/>
      <c r="AP253" s="2738"/>
      <c r="AQ253" s="2738"/>
      <c r="AR253" s="2738"/>
      <c r="AS253" s="2738"/>
      <c r="AT253" s="2738"/>
      <c r="AU253" s="2738"/>
      <c r="AV253" s="2738"/>
      <c r="AW253" s="2738"/>
      <c r="AX253" s="2738"/>
      <c r="AY253" s="2738"/>
      <c r="AZ253" s="2738"/>
      <c r="BA253" s="2738"/>
      <c r="BB253" s="2738"/>
      <c r="BC253" s="2738"/>
      <c r="BD253" s="2738"/>
      <c r="BE253" s="2738"/>
      <c r="BF253" s="2738"/>
    </row>
    <row customHeight="1" ht="38.25">
      <c r="A254" s="2080" t="s">
        <v>905</v>
      </c>
      <c r="B254" s="2080"/>
      <c r="C254" s="2080"/>
      <c r="D254" s="2074"/>
      <c r="E254" s="2084"/>
      <c r="F254" s="2744"/>
      <c r="G254" s="2745"/>
      <c r="H254" s="3333" t="s">
        <v>141</v>
      </c>
      <c r="I254" s="3334"/>
      <c r="J254" s="3303"/>
      <c r="K254" s="3335"/>
      <c r="L254" s="2933"/>
      <c r="M254" s="2934"/>
      <c r="N254" s="3398"/>
      <c r="O254" s="3421">
        <v>1</v>
      </c>
      <c r="P254" s="3328" t="s">
        <v>52</v>
      </c>
      <c r="Q254" s="3331" t="s">
        <v>18</v>
      </c>
      <c r="R254" s="3331" t="s">
        <v>18</v>
      </c>
      <c r="S254" s="3331" t="s">
        <v>18</v>
      </c>
      <c r="T254" s="3331" t="s">
        <v>18</v>
      </c>
      <c r="U254" s="3331" t="s">
        <v>18</v>
      </c>
      <c r="V254" s="3331" t="s">
        <v>18</v>
      </c>
      <c r="W254" s="3331" t="s">
        <v>18</v>
      </c>
      <c r="X254" s="3331" t="s">
        <v>18</v>
      </c>
      <c r="Y254" s="3331"/>
      <c r="Z254" s="2089"/>
      <c r="AA254" s="2090"/>
      <c r="AB254" s="2090"/>
      <c r="AC254" s="2094"/>
      <c r="AD254" s="2094"/>
      <c r="AE254" s="2095"/>
      <c r="AF254" s="3324"/>
      <c r="AG254" s="3325"/>
      <c r="AH254" s="3325"/>
      <c r="AI254" s="3324"/>
      <c r="AJ254" s="3325"/>
      <c r="AK254" s="3325"/>
      <c r="AL254" s="3424"/>
      <c r="AM254" s="2738"/>
      <c r="AN254" s="2738"/>
      <c r="AO254" s="2738"/>
      <c r="AP254" s="2738"/>
      <c r="AQ254" s="2738"/>
      <c r="AR254" s="2738"/>
      <c r="AS254" s="2738"/>
      <c r="AT254" s="2738"/>
      <c r="AU254" s="2738"/>
      <c r="AV254" s="2738"/>
      <c r="AW254" s="2738"/>
      <c r="AX254" s="2738"/>
      <c r="AY254" s="2738"/>
      <c r="AZ254" s="2738"/>
      <c r="BA254" s="2738"/>
      <c r="BB254" s="2738"/>
      <c r="BC254" s="2738"/>
      <c r="BD254" s="2738"/>
      <c r="BE254" s="2738"/>
      <c r="BF254" s="2738"/>
    </row>
    <row customHeight="1" ht="11.25">
      <c r="A255" s="2080" t="s">
        <v>905</v>
      </c>
      <c r="B255" s="2080"/>
      <c r="C255" s="2080"/>
      <c r="D255" s="2074"/>
      <c r="E255" s="2084"/>
      <c r="F255" s="2744"/>
      <c r="G255" s="2745"/>
      <c r="H255" s="3333" t="s">
        <v>141</v>
      </c>
      <c r="I255" s="3334"/>
      <c r="J255" s="3303"/>
      <c r="K255" s="3335"/>
      <c r="L255" s="2933"/>
      <c r="M255" s="2934"/>
      <c r="N255" s="3398"/>
      <c r="O255" s="3421"/>
      <c r="P255" s="3329"/>
      <c r="Q255" s="3331"/>
      <c r="R255" s="3331"/>
      <c r="S255" s="3332"/>
      <c r="T255" s="3331"/>
      <c r="U255" s="3331"/>
      <c r="V255" s="3331"/>
      <c r="W255" s="3331"/>
      <c r="X255" s="3331"/>
      <c r="Y255" s="3331"/>
      <c r="Z255" s="2743"/>
      <c r="AA255" s="2709">
        <v>1</v>
      </c>
      <c r="AB255" s="2093" t="s">
        <v>949</v>
      </c>
      <c r="AC255" s="2083">
        <v>128317.71</v>
      </c>
      <c r="AD255" s="2093" t="str">
        <f>AB255</f>
        <v>      Прочие амортизационные отчисления</v>
      </c>
      <c r="AE255" s="2083"/>
      <c r="AF255" s="3324"/>
      <c r="AG255" s="3325"/>
      <c r="AH255" s="3325"/>
      <c r="AI255" s="3324"/>
      <c r="AJ255" s="3325"/>
      <c r="AK255" s="3325"/>
      <c r="AL255" s="3424"/>
      <c r="AM255" s="2738"/>
      <c r="AN255" s="2738"/>
      <c r="AO255" s="2738"/>
      <c r="AP255" s="2738"/>
      <c r="AQ255" s="2738"/>
      <c r="AR255" s="2738"/>
      <c r="AS255" s="2738"/>
      <c r="AT255" s="2738"/>
      <c r="AU255" s="2738"/>
      <c r="AV255" s="2738"/>
      <c r="AW255" s="2738"/>
      <c r="AX255" s="2738"/>
      <c r="AY255" s="2738"/>
      <c r="AZ255" s="2738"/>
      <c r="BA255" s="2738"/>
      <c r="BB255" s="2738"/>
      <c r="BC255" s="2738"/>
      <c r="BD255" s="2738"/>
      <c r="BE255" s="2738"/>
      <c r="BF255" s="2738"/>
    </row>
    <row customHeight="1" ht="11.25">
      <c r="A256" s="2080" t="s">
        <v>905</v>
      </c>
      <c r="B256" s="2080"/>
      <c r="C256" s="2080"/>
      <c r="D256" s="2074"/>
      <c r="E256" s="2084"/>
      <c r="F256" s="2745"/>
      <c r="G256" s="2745"/>
      <c r="H256" s="2745"/>
      <c r="I256" s="2745"/>
      <c r="J256" s="2745"/>
      <c r="K256" s="2745"/>
      <c r="L256" s="2745"/>
      <c r="M256" s="2745"/>
      <c r="N256" s="2745"/>
      <c r="O256" s="2745"/>
      <c r="P256" s="2745"/>
      <c r="Q256" s="2745"/>
      <c r="R256" s="2745"/>
      <c r="S256" s="2745"/>
      <c r="T256" s="2745"/>
      <c r="U256" s="2745"/>
      <c r="V256" s="2745"/>
      <c r="W256" s="2745"/>
      <c r="X256" s="2745"/>
      <c r="Y256" s="2745"/>
      <c r="Z256" s="18661" t="s">
        <v>844</v>
      </c>
      <c r="AA256" s="2729" t="s">
        <v>103</v>
      </c>
      <c r="AB256" s="2093" t="s">
        <v>941</v>
      </c>
      <c r="AC256" s="2083">
        <v>38687.06</v>
      </c>
      <c r="AD256" s="2093" t="str">
        <f>AB256</f>
        <v>  Прочие</v>
      </c>
      <c r="AE256" s="2083"/>
      <c r="AF256" s="2746"/>
      <c r="AG256" s="2674"/>
      <c r="AH256" s="2674"/>
      <c r="AI256" s="2746"/>
      <c r="AJ256" s="2674"/>
      <c r="AK256" s="3423"/>
      <c r="AL256" s="3424"/>
      <c r="AM256" s="2738"/>
      <c r="AN256" s="2738"/>
      <c r="AO256" s="2738"/>
      <c r="AP256" s="2738"/>
      <c r="AQ256" s="2738"/>
      <c r="AR256" s="2738"/>
      <c r="AS256" s="2738"/>
      <c r="AT256" s="2738"/>
      <c r="AU256" s="2738"/>
      <c r="AV256" s="2738"/>
      <c r="AW256" s="2738"/>
      <c r="AX256" s="2738"/>
      <c r="AY256" s="2738"/>
      <c r="AZ256" s="2738"/>
      <c r="BA256" s="2738"/>
      <c r="BB256" s="2738"/>
      <c r="BC256" s="2738"/>
      <c r="BD256" s="2738"/>
      <c r="BE256" s="2738"/>
      <c r="BF256" s="2738"/>
    </row>
    <row customHeight="1" ht="27">
      <c r="A257" s="2080" t="s">
        <v>905</v>
      </c>
      <c r="B257" s="2080"/>
      <c r="C257" s="2080"/>
      <c r="D257" s="2074"/>
      <c r="E257" s="2084"/>
      <c r="F257" s="2744"/>
      <c r="G257" s="2745"/>
      <c r="H257" s="3333" t="s">
        <v>141</v>
      </c>
      <c r="I257" s="3334"/>
      <c r="J257" s="3303"/>
      <c r="K257" s="3335"/>
      <c r="L257" s="2933"/>
      <c r="M257" s="2934"/>
      <c r="N257" s="3398"/>
      <c r="O257" s="3421"/>
      <c r="P257" s="3330"/>
      <c r="Q257" s="3331"/>
      <c r="R257" s="3331"/>
      <c r="S257" s="3332"/>
      <c r="T257" s="3331"/>
      <c r="U257" s="3331"/>
      <c r="V257" s="3331"/>
      <c r="W257" s="3331"/>
      <c r="X257" s="3331"/>
      <c r="Y257" s="3331"/>
      <c r="Z257" s="2089"/>
      <c r="AA257" s="2090"/>
      <c r="AB257" s="2155" t="s">
        <v>942</v>
      </c>
      <c r="AC257" s="2094"/>
      <c r="AD257" s="2094"/>
      <c r="AE257" s="2096"/>
      <c r="AF257" s="3324"/>
      <c r="AG257" s="3325"/>
      <c r="AH257" s="3325"/>
      <c r="AI257" s="3324"/>
      <c r="AJ257" s="3325"/>
      <c r="AK257" s="3325"/>
      <c r="AL257" s="3424"/>
      <c r="AM257" s="2738"/>
      <c r="AN257" s="2738"/>
      <c r="AO257" s="2738"/>
      <c r="AP257" s="2738"/>
      <c r="AQ257" s="2738"/>
      <c r="AR257" s="2738"/>
      <c r="AS257" s="2738"/>
      <c r="AT257" s="2738"/>
      <c r="AU257" s="2738"/>
      <c r="AV257" s="2738"/>
      <c r="AW257" s="2738"/>
      <c r="AX257" s="2738"/>
      <c r="AY257" s="2738"/>
      <c r="AZ257" s="2738"/>
      <c r="BA257" s="2738"/>
      <c r="BB257" s="2738"/>
      <c r="BC257" s="2738"/>
      <c r="BD257" s="2738"/>
      <c r="BE257" s="2738"/>
      <c r="BF257" s="2738"/>
    </row>
    <row customHeight="1" ht="16.5">
      <c r="A258" s="2080" t="s">
        <v>905</v>
      </c>
      <c r="B258" s="2080"/>
      <c r="C258" s="2080"/>
      <c r="D258" s="2074"/>
      <c r="E258" s="2084"/>
      <c r="F258" s="2744"/>
      <c r="G258" s="2745"/>
      <c r="H258" s="3333" t="s">
        <v>141</v>
      </c>
      <c r="I258" s="3334"/>
      <c r="J258" s="3303"/>
      <c r="K258" s="3335"/>
      <c r="L258" s="2933"/>
      <c r="M258" s="2934"/>
      <c r="N258" s="2089"/>
      <c r="O258" s="2090"/>
      <c r="P258" s="2082" t="s">
        <v>943</v>
      </c>
      <c r="Q258" s="2090"/>
      <c r="R258" s="2090"/>
      <c r="S258" s="2090"/>
      <c r="T258" s="2090"/>
      <c r="U258" s="2090"/>
      <c r="V258" s="2090"/>
      <c r="W258" s="2090"/>
      <c r="X258" s="2090"/>
      <c r="Y258" s="2090"/>
      <c r="Z258" s="2090"/>
      <c r="AA258" s="2090"/>
      <c r="AB258" s="2090"/>
      <c r="AC258" s="2090"/>
      <c r="AD258" s="2090"/>
      <c r="AE258" s="2097"/>
      <c r="AF258" s="3324"/>
      <c r="AG258" s="3325"/>
      <c r="AH258" s="3325"/>
      <c r="AI258" s="3324"/>
      <c r="AJ258" s="3325"/>
      <c r="AK258" s="3325"/>
      <c r="AL258" s="3424"/>
      <c r="AM258" s="2738"/>
      <c r="AN258" s="2738"/>
      <c r="AO258" s="2738"/>
      <c r="AP258" s="2738"/>
      <c r="AQ258" s="2738"/>
      <c r="AR258" s="2738"/>
      <c r="AS258" s="2738"/>
      <c r="AT258" s="2738"/>
      <c r="AU258" s="2738"/>
      <c r="AV258" s="2738"/>
      <c r="AW258" s="2738"/>
      <c r="AX258" s="2738"/>
      <c r="AY258" s="2738"/>
      <c r="AZ258" s="2738"/>
      <c r="BA258" s="2738"/>
      <c r="BB258" s="2738"/>
      <c r="BC258" s="2738"/>
      <c r="BD258" s="2738"/>
      <c r="BE258" s="2738"/>
      <c r="BF258" s="2738"/>
    </row>
    <row customHeight="1" ht="67.5">
      <c r="A259" s="2080" t="s">
        <v>905</v>
      </c>
      <c r="B259" s="2080" t="s">
        <v>944</v>
      </c>
      <c r="C259" s="2080"/>
      <c r="D259" s="2074"/>
      <c r="E259" s="2084"/>
      <c r="F259" s="2744"/>
      <c r="G259" s="15875" t="s">
        <v>844</v>
      </c>
      <c r="H259" s="3333" t="s">
        <v>143</v>
      </c>
      <c r="I259" s="3334" t="s">
        <v>945</v>
      </c>
      <c r="J259" s="3303" t="s">
        <v>946</v>
      </c>
      <c r="K259" s="3335" t="s">
        <v>955</v>
      </c>
      <c r="L259" s="2933" t="s">
        <v>52</v>
      </c>
      <c r="M259" s="2934"/>
      <c r="N259" s="3422"/>
      <c r="O259" s="2091" t="s">
        <v>367</v>
      </c>
      <c r="P259" s="2092"/>
      <c r="Q259" s="2092"/>
      <c r="R259" s="2092"/>
      <c r="S259" s="2092"/>
      <c r="T259" s="2092"/>
      <c r="U259" s="2092"/>
      <c r="V259" s="2092"/>
      <c r="W259" s="2092"/>
      <c r="X259" s="2092"/>
      <c r="Y259" s="2092"/>
      <c r="Z259" s="2092"/>
      <c r="AA259" s="2092"/>
      <c r="AB259" s="2092"/>
      <c r="AC259" s="2092"/>
      <c r="AD259" s="2092"/>
      <c r="AE259" s="2092"/>
      <c r="AF259" s="3324">
        <v>4</v>
      </c>
      <c r="AG259" s="3325" t="s">
        <v>939</v>
      </c>
      <c r="AH259" s="3325" t="s">
        <v>940</v>
      </c>
      <c r="AI259" s="3324"/>
      <c r="AJ259" s="3325"/>
      <c r="AK259" s="3325"/>
      <c r="AL259" s="3424"/>
      <c r="AM259" s="2738"/>
      <c r="AN259" s="2738"/>
      <c r="AO259" s="2738"/>
      <c r="AP259" s="2738"/>
      <c r="AQ259" s="2738"/>
      <c r="AR259" s="2738"/>
      <c r="AS259" s="2738"/>
      <c r="AT259" s="2738"/>
      <c r="AU259" s="2738"/>
      <c r="AV259" s="2738"/>
      <c r="AW259" s="2738"/>
      <c r="AX259" s="2738"/>
      <c r="AY259" s="2738"/>
      <c r="AZ259" s="2738"/>
      <c r="BA259" s="2738"/>
      <c r="BB259" s="2738"/>
      <c r="BC259" s="2738"/>
      <c r="BD259" s="2738"/>
      <c r="BE259" s="2738"/>
      <c r="BF259" s="2738"/>
    </row>
    <row customHeight="1" ht="39.75">
      <c r="A260" s="2080" t="s">
        <v>905</v>
      </c>
      <c r="B260" s="2080"/>
      <c r="C260" s="2080"/>
      <c r="D260" s="2074"/>
      <c r="E260" s="2084"/>
      <c r="F260" s="2744"/>
      <c r="G260" s="2745"/>
      <c r="H260" s="3333" t="s">
        <v>142</v>
      </c>
      <c r="I260" s="3334"/>
      <c r="J260" s="3303"/>
      <c r="K260" s="3335"/>
      <c r="L260" s="2933"/>
      <c r="M260" s="2934"/>
      <c r="N260" s="3398"/>
      <c r="O260" s="3421">
        <v>1</v>
      </c>
      <c r="P260" s="3328" t="s">
        <v>52</v>
      </c>
      <c r="Q260" s="3331" t="s">
        <v>18</v>
      </c>
      <c r="R260" s="3331" t="s">
        <v>18</v>
      </c>
      <c r="S260" s="3331" t="s">
        <v>18</v>
      </c>
      <c r="T260" s="3331" t="s">
        <v>18</v>
      </c>
      <c r="U260" s="3331" t="s">
        <v>18</v>
      </c>
      <c r="V260" s="3331" t="s">
        <v>18</v>
      </c>
      <c r="W260" s="3331" t="s">
        <v>18</v>
      </c>
      <c r="X260" s="3331" t="s">
        <v>18</v>
      </c>
      <c r="Y260" s="3331"/>
      <c r="Z260" s="2089"/>
      <c r="AA260" s="2090"/>
      <c r="AB260" s="2090"/>
      <c r="AC260" s="2094"/>
      <c r="AD260" s="2094"/>
      <c r="AE260" s="2095"/>
      <c r="AF260" s="3324"/>
      <c r="AG260" s="3325"/>
      <c r="AH260" s="3325"/>
      <c r="AI260" s="3324"/>
      <c r="AJ260" s="3325"/>
      <c r="AK260" s="3325"/>
      <c r="AL260" s="3424"/>
      <c r="AM260" s="2738"/>
      <c r="AN260" s="2738"/>
      <c r="AO260" s="2738"/>
      <c r="AP260" s="2738"/>
      <c r="AQ260" s="2738"/>
      <c r="AR260" s="2738"/>
      <c r="AS260" s="2738"/>
      <c r="AT260" s="2738"/>
      <c r="AU260" s="2738"/>
      <c r="AV260" s="2738"/>
      <c r="AW260" s="2738"/>
      <c r="AX260" s="2738"/>
      <c r="AY260" s="2738"/>
      <c r="AZ260" s="2738"/>
      <c r="BA260" s="2738"/>
      <c r="BB260" s="2738"/>
      <c r="BC260" s="2738"/>
      <c r="BD260" s="2738"/>
      <c r="BE260" s="2738"/>
      <c r="BF260" s="2738"/>
    </row>
    <row customHeight="1" ht="23.25">
      <c r="A261" s="2080" t="s">
        <v>905</v>
      </c>
      <c r="B261" s="2080"/>
      <c r="C261" s="2080"/>
      <c r="D261" s="2074"/>
      <c r="E261" s="2084"/>
      <c r="F261" s="2744"/>
      <c r="G261" s="2745"/>
      <c r="H261" s="3333" t="s">
        <v>142</v>
      </c>
      <c r="I261" s="3334"/>
      <c r="J261" s="3303"/>
      <c r="K261" s="3335"/>
      <c r="L261" s="2933"/>
      <c r="M261" s="2934"/>
      <c r="N261" s="3398"/>
      <c r="O261" s="3421"/>
      <c r="P261" s="3329"/>
      <c r="Q261" s="3331"/>
      <c r="R261" s="3331"/>
      <c r="S261" s="3332"/>
      <c r="T261" s="3331"/>
      <c r="U261" s="3331"/>
      <c r="V261" s="3331"/>
      <c r="W261" s="3331"/>
      <c r="X261" s="3331"/>
      <c r="Y261" s="3331"/>
      <c r="Z261" s="2743"/>
      <c r="AA261" s="2709">
        <v>1</v>
      </c>
      <c r="AB261" s="2093" t="s">
        <v>949</v>
      </c>
      <c r="AC261" s="2083">
        <v>125773.71</v>
      </c>
      <c r="AD261" s="2093" t="str">
        <f>AB261</f>
        <v>      Прочие амортизационные отчисления</v>
      </c>
      <c r="AE261" s="2083"/>
      <c r="AF261" s="3324"/>
      <c r="AG261" s="3325"/>
      <c r="AH261" s="3325"/>
      <c r="AI261" s="3324"/>
      <c r="AJ261" s="3325"/>
      <c r="AK261" s="3325"/>
      <c r="AL261" s="3424"/>
      <c r="AM261" s="2738"/>
      <c r="AN261" s="2738"/>
      <c r="AO261" s="2738"/>
      <c r="AP261" s="2738"/>
      <c r="AQ261" s="2738"/>
      <c r="AR261" s="2738"/>
      <c r="AS261" s="2738"/>
      <c r="AT261" s="2738"/>
      <c r="AU261" s="2738"/>
      <c r="AV261" s="2738"/>
      <c r="AW261" s="2738"/>
      <c r="AX261" s="2738"/>
      <c r="AY261" s="2738"/>
      <c r="AZ261" s="2738"/>
      <c r="BA261" s="2738"/>
      <c r="BB261" s="2738"/>
      <c r="BC261" s="2738"/>
      <c r="BD261" s="2738"/>
      <c r="BE261" s="2738"/>
      <c r="BF261" s="2738"/>
    </row>
    <row customHeight="1" ht="11.25">
      <c r="A262" s="2080" t="s">
        <v>905</v>
      </c>
      <c r="B262" s="2080"/>
      <c r="C262" s="2080"/>
      <c r="D262" s="2074"/>
      <c r="E262" s="2084"/>
      <c r="F262" s="2745"/>
      <c r="G262" s="2745"/>
      <c r="H262" s="2745"/>
      <c r="I262" s="2745"/>
      <c r="J262" s="2745"/>
      <c r="K262" s="2745"/>
      <c r="L262" s="2745"/>
      <c r="M262" s="2745"/>
      <c r="N262" s="2745"/>
      <c r="O262" s="2745"/>
      <c r="P262" s="2745"/>
      <c r="Q262" s="2745"/>
      <c r="R262" s="2745"/>
      <c r="S262" s="2745"/>
      <c r="T262" s="2745"/>
      <c r="U262" s="2745"/>
      <c r="V262" s="2745"/>
      <c r="W262" s="2745"/>
      <c r="X262" s="2745"/>
      <c r="Y262" s="2745"/>
      <c r="Z262" s="18661" t="s">
        <v>844</v>
      </c>
      <c r="AA262" s="2729" t="s">
        <v>103</v>
      </c>
      <c r="AB262" s="2093" t="s">
        <v>941</v>
      </c>
      <c r="AC262" s="2083">
        <v>142426.29</v>
      </c>
      <c r="AD262" s="2093" t="str">
        <f>AB262</f>
        <v>  Прочие</v>
      </c>
      <c r="AE262" s="2083"/>
      <c r="AF262" s="2746"/>
      <c r="AG262" s="2674"/>
      <c r="AH262" s="2674"/>
      <c r="AI262" s="2746"/>
      <c r="AJ262" s="2674"/>
      <c r="AK262" s="3423"/>
      <c r="AL262" s="3424"/>
      <c r="AM262" s="2738"/>
      <c r="AN262" s="2738"/>
      <c r="AO262" s="2738"/>
      <c r="AP262" s="2738"/>
      <c r="AQ262" s="2738"/>
      <c r="AR262" s="2738"/>
      <c r="AS262" s="2738"/>
      <c r="AT262" s="2738"/>
      <c r="AU262" s="2738"/>
      <c r="AV262" s="2738"/>
      <c r="AW262" s="2738"/>
      <c r="AX262" s="2738"/>
      <c r="AY262" s="2738"/>
      <c r="AZ262" s="2738"/>
      <c r="BA262" s="2738"/>
      <c r="BB262" s="2738"/>
      <c r="BC262" s="2738"/>
      <c r="BD262" s="2738"/>
      <c r="BE262" s="2738"/>
      <c r="BF262" s="2738"/>
    </row>
    <row customHeight="1" ht="54.75">
      <c r="A263" s="2080" t="s">
        <v>905</v>
      </c>
      <c r="B263" s="2080"/>
      <c r="C263" s="2080"/>
      <c r="D263" s="2074"/>
      <c r="E263" s="2084"/>
      <c r="F263" s="2744"/>
      <c r="G263" s="2745"/>
      <c r="H263" s="3333" t="s">
        <v>142</v>
      </c>
      <c r="I263" s="3334"/>
      <c r="J263" s="3303"/>
      <c r="K263" s="3335"/>
      <c r="L263" s="2933"/>
      <c r="M263" s="2934"/>
      <c r="N263" s="3398"/>
      <c r="O263" s="3421"/>
      <c r="P263" s="3330"/>
      <c r="Q263" s="3331"/>
      <c r="R263" s="3331"/>
      <c r="S263" s="3332"/>
      <c r="T263" s="3331"/>
      <c r="U263" s="3331"/>
      <c r="V263" s="3331"/>
      <c r="W263" s="3331"/>
      <c r="X263" s="3331"/>
      <c r="Y263" s="3331"/>
      <c r="Z263" s="2089"/>
      <c r="AA263" s="2090"/>
      <c r="AB263" s="2155" t="s">
        <v>942</v>
      </c>
      <c r="AC263" s="2094"/>
      <c r="AD263" s="2094"/>
      <c r="AE263" s="2096"/>
      <c r="AF263" s="3324"/>
      <c r="AG263" s="3325"/>
      <c r="AH263" s="3325"/>
      <c r="AI263" s="3324"/>
      <c r="AJ263" s="3325"/>
      <c r="AK263" s="3325"/>
      <c r="AL263" s="3424"/>
      <c r="AM263" s="2738"/>
      <c r="AN263" s="2738"/>
      <c r="AO263" s="2738"/>
      <c r="AP263" s="2738"/>
      <c r="AQ263" s="2738"/>
      <c r="AR263" s="2738"/>
      <c r="AS263" s="2738"/>
      <c r="AT263" s="2738"/>
      <c r="AU263" s="2738"/>
      <c r="AV263" s="2738"/>
      <c r="AW263" s="2738"/>
      <c r="AX263" s="2738"/>
      <c r="AY263" s="2738"/>
      <c r="AZ263" s="2738"/>
      <c r="BA263" s="2738"/>
      <c r="BB263" s="2738"/>
      <c r="BC263" s="2738"/>
      <c r="BD263" s="2738"/>
      <c r="BE263" s="2738"/>
      <c r="BF263" s="2738"/>
    </row>
    <row customHeight="1" ht="62.25">
      <c r="A264" s="2080" t="s">
        <v>905</v>
      </c>
      <c r="B264" s="2080"/>
      <c r="C264" s="2080"/>
      <c r="D264" s="2074"/>
      <c r="E264" s="2084"/>
      <c r="F264" s="2744"/>
      <c r="G264" s="2745"/>
      <c r="H264" s="3333" t="s">
        <v>142</v>
      </c>
      <c r="I264" s="3334"/>
      <c r="J264" s="3303"/>
      <c r="K264" s="3335"/>
      <c r="L264" s="2933"/>
      <c r="M264" s="2934"/>
      <c r="N264" s="2089"/>
      <c r="O264" s="2090"/>
      <c r="P264" s="2082" t="s">
        <v>943</v>
      </c>
      <c r="Q264" s="2090"/>
      <c r="R264" s="2090"/>
      <c r="S264" s="2090"/>
      <c r="T264" s="2090"/>
      <c r="U264" s="2090"/>
      <c r="V264" s="2090"/>
      <c r="W264" s="2090"/>
      <c r="X264" s="2090"/>
      <c r="Y264" s="2090"/>
      <c r="Z264" s="2090"/>
      <c r="AA264" s="2090"/>
      <c r="AB264" s="2090"/>
      <c r="AC264" s="2090"/>
      <c r="AD264" s="2090"/>
      <c r="AE264" s="2097"/>
      <c r="AF264" s="3324"/>
      <c r="AG264" s="3325"/>
      <c r="AH264" s="3325"/>
      <c r="AI264" s="3324"/>
      <c r="AJ264" s="3325"/>
      <c r="AK264" s="3325"/>
      <c r="AL264" s="3424"/>
      <c r="AM264" s="2738"/>
      <c r="AN264" s="2738"/>
      <c r="AO264" s="2738"/>
      <c r="AP264" s="2738"/>
      <c r="AQ264" s="2738"/>
      <c r="AR264" s="2738"/>
      <c r="AS264" s="2738"/>
      <c r="AT264" s="2738"/>
      <c r="AU264" s="2738"/>
      <c r="AV264" s="2738"/>
      <c r="AW264" s="2738"/>
      <c r="AX264" s="2738"/>
      <c r="AY264" s="2738"/>
      <c r="AZ264" s="2738"/>
      <c r="BA264" s="2738"/>
      <c r="BB264" s="2738"/>
      <c r="BC264" s="2738"/>
      <c r="BD264" s="2738"/>
      <c r="BE264" s="2738"/>
      <c r="BF264" s="2738"/>
    </row>
    <row customHeight="1" ht="11.25">
      <c r="A265" s="2080" t="s">
        <v>905</v>
      </c>
      <c r="B265" s="2080" t="s">
        <v>944</v>
      </c>
      <c r="C265" s="2080"/>
      <c r="D265" s="2074"/>
      <c r="E265" s="2084"/>
      <c r="F265" s="2744"/>
      <c r="G265" s="15875" t="s">
        <v>844</v>
      </c>
      <c r="H265" s="3333" t="s">
        <v>144</v>
      </c>
      <c r="I265" s="3334" t="s">
        <v>945</v>
      </c>
      <c r="J265" s="3303" t="s">
        <v>946</v>
      </c>
      <c r="K265" s="3335" t="s">
        <v>972</v>
      </c>
      <c r="L265" s="2933" t="s">
        <v>52</v>
      </c>
      <c r="M265" s="2934"/>
      <c r="N265" s="3422"/>
      <c r="O265" s="2091" t="s">
        <v>367</v>
      </c>
      <c r="P265" s="2092"/>
      <c r="Q265" s="2092"/>
      <c r="R265" s="2092"/>
      <c r="S265" s="2092"/>
      <c r="T265" s="2092"/>
      <c r="U265" s="2092"/>
      <c r="V265" s="2092"/>
      <c r="W265" s="2092"/>
      <c r="X265" s="2092"/>
      <c r="Y265" s="2092"/>
      <c r="Z265" s="2092"/>
      <c r="AA265" s="2092"/>
      <c r="AB265" s="2092"/>
      <c r="AC265" s="2092"/>
      <c r="AD265" s="2092"/>
      <c r="AE265" s="2092"/>
      <c r="AF265" s="3324">
        <v>4</v>
      </c>
      <c r="AG265" s="3325" t="s">
        <v>939</v>
      </c>
      <c r="AH265" s="3325" t="s">
        <v>958</v>
      </c>
      <c r="AI265" s="3324"/>
      <c r="AJ265" s="3325"/>
      <c r="AK265" s="3325"/>
      <c r="AL265" s="3424"/>
      <c r="AM265" s="2738"/>
      <c r="AN265" s="2738"/>
      <c r="AO265" s="2738"/>
      <c r="AP265" s="2738"/>
      <c r="AQ265" s="2738"/>
      <c r="AR265" s="2738"/>
      <c r="AS265" s="2738"/>
      <c r="AT265" s="2738"/>
      <c r="AU265" s="2738"/>
      <c r="AV265" s="2738"/>
      <c r="AW265" s="2738"/>
      <c r="AX265" s="2738"/>
      <c r="AY265" s="2738"/>
      <c r="AZ265" s="2738"/>
      <c r="BA265" s="2738"/>
      <c r="BB265" s="2738"/>
      <c r="BC265" s="2738"/>
      <c r="BD265" s="2738"/>
      <c r="BE265" s="2738"/>
      <c r="BF265" s="2738"/>
    </row>
    <row customHeight="1" ht="11.25">
      <c r="A266" s="2080" t="s">
        <v>905</v>
      </c>
      <c r="B266" s="2080"/>
      <c r="C266" s="2080"/>
      <c r="D266" s="2074"/>
      <c r="E266" s="2084"/>
      <c r="F266" s="2744"/>
      <c r="G266" s="2745"/>
      <c r="H266" s="3333" t="s">
        <v>143</v>
      </c>
      <c r="I266" s="3334"/>
      <c r="J266" s="3303"/>
      <c r="K266" s="3335"/>
      <c r="L266" s="2933"/>
      <c r="M266" s="2934"/>
      <c r="N266" s="3398"/>
      <c r="O266" s="3421">
        <v>1</v>
      </c>
      <c r="P266" s="3328" t="s">
        <v>52</v>
      </c>
      <c r="Q266" s="3331" t="s">
        <v>18</v>
      </c>
      <c r="R266" s="3331" t="s">
        <v>18</v>
      </c>
      <c r="S266" s="3331" t="s">
        <v>18</v>
      </c>
      <c r="T266" s="3331" t="s">
        <v>18</v>
      </c>
      <c r="U266" s="3331" t="s">
        <v>18</v>
      </c>
      <c r="V266" s="3331" t="s">
        <v>18</v>
      </c>
      <c r="W266" s="3331" t="s">
        <v>18</v>
      </c>
      <c r="X266" s="3331" t="s">
        <v>18</v>
      </c>
      <c r="Y266" s="3331"/>
      <c r="Z266" s="2089"/>
      <c r="AA266" s="2090"/>
      <c r="AB266" s="2090"/>
      <c r="AC266" s="2094"/>
      <c r="AD266" s="2094"/>
      <c r="AE266" s="2095"/>
      <c r="AF266" s="3324"/>
      <c r="AG266" s="3325"/>
      <c r="AH266" s="3325"/>
      <c r="AI266" s="3324"/>
      <c r="AJ266" s="3325"/>
      <c r="AK266" s="3325"/>
      <c r="AL266" s="3424"/>
      <c r="AM266" s="2738"/>
      <c r="AN266" s="2738"/>
      <c r="AO266" s="2738"/>
      <c r="AP266" s="2738"/>
      <c r="AQ266" s="2738"/>
      <c r="AR266" s="2738"/>
      <c r="AS266" s="2738"/>
      <c r="AT266" s="2738"/>
      <c r="AU266" s="2738"/>
      <c r="AV266" s="2738"/>
      <c r="AW266" s="2738"/>
      <c r="AX266" s="2738"/>
      <c r="AY266" s="2738"/>
      <c r="AZ266" s="2738"/>
      <c r="BA266" s="2738"/>
      <c r="BB266" s="2738"/>
      <c r="BC266" s="2738"/>
      <c r="BD266" s="2738"/>
      <c r="BE266" s="2738"/>
      <c r="BF266" s="2738"/>
    </row>
    <row customHeight="1" ht="11.25">
      <c r="A267" s="2080" t="s">
        <v>905</v>
      </c>
      <c r="B267" s="2080"/>
      <c r="C267" s="2080"/>
      <c r="D267" s="2074"/>
      <c r="E267" s="2084"/>
      <c r="F267" s="2744"/>
      <c r="G267" s="2745"/>
      <c r="H267" s="3333" t="s">
        <v>143</v>
      </c>
      <c r="I267" s="3334"/>
      <c r="J267" s="3303"/>
      <c r="K267" s="3335"/>
      <c r="L267" s="2933"/>
      <c r="M267" s="2934"/>
      <c r="N267" s="3398"/>
      <c r="O267" s="3421"/>
      <c r="P267" s="3329"/>
      <c r="Q267" s="3331"/>
      <c r="R267" s="3331"/>
      <c r="S267" s="3332"/>
      <c r="T267" s="3331"/>
      <c r="U267" s="3331"/>
      <c r="V267" s="3331"/>
      <c r="W267" s="3331"/>
      <c r="X267" s="3331"/>
      <c r="Y267" s="3331"/>
      <c r="Z267" s="2743"/>
      <c r="AA267" s="2709">
        <v>1</v>
      </c>
      <c r="AB267" s="2093" t="s">
        <v>949</v>
      </c>
      <c r="AC267" s="2083">
        <v>520089.25</v>
      </c>
      <c r="AD267" s="2093" t="str">
        <f>AB267</f>
        <v>      Прочие амортизационные отчисления</v>
      </c>
      <c r="AE267" s="2083"/>
      <c r="AF267" s="3324"/>
      <c r="AG267" s="3325"/>
      <c r="AH267" s="3325"/>
      <c r="AI267" s="3324"/>
      <c r="AJ267" s="3325"/>
      <c r="AK267" s="3325"/>
      <c r="AL267" s="3424"/>
      <c r="AM267" s="2738"/>
      <c r="AN267" s="2738"/>
      <c r="AO267" s="2738"/>
      <c r="AP267" s="2738"/>
      <c r="AQ267" s="2738"/>
      <c r="AR267" s="2738"/>
      <c r="AS267" s="2738"/>
      <c r="AT267" s="2738"/>
      <c r="AU267" s="2738"/>
      <c r="AV267" s="2738"/>
      <c r="AW267" s="2738"/>
      <c r="AX267" s="2738"/>
      <c r="AY267" s="2738"/>
      <c r="AZ267" s="2738"/>
      <c r="BA267" s="2738"/>
      <c r="BB267" s="2738"/>
      <c r="BC267" s="2738"/>
      <c r="BD267" s="2738"/>
      <c r="BE267" s="2738"/>
      <c r="BF267" s="2738"/>
    </row>
    <row customHeight="1" ht="11.25">
      <c r="A268" s="2080" t="s">
        <v>905</v>
      </c>
      <c r="B268" s="2080"/>
      <c r="C268" s="2080"/>
      <c r="D268" s="2074"/>
      <c r="E268" s="2084"/>
      <c r="F268" s="2745"/>
      <c r="G268" s="2745"/>
      <c r="H268" s="2745"/>
      <c r="I268" s="2745"/>
      <c r="J268" s="2745"/>
      <c r="K268" s="2745"/>
      <c r="L268" s="2745"/>
      <c r="M268" s="2745"/>
      <c r="N268" s="2745"/>
      <c r="O268" s="2745"/>
      <c r="P268" s="2745"/>
      <c r="Q268" s="2745"/>
      <c r="R268" s="2745"/>
      <c r="S268" s="2745"/>
      <c r="T268" s="2745"/>
      <c r="U268" s="2745"/>
      <c r="V268" s="2745"/>
      <c r="W268" s="2745"/>
      <c r="X268" s="2745"/>
      <c r="Y268" s="2745"/>
      <c r="Z268" s="18661" t="s">
        <v>844</v>
      </c>
      <c r="AA268" s="2729" t="s">
        <v>103</v>
      </c>
      <c r="AB268" s="2093" t="s">
        <v>941</v>
      </c>
      <c r="AC268" s="2083">
        <v>588949.67</v>
      </c>
      <c r="AD268" s="2093" t="str">
        <f>AB268</f>
        <v>  Прочие</v>
      </c>
      <c r="AE268" s="2083"/>
      <c r="AF268" s="2746"/>
      <c r="AG268" s="2674"/>
      <c r="AH268" s="2674"/>
      <c r="AI268" s="2746"/>
      <c r="AJ268" s="2674"/>
      <c r="AK268" s="3423"/>
      <c r="AL268" s="3424"/>
      <c r="AM268" s="2738"/>
      <c r="AN268" s="2738"/>
      <c r="AO268" s="2738"/>
      <c r="AP268" s="2738"/>
      <c r="AQ268" s="2738"/>
      <c r="AR268" s="2738"/>
      <c r="AS268" s="2738"/>
      <c r="AT268" s="2738"/>
      <c r="AU268" s="2738"/>
      <c r="AV268" s="2738"/>
      <c r="AW268" s="2738"/>
      <c r="AX268" s="2738"/>
      <c r="AY268" s="2738"/>
      <c r="AZ268" s="2738"/>
      <c r="BA268" s="2738"/>
      <c r="BB268" s="2738"/>
      <c r="BC268" s="2738"/>
      <c r="BD268" s="2738"/>
      <c r="BE268" s="2738"/>
      <c r="BF268" s="2738"/>
    </row>
    <row customHeight="1" ht="11.25">
      <c r="A269" s="2080" t="s">
        <v>905</v>
      </c>
      <c r="B269" s="2080"/>
      <c r="C269" s="2080"/>
      <c r="D269" s="2074"/>
      <c r="E269" s="2084"/>
      <c r="F269" s="2744"/>
      <c r="G269" s="2745"/>
      <c r="H269" s="3333" t="s">
        <v>143</v>
      </c>
      <c r="I269" s="3334"/>
      <c r="J269" s="3303"/>
      <c r="K269" s="3335"/>
      <c r="L269" s="2933"/>
      <c r="M269" s="2934"/>
      <c r="N269" s="3398"/>
      <c r="O269" s="3421"/>
      <c r="P269" s="3330"/>
      <c r="Q269" s="3331"/>
      <c r="R269" s="3331"/>
      <c r="S269" s="3332"/>
      <c r="T269" s="3331"/>
      <c r="U269" s="3331"/>
      <c r="V269" s="3331"/>
      <c r="W269" s="3331"/>
      <c r="X269" s="3331"/>
      <c r="Y269" s="3331"/>
      <c r="Z269" s="2089"/>
      <c r="AA269" s="2090"/>
      <c r="AB269" s="2155" t="s">
        <v>942</v>
      </c>
      <c r="AC269" s="2094"/>
      <c r="AD269" s="2094"/>
      <c r="AE269" s="2096"/>
      <c r="AF269" s="3324"/>
      <c r="AG269" s="3325"/>
      <c r="AH269" s="3325"/>
      <c r="AI269" s="3324"/>
      <c r="AJ269" s="3325"/>
      <c r="AK269" s="3325"/>
      <c r="AL269" s="3424"/>
      <c r="AM269" s="2738"/>
      <c r="AN269" s="2738"/>
      <c r="AO269" s="2738"/>
      <c r="AP269" s="2738"/>
      <c r="AQ269" s="2738"/>
      <c r="AR269" s="2738"/>
      <c r="AS269" s="2738"/>
      <c r="AT269" s="2738"/>
      <c r="AU269" s="2738"/>
      <c r="AV269" s="2738"/>
      <c r="AW269" s="2738"/>
      <c r="AX269" s="2738"/>
      <c r="AY269" s="2738"/>
      <c r="AZ269" s="2738"/>
      <c r="BA269" s="2738"/>
      <c r="BB269" s="2738"/>
      <c r="BC269" s="2738"/>
      <c r="BD269" s="2738"/>
      <c r="BE269" s="2738"/>
      <c r="BF269" s="2738"/>
    </row>
    <row customHeight="1" ht="11.25">
      <c r="A270" s="2080" t="s">
        <v>905</v>
      </c>
      <c r="B270" s="2080"/>
      <c r="C270" s="2080"/>
      <c r="D270" s="2074"/>
      <c r="E270" s="2084"/>
      <c r="F270" s="2744"/>
      <c r="G270" s="2745"/>
      <c r="H270" s="3333" t="s">
        <v>143</v>
      </c>
      <c r="I270" s="3334"/>
      <c r="J270" s="3303"/>
      <c r="K270" s="3335"/>
      <c r="L270" s="2933"/>
      <c r="M270" s="2934"/>
      <c r="N270" s="2089"/>
      <c r="O270" s="2090"/>
      <c r="P270" s="2082" t="s">
        <v>943</v>
      </c>
      <c r="Q270" s="2090"/>
      <c r="R270" s="2090"/>
      <c r="S270" s="2090"/>
      <c r="T270" s="2090"/>
      <c r="U270" s="2090"/>
      <c r="V270" s="2090"/>
      <c r="W270" s="2090"/>
      <c r="X270" s="2090"/>
      <c r="Y270" s="2090"/>
      <c r="Z270" s="2090"/>
      <c r="AA270" s="2090"/>
      <c r="AB270" s="2090"/>
      <c r="AC270" s="2090"/>
      <c r="AD270" s="2090"/>
      <c r="AE270" s="2097"/>
      <c r="AF270" s="3324"/>
      <c r="AG270" s="3325"/>
      <c r="AH270" s="3325"/>
      <c r="AI270" s="3324"/>
      <c r="AJ270" s="3325"/>
      <c r="AK270" s="3325"/>
      <c r="AL270" s="3424"/>
      <c r="AM270" s="2738"/>
      <c r="AN270" s="2738"/>
      <c r="AO270" s="2738"/>
      <c r="AP270" s="2738"/>
      <c r="AQ270" s="2738"/>
      <c r="AR270" s="2738"/>
      <c r="AS270" s="2738"/>
      <c r="AT270" s="2738"/>
      <c r="AU270" s="2738"/>
      <c r="AV270" s="2738"/>
      <c r="AW270" s="2738"/>
      <c r="AX270" s="2738"/>
      <c r="AY270" s="2738"/>
      <c r="AZ270" s="2738"/>
      <c r="BA270" s="2738"/>
      <c r="BB270" s="2738"/>
      <c r="BC270" s="2738"/>
      <c r="BD270" s="2738"/>
      <c r="BE270" s="2738"/>
      <c r="BF270" s="2738"/>
    </row>
    <row customHeight="1" ht="11.25">
      <c r="A271" s="2080" t="s">
        <v>905</v>
      </c>
      <c r="B271" s="2080" t="s">
        <v>944</v>
      </c>
      <c r="C271" s="2080"/>
      <c r="D271" s="2074"/>
      <c r="E271" s="2084"/>
      <c r="F271" s="2744"/>
      <c r="G271" s="15875" t="s">
        <v>844</v>
      </c>
      <c r="H271" s="3333" t="s">
        <v>145</v>
      </c>
      <c r="I271" s="3334" t="s">
        <v>945</v>
      </c>
      <c r="J271" s="3303" t="s">
        <v>946</v>
      </c>
      <c r="K271" s="3335" t="s">
        <v>974</v>
      </c>
      <c r="L271" s="2933" t="s">
        <v>52</v>
      </c>
      <c r="M271" s="2934"/>
      <c r="N271" s="3422"/>
      <c r="O271" s="2091" t="s">
        <v>367</v>
      </c>
      <c r="P271" s="2092"/>
      <c r="Q271" s="2092"/>
      <c r="R271" s="2092"/>
      <c r="S271" s="2092"/>
      <c r="T271" s="2092"/>
      <c r="U271" s="2092"/>
      <c r="V271" s="2092"/>
      <c r="W271" s="2092"/>
      <c r="X271" s="2092"/>
      <c r="Y271" s="2092"/>
      <c r="Z271" s="2092"/>
      <c r="AA271" s="2092"/>
      <c r="AB271" s="2092"/>
      <c r="AC271" s="2092"/>
      <c r="AD271" s="2092"/>
      <c r="AE271" s="2092"/>
      <c r="AF271" s="3324">
        <v>4</v>
      </c>
      <c r="AG271" s="3325" t="s">
        <v>939</v>
      </c>
      <c r="AH271" s="3325" t="s">
        <v>958</v>
      </c>
      <c r="AI271" s="3324"/>
      <c r="AJ271" s="3325"/>
      <c r="AK271" s="3325"/>
      <c r="AL271" s="3424"/>
      <c r="AM271" s="2738"/>
      <c r="AN271" s="2738"/>
      <c r="AO271" s="2738"/>
      <c r="AP271" s="2738"/>
      <c r="AQ271" s="2738"/>
      <c r="AR271" s="2738"/>
      <c r="AS271" s="2738"/>
      <c r="AT271" s="2738"/>
      <c r="AU271" s="2738"/>
      <c r="AV271" s="2738"/>
      <c r="AW271" s="2738"/>
      <c r="AX271" s="2738"/>
      <c r="AY271" s="2738"/>
      <c r="AZ271" s="2738"/>
      <c r="BA271" s="2738"/>
      <c r="BB271" s="2738"/>
      <c r="BC271" s="2738"/>
      <c r="BD271" s="2738"/>
      <c r="BE271" s="2738"/>
      <c r="BF271" s="2738"/>
    </row>
    <row customHeight="1" ht="11.25">
      <c r="A272" s="2080" t="s">
        <v>905</v>
      </c>
      <c r="B272" s="2080"/>
      <c r="C272" s="2080"/>
      <c r="D272" s="2074"/>
      <c r="E272" s="2084"/>
      <c r="F272" s="2744"/>
      <c r="G272" s="2745"/>
      <c r="H272" s="3333" t="s">
        <v>144</v>
      </c>
      <c r="I272" s="3334"/>
      <c r="J272" s="3303"/>
      <c r="K272" s="3335"/>
      <c r="L272" s="2933"/>
      <c r="M272" s="2934"/>
      <c r="N272" s="3398"/>
      <c r="O272" s="3421">
        <v>1</v>
      </c>
      <c r="P272" s="3328" t="s">
        <v>52</v>
      </c>
      <c r="Q272" s="3331" t="s">
        <v>18</v>
      </c>
      <c r="R272" s="3331" t="s">
        <v>18</v>
      </c>
      <c r="S272" s="3331" t="s">
        <v>18</v>
      </c>
      <c r="T272" s="3331" t="s">
        <v>18</v>
      </c>
      <c r="U272" s="3331" t="s">
        <v>18</v>
      </c>
      <c r="V272" s="3331" t="s">
        <v>18</v>
      </c>
      <c r="W272" s="3331" t="s">
        <v>18</v>
      </c>
      <c r="X272" s="3331" t="s">
        <v>18</v>
      </c>
      <c r="Y272" s="3331"/>
      <c r="Z272" s="2089"/>
      <c r="AA272" s="2090"/>
      <c r="AB272" s="2090"/>
      <c r="AC272" s="2094"/>
      <c r="AD272" s="2094"/>
      <c r="AE272" s="2095"/>
      <c r="AF272" s="3324"/>
      <c r="AG272" s="3325"/>
      <c r="AH272" s="3325"/>
      <c r="AI272" s="3324"/>
      <c r="AJ272" s="3325"/>
      <c r="AK272" s="3325"/>
      <c r="AL272" s="3424"/>
      <c r="AM272" s="2738"/>
      <c r="AN272" s="2738"/>
      <c r="AO272" s="2738"/>
      <c r="AP272" s="2738"/>
      <c r="AQ272" s="2738"/>
      <c r="AR272" s="2738"/>
      <c r="AS272" s="2738"/>
      <c r="AT272" s="2738"/>
      <c r="AU272" s="2738"/>
      <c r="AV272" s="2738"/>
      <c r="AW272" s="2738"/>
      <c r="AX272" s="2738"/>
      <c r="AY272" s="2738"/>
      <c r="AZ272" s="2738"/>
      <c r="BA272" s="2738"/>
      <c r="BB272" s="2738"/>
      <c r="BC272" s="2738"/>
      <c r="BD272" s="2738"/>
      <c r="BE272" s="2738"/>
      <c r="BF272" s="2738"/>
    </row>
    <row customHeight="1" ht="11.25">
      <c r="A273" s="2080" t="s">
        <v>905</v>
      </c>
      <c r="B273" s="2080"/>
      <c r="C273" s="2080"/>
      <c r="D273" s="2074"/>
      <c r="E273" s="2084"/>
      <c r="F273" s="2744"/>
      <c r="G273" s="2745"/>
      <c r="H273" s="3333" t="s">
        <v>144</v>
      </c>
      <c r="I273" s="3334"/>
      <c r="J273" s="3303"/>
      <c r="K273" s="3335"/>
      <c r="L273" s="2933"/>
      <c r="M273" s="2934"/>
      <c r="N273" s="3398"/>
      <c r="O273" s="3421"/>
      <c r="P273" s="3329"/>
      <c r="Q273" s="3331"/>
      <c r="R273" s="3331"/>
      <c r="S273" s="3332"/>
      <c r="T273" s="3331"/>
      <c r="U273" s="3331"/>
      <c r="V273" s="3331"/>
      <c r="W273" s="3331"/>
      <c r="X273" s="3331"/>
      <c r="Y273" s="3331"/>
      <c r="Z273" s="2743"/>
      <c r="AA273" s="2709">
        <v>1</v>
      </c>
      <c r="AB273" s="2093" t="s">
        <v>949</v>
      </c>
      <c r="AC273" s="2083">
        <v>9625.56</v>
      </c>
      <c r="AD273" s="2093" t="str">
        <f>AB273</f>
        <v>      Прочие амортизационные отчисления</v>
      </c>
      <c r="AE273" s="2083"/>
      <c r="AF273" s="3324"/>
      <c r="AG273" s="3325"/>
      <c r="AH273" s="3325"/>
      <c r="AI273" s="3324"/>
      <c r="AJ273" s="3325"/>
      <c r="AK273" s="3325"/>
      <c r="AL273" s="3424"/>
      <c r="AM273" s="2738"/>
      <c r="AN273" s="2738"/>
      <c r="AO273" s="2738"/>
      <c r="AP273" s="2738"/>
      <c r="AQ273" s="2738"/>
      <c r="AR273" s="2738"/>
      <c r="AS273" s="2738"/>
      <c r="AT273" s="2738"/>
      <c r="AU273" s="2738"/>
      <c r="AV273" s="2738"/>
      <c r="AW273" s="2738"/>
      <c r="AX273" s="2738"/>
      <c r="AY273" s="2738"/>
      <c r="AZ273" s="2738"/>
      <c r="BA273" s="2738"/>
      <c r="BB273" s="2738"/>
      <c r="BC273" s="2738"/>
      <c r="BD273" s="2738"/>
      <c r="BE273" s="2738"/>
      <c r="BF273" s="2738"/>
    </row>
    <row customHeight="1" ht="11.25">
      <c r="A274" s="2080" t="s">
        <v>905</v>
      </c>
      <c r="B274" s="2080"/>
      <c r="C274" s="2080"/>
      <c r="D274" s="2074"/>
      <c r="E274" s="2084"/>
      <c r="F274" s="2745"/>
      <c r="G274" s="2745"/>
      <c r="H274" s="2745"/>
      <c r="I274" s="2745"/>
      <c r="J274" s="2745"/>
      <c r="K274" s="2745"/>
      <c r="L274" s="2745"/>
      <c r="M274" s="2745"/>
      <c r="N274" s="2745"/>
      <c r="O274" s="2745"/>
      <c r="P274" s="2745"/>
      <c r="Q274" s="2745"/>
      <c r="R274" s="2745"/>
      <c r="S274" s="2745"/>
      <c r="T274" s="2745"/>
      <c r="U274" s="2745"/>
      <c r="V274" s="2745"/>
      <c r="W274" s="2745"/>
      <c r="X274" s="2745"/>
      <c r="Y274" s="2745"/>
      <c r="Z274" s="18661" t="s">
        <v>844</v>
      </c>
      <c r="AA274" s="2729" t="s">
        <v>103</v>
      </c>
      <c r="AB274" s="2093" t="s">
        <v>941</v>
      </c>
      <c r="AC274" s="2083">
        <v>10900</v>
      </c>
      <c r="AD274" s="2093" t="str">
        <f>AB274</f>
        <v>  Прочие</v>
      </c>
      <c r="AE274" s="2083"/>
      <c r="AF274" s="2746"/>
      <c r="AG274" s="2674"/>
      <c r="AH274" s="2674"/>
      <c r="AI274" s="2746"/>
      <c r="AJ274" s="2674"/>
      <c r="AK274" s="3423"/>
      <c r="AL274" s="3424"/>
      <c r="AM274" s="2738"/>
      <c r="AN274" s="2738"/>
      <c r="AO274" s="2738"/>
      <c r="AP274" s="2738"/>
      <c r="AQ274" s="2738"/>
      <c r="AR274" s="2738"/>
      <c r="AS274" s="2738"/>
      <c r="AT274" s="2738"/>
      <c r="AU274" s="2738"/>
      <c r="AV274" s="2738"/>
      <c r="AW274" s="2738"/>
      <c r="AX274" s="2738"/>
      <c r="AY274" s="2738"/>
      <c r="AZ274" s="2738"/>
      <c r="BA274" s="2738"/>
      <c r="BB274" s="2738"/>
      <c r="BC274" s="2738"/>
      <c r="BD274" s="2738"/>
      <c r="BE274" s="2738"/>
      <c r="BF274" s="2738"/>
    </row>
    <row customHeight="1" ht="11.25">
      <c r="A275" s="2080" t="s">
        <v>905</v>
      </c>
      <c r="B275" s="2080"/>
      <c r="C275" s="2080"/>
      <c r="D275" s="2074"/>
      <c r="E275" s="2084"/>
      <c r="F275" s="2744"/>
      <c r="G275" s="2745"/>
      <c r="H275" s="3333" t="s">
        <v>144</v>
      </c>
      <c r="I275" s="3334"/>
      <c r="J275" s="3303"/>
      <c r="K275" s="3335"/>
      <c r="L275" s="2933"/>
      <c r="M275" s="2934"/>
      <c r="N275" s="3398"/>
      <c r="O275" s="3421"/>
      <c r="P275" s="3330"/>
      <c r="Q275" s="3331"/>
      <c r="R275" s="3331"/>
      <c r="S275" s="3332"/>
      <c r="T275" s="3331"/>
      <c r="U275" s="3331"/>
      <c r="V275" s="3331"/>
      <c r="W275" s="3331"/>
      <c r="X275" s="3331"/>
      <c r="Y275" s="3331"/>
      <c r="Z275" s="2089"/>
      <c r="AA275" s="2090"/>
      <c r="AB275" s="2155" t="s">
        <v>942</v>
      </c>
      <c r="AC275" s="2094"/>
      <c r="AD275" s="2094"/>
      <c r="AE275" s="2096"/>
      <c r="AF275" s="3324"/>
      <c r="AG275" s="3325"/>
      <c r="AH275" s="3325"/>
      <c r="AI275" s="3324"/>
      <c r="AJ275" s="3325"/>
      <c r="AK275" s="3325"/>
      <c r="AL275" s="3424"/>
      <c r="AM275" s="2738"/>
      <c r="AN275" s="2738"/>
      <c r="AO275" s="2738"/>
      <c r="AP275" s="2738"/>
      <c r="AQ275" s="2738"/>
      <c r="AR275" s="2738"/>
      <c r="AS275" s="2738"/>
      <c r="AT275" s="2738"/>
      <c r="AU275" s="2738"/>
      <c r="AV275" s="2738"/>
      <c r="AW275" s="2738"/>
      <c r="AX275" s="2738"/>
      <c r="AY275" s="2738"/>
      <c r="AZ275" s="2738"/>
      <c r="BA275" s="2738"/>
      <c r="BB275" s="2738"/>
      <c r="BC275" s="2738"/>
      <c r="BD275" s="2738"/>
      <c r="BE275" s="2738"/>
      <c r="BF275" s="2738"/>
    </row>
    <row customHeight="1" ht="11.25">
      <c r="A276" s="2080" t="s">
        <v>905</v>
      </c>
      <c r="B276" s="2080"/>
      <c r="C276" s="2080"/>
      <c r="D276" s="2074"/>
      <c r="E276" s="2084"/>
      <c r="F276" s="2744"/>
      <c r="G276" s="2745"/>
      <c r="H276" s="3333" t="s">
        <v>144</v>
      </c>
      <c r="I276" s="3334"/>
      <c r="J276" s="3303"/>
      <c r="K276" s="3335"/>
      <c r="L276" s="2933"/>
      <c r="M276" s="2934"/>
      <c r="N276" s="2089"/>
      <c r="O276" s="2090"/>
      <c r="P276" s="2082" t="s">
        <v>943</v>
      </c>
      <c r="Q276" s="2090"/>
      <c r="R276" s="2090"/>
      <c r="S276" s="2090"/>
      <c r="T276" s="2090"/>
      <c r="U276" s="2090"/>
      <c r="V276" s="2090"/>
      <c r="W276" s="2090"/>
      <c r="X276" s="2090"/>
      <c r="Y276" s="2090"/>
      <c r="Z276" s="2090"/>
      <c r="AA276" s="2090"/>
      <c r="AB276" s="2090"/>
      <c r="AC276" s="2090"/>
      <c r="AD276" s="2090"/>
      <c r="AE276" s="2097"/>
      <c r="AF276" s="3324"/>
      <c r="AG276" s="3325"/>
      <c r="AH276" s="3325"/>
      <c r="AI276" s="3324"/>
      <c r="AJ276" s="3325"/>
      <c r="AK276" s="3325"/>
      <c r="AL276" s="3424"/>
      <c r="AM276" s="2738"/>
      <c r="AN276" s="2738"/>
      <c r="AO276" s="2738"/>
      <c r="AP276" s="2738"/>
      <c r="AQ276" s="2738"/>
      <c r="AR276" s="2738"/>
      <c r="AS276" s="2738"/>
      <c r="AT276" s="2738"/>
      <c r="AU276" s="2738"/>
      <c r="AV276" s="2738"/>
      <c r="AW276" s="2738"/>
      <c r="AX276" s="2738"/>
      <c r="AY276" s="2738"/>
      <c r="AZ276" s="2738"/>
      <c r="BA276" s="2738"/>
      <c r="BB276" s="2738"/>
      <c r="BC276" s="2738"/>
      <c r="BD276" s="2738"/>
      <c r="BE276" s="2738"/>
      <c r="BF276" s="2738"/>
    </row>
    <row customHeight="1" ht="24">
      <c r="A277" s="2080" t="s">
        <v>905</v>
      </c>
      <c r="B277" s="2080" t="s">
        <v>18</v>
      </c>
      <c r="C277" s="2080"/>
      <c r="D277" s="2074"/>
      <c r="E277" s="2084"/>
      <c r="F277" s="2744"/>
      <c r="G277" s="15875" t="s">
        <v>844</v>
      </c>
      <c r="H277" s="3333" t="s">
        <v>146</v>
      </c>
      <c r="I277" s="3334" t="s">
        <v>956</v>
      </c>
      <c r="J277" s="15876" t="s">
        <v>18</v>
      </c>
      <c r="K277" s="3335" t="s">
        <v>957</v>
      </c>
      <c r="L277" s="2933" t="s">
        <v>52</v>
      </c>
      <c r="M277" s="2934"/>
      <c r="N277" s="3422"/>
      <c r="O277" s="2091" t="s">
        <v>367</v>
      </c>
      <c r="P277" s="2092"/>
      <c r="Q277" s="2092"/>
      <c r="R277" s="2092"/>
      <c r="S277" s="2092"/>
      <c r="T277" s="2092"/>
      <c r="U277" s="2092"/>
      <c r="V277" s="2092"/>
      <c r="W277" s="2092"/>
      <c r="X277" s="2092"/>
      <c r="Y277" s="2092"/>
      <c r="Z277" s="2092"/>
      <c r="AA277" s="2092"/>
      <c r="AB277" s="2092"/>
      <c r="AC277" s="2092"/>
      <c r="AD277" s="2092"/>
      <c r="AE277" s="2092"/>
      <c r="AF277" s="3324">
        <v>11</v>
      </c>
      <c r="AG277" s="3325" t="s">
        <v>939</v>
      </c>
      <c r="AH277" s="3325" t="s">
        <v>958</v>
      </c>
      <c r="AI277" s="3324"/>
      <c r="AJ277" s="3325"/>
      <c r="AK277" s="3325"/>
      <c r="AL277" s="3424"/>
      <c r="AM277" s="2738"/>
      <c r="AN277" s="2738"/>
      <c r="AO277" s="2738"/>
      <c r="AP277" s="2738"/>
      <c r="AQ277" s="2738"/>
      <c r="AR277" s="2738"/>
      <c r="AS277" s="2738"/>
      <c r="AT277" s="2738"/>
      <c r="AU277" s="2738"/>
      <c r="AV277" s="2738"/>
      <c r="AW277" s="2738"/>
      <c r="AX277" s="2738"/>
      <c r="AY277" s="2738"/>
      <c r="AZ277" s="2738"/>
      <c r="BA277" s="2738"/>
      <c r="BB277" s="2738"/>
      <c r="BC277" s="2738"/>
      <c r="BD277" s="2738"/>
      <c r="BE277" s="2738"/>
      <c r="BF277" s="2738"/>
    </row>
    <row customHeight="1" ht="11.25">
      <c r="A278" s="2080" t="s">
        <v>905</v>
      </c>
      <c r="B278" s="2080"/>
      <c r="C278" s="2080"/>
      <c r="D278" s="2074"/>
      <c r="E278" s="2084"/>
      <c r="F278" s="2744"/>
      <c r="G278" s="2745"/>
      <c r="H278" s="3333" t="s">
        <v>145</v>
      </c>
      <c r="I278" s="3334"/>
      <c r="J278" s="15876"/>
      <c r="K278" s="3335"/>
      <c r="L278" s="2933"/>
      <c r="M278" s="2934"/>
      <c r="N278" s="3398"/>
      <c r="O278" s="3421">
        <v>1</v>
      </c>
      <c r="P278" s="3328" t="s">
        <v>52</v>
      </c>
      <c r="Q278" s="3331" t="s">
        <v>18</v>
      </c>
      <c r="R278" s="3331" t="s">
        <v>18</v>
      </c>
      <c r="S278" s="3331" t="s">
        <v>18</v>
      </c>
      <c r="T278" s="3331" t="s">
        <v>18</v>
      </c>
      <c r="U278" s="3331" t="s">
        <v>18</v>
      </c>
      <c r="V278" s="3331" t="s">
        <v>18</v>
      </c>
      <c r="W278" s="3331" t="s">
        <v>18</v>
      </c>
      <c r="X278" s="3331" t="s">
        <v>18</v>
      </c>
      <c r="Y278" s="3331"/>
      <c r="Z278" s="2089"/>
      <c r="AA278" s="2090"/>
      <c r="AB278" s="2090"/>
      <c r="AC278" s="2094"/>
      <c r="AD278" s="2094"/>
      <c r="AE278" s="2095"/>
      <c r="AF278" s="3324"/>
      <c r="AG278" s="3325"/>
      <c r="AH278" s="3325"/>
      <c r="AI278" s="3324"/>
      <c r="AJ278" s="3325"/>
      <c r="AK278" s="3325"/>
      <c r="AL278" s="3424"/>
      <c r="AM278" s="2738"/>
      <c r="AN278" s="2738"/>
      <c r="AO278" s="2738"/>
      <c r="AP278" s="2738"/>
      <c r="AQ278" s="2738"/>
      <c r="AR278" s="2738"/>
      <c r="AS278" s="2738"/>
      <c r="AT278" s="2738"/>
      <c r="AU278" s="2738"/>
      <c r="AV278" s="2738"/>
      <c r="AW278" s="2738"/>
      <c r="AX278" s="2738"/>
      <c r="AY278" s="2738"/>
      <c r="AZ278" s="2738"/>
      <c r="BA278" s="2738"/>
      <c r="BB278" s="2738"/>
      <c r="BC278" s="2738"/>
      <c r="BD278" s="2738"/>
      <c r="BE278" s="2738"/>
      <c r="BF278" s="2738"/>
    </row>
    <row customHeight="1" ht="11.25">
      <c r="A279" s="2080" t="s">
        <v>905</v>
      </c>
      <c r="B279" s="2080"/>
      <c r="C279" s="2080"/>
      <c r="D279" s="2074"/>
      <c r="E279" s="2084"/>
      <c r="F279" s="2744"/>
      <c r="G279" s="2745"/>
      <c r="H279" s="3333" t="s">
        <v>145</v>
      </c>
      <c r="I279" s="3334"/>
      <c r="J279" s="15876"/>
      <c r="K279" s="3335"/>
      <c r="L279" s="2933"/>
      <c r="M279" s="2934"/>
      <c r="N279" s="3398"/>
      <c r="O279" s="3421"/>
      <c r="P279" s="3329"/>
      <c r="Q279" s="3331"/>
      <c r="R279" s="3331"/>
      <c r="S279" s="3332"/>
      <c r="T279" s="3331"/>
      <c r="U279" s="3331"/>
      <c r="V279" s="3331"/>
      <c r="W279" s="3331"/>
      <c r="X279" s="3331"/>
      <c r="Y279" s="3331"/>
      <c r="Z279" s="2743"/>
      <c r="AA279" s="2709">
        <v>1</v>
      </c>
      <c r="AB279" s="2093" t="s">
        <v>949</v>
      </c>
      <c r="AC279" s="2083">
        <v>27242.13</v>
      </c>
      <c r="AD279" s="2093" t="str">
        <f>AB279</f>
        <v>      Прочие амортизационные отчисления</v>
      </c>
      <c r="AE279" s="2083"/>
      <c r="AF279" s="3324"/>
      <c r="AG279" s="3325"/>
      <c r="AH279" s="3325"/>
      <c r="AI279" s="3324"/>
      <c r="AJ279" s="3325"/>
      <c r="AK279" s="3325"/>
      <c r="AL279" s="3424"/>
      <c r="AM279" s="2738"/>
      <c r="AN279" s="2738"/>
      <c r="AO279" s="2738"/>
      <c r="AP279" s="2738"/>
      <c r="AQ279" s="2738"/>
      <c r="AR279" s="2738"/>
      <c r="AS279" s="2738"/>
      <c r="AT279" s="2738"/>
      <c r="AU279" s="2738"/>
      <c r="AV279" s="2738"/>
      <c r="AW279" s="2738"/>
      <c r="AX279" s="2738"/>
      <c r="AY279" s="2738"/>
      <c r="AZ279" s="2738"/>
      <c r="BA279" s="2738"/>
      <c r="BB279" s="2738"/>
      <c r="BC279" s="2738"/>
      <c r="BD279" s="2738"/>
      <c r="BE279" s="2738"/>
      <c r="BF279" s="2738"/>
    </row>
    <row customHeight="1" ht="11.25">
      <c r="A280" s="2080" t="s">
        <v>905</v>
      </c>
      <c r="B280" s="2080"/>
      <c r="C280" s="2080"/>
      <c r="D280" s="2074"/>
      <c r="E280" s="2084"/>
      <c r="F280" s="2745"/>
      <c r="G280" s="2745"/>
      <c r="H280" s="2745"/>
      <c r="I280" s="2745"/>
      <c r="J280" s="2745"/>
      <c r="K280" s="2745"/>
      <c r="L280" s="2745"/>
      <c r="M280" s="2745"/>
      <c r="N280" s="2745"/>
      <c r="O280" s="2745"/>
      <c r="P280" s="2745"/>
      <c r="Q280" s="2745"/>
      <c r="R280" s="2745"/>
      <c r="S280" s="2745"/>
      <c r="T280" s="2745"/>
      <c r="U280" s="2745"/>
      <c r="V280" s="2745"/>
      <c r="W280" s="2745"/>
      <c r="X280" s="2745"/>
      <c r="Y280" s="2745"/>
      <c r="Z280" s="21447" t="s">
        <v>844</v>
      </c>
      <c r="AA280" s="2729" t="s">
        <v>103</v>
      </c>
      <c r="AB280" s="2093" t="s">
        <v>941</v>
      </c>
      <c r="AC280" s="2083">
        <v>30849.01</v>
      </c>
      <c r="AD280" s="2093" t="str">
        <f>AB280</f>
        <v>  Прочие</v>
      </c>
      <c r="AE280" s="2083"/>
      <c r="AF280" s="2746"/>
      <c r="AG280" s="2674"/>
      <c r="AH280" s="2674"/>
      <c r="AI280" s="2746"/>
      <c r="AJ280" s="2674"/>
      <c r="AK280" s="3423"/>
      <c r="AL280" s="3424"/>
      <c r="AM280" s="2738"/>
      <c r="AN280" s="2738"/>
      <c r="AO280" s="2738"/>
      <c r="AP280" s="2738"/>
      <c r="AQ280" s="2738"/>
      <c r="AR280" s="2738"/>
      <c r="AS280" s="2738"/>
      <c r="AT280" s="2738"/>
      <c r="AU280" s="2738"/>
      <c r="AV280" s="2738"/>
      <c r="AW280" s="2738"/>
      <c r="AX280" s="2738"/>
      <c r="AY280" s="2738"/>
      <c r="AZ280" s="2738"/>
      <c r="BA280" s="2738"/>
      <c r="BB280" s="2738"/>
      <c r="BC280" s="2738"/>
      <c r="BD280" s="2738"/>
      <c r="BE280" s="2738"/>
      <c r="BF280" s="2738"/>
    </row>
    <row customHeight="1" ht="11.25">
      <c r="A281" s="2080" t="s">
        <v>905</v>
      </c>
      <c r="B281" s="2080"/>
      <c r="C281" s="2080"/>
      <c r="D281" s="2074"/>
      <c r="E281" s="2084"/>
      <c r="F281" s="2744"/>
      <c r="G281" s="2745"/>
      <c r="H281" s="3333" t="s">
        <v>145</v>
      </c>
      <c r="I281" s="3334"/>
      <c r="J281" s="15876"/>
      <c r="K281" s="3335"/>
      <c r="L281" s="2933"/>
      <c r="M281" s="2934"/>
      <c r="N281" s="3398"/>
      <c r="O281" s="3421"/>
      <c r="P281" s="3330"/>
      <c r="Q281" s="3331"/>
      <c r="R281" s="3331"/>
      <c r="S281" s="3332"/>
      <c r="T281" s="3331"/>
      <c r="U281" s="3331"/>
      <c r="V281" s="3331"/>
      <c r="W281" s="3331"/>
      <c r="X281" s="3331"/>
      <c r="Y281" s="3331"/>
      <c r="Z281" s="2089"/>
      <c r="AA281" s="2090"/>
      <c r="AB281" s="2155" t="s">
        <v>942</v>
      </c>
      <c r="AC281" s="2094"/>
      <c r="AD281" s="2094"/>
      <c r="AE281" s="2096"/>
      <c r="AF281" s="3324"/>
      <c r="AG281" s="3325"/>
      <c r="AH281" s="3325"/>
      <c r="AI281" s="3324"/>
      <c r="AJ281" s="3325"/>
      <c r="AK281" s="3325"/>
      <c r="AL281" s="3424"/>
      <c r="AM281" s="2738"/>
      <c r="AN281" s="2738"/>
      <c r="AO281" s="2738"/>
      <c r="AP281" s="2738"/>
      <c r="AQ281" s="2738"/>
      <c r="AR281" s="2738"/>
      <c r="AS281" s="2738"/>
      <c r="AT281" s="2738"/>
      <c r="AU281" s="2738"/>
      <c r="AV281" s="2738"/>
      <c r="AW281" s="2738"/>
      <c r="AX281" s="2738"/>
      <c r="AY281" s="2738"/>
      <c r="AZ281" s="2738"/>
      <c r="BA281" s="2738"/>
      <c r="BB281" s="2738"/>
      <c r="BC281" s="2738"/>
      <c r="BD281" s="2738"/>
      <c r="BE281" s="2738"/>
      <c r="BF281" s="2738"/>
    </row>
    <row customHeight="1" ht="11.25">
      <c r="A282" s="2080" t="s">
        <v>905</v>
      </c>
      <c r="B282" s="2080"/>
      <c r="C282" s="2080"/>
      <c r="D282" s="2074"/>
      <c r="E282" s="2084"/>
      <c r="F282" s="2744"/>
      <c r="G282" s="2745"/>
      <c r="H282" s="3333" t="s">
        <v>145</v>
      </c>
      <c r="I282" s="3334"/>
      <c r="J282" s="15876"/>
      <c r="K282" s="3335"/>
      <c r="L282" s="2933"/>
      <c r="M282" s="2934"/>
      <c r="N282" s="2089"/>
      <c r="O282" s="2090"/>
      <c r="P282" s="2082" t="s">
        <v>943</v>
      </c>
      <c r="Q282" s="2090"/>
      <c r="R282" s="2090"/>
      <c r="S282" s="2090"/>
      <c r="T282" s="2090"/>
      <c r="U282" s="2090"/>
      <c r="V282" s="2090"/>
      <c r="W282" s="2090"/>
      <c r="X282" s="2090"/>
      <c r="Y282" s="2090"/>
      <c r="Z282" s="2090"/>
      <c r="AA282" s="2090"/>
      <c r="AB282" s="2090"/>
      <c r="AC282" s="2090"/>
      <c r="AD282" s="2090"/>
      <c r="AE282" s="2097"/>
      <c r="AF282" s="3324"/>
      <c r="AG282" s="3325"/>
      <c r="AH282" s="3325"/>
      <c r="AI282" s="3324"/>
      <c r="AJ282" s="3325"/>
      <c r="AK282" s="3325"/>
      <c r="AL282" s="3424"/>
      <c r="AM282" s="2738"/>
      <c r="AN282" s="2738"/>
      <c r="AO282" s="2738"/>
      <c r="AP282" s="2738"/>
      <c r="AQ282" s="2738"/>
      <c r="AR282" s="2738"/>
      <c r="AS282" s="2738"/>
      <c r="AT282" s="2738"/>
      <c r="AU282" s="2738"/>
      <c r="AV282" s="2738"/>
      <c r="AW282" s="2738"/>
      <c r="AX282" s="2738"/>
      <c r="AY282" s="2738"/>
      <c r="AZ282" s="2738"/>
      <c r="BA282" s="2738"/>
      <c r="BB282" s="2738"/>
      <c r="BC282" s="2738"/>
      <c r="BD282" s="2738"/>
      <c r="BE282" s="2738"/>
      <c r="BF282" s="2738"/>
    </row>
    <row customHeight="1" ht="32.25">
      <c r="A283" s="2080" t="s">
        <v>905</v>
      </c>
      <c r="B283" s="2080" t="s">
        <v>18</v>
      </c>
      <c r="C283" s="2080"/>
      <c r="D283" s="2074"/>
      <c r="E283" s="2084"/>
      <c r="F283" s="2744"/>
      <c r="G283" s="15875" t="s">
        <v>844</v>
      </c>
      <c r="H283" s="3333" t="s">
        <v>973</v>
      </c>
      <c r="I283" s="3334" t="s">
        <v>956</v>
      </c>
      <c r="J283" s="15876" t="s">
        <v>18</v>
      </c>
      <c r="K283" s="3335" t="s">
        <v>977</v>
      </c>
      <c r="L283" s="2933" t="s">
        <v>52</v>
      </c>
      <c r="M283" s="2934"/>
      <c r="N283" s="3422"/>
      <c r="O283" s="2091" t="s">
        <v>367</v>
      </c>
      <c r="P283" s="2092"/>
      <c r="Q283" s="2092"/>
      <c r="R283" s="2092"/>
      <c r="S283" s="2092"/>
      <c r="T283" s="2092"/>
      <c r="U283" s="2092"/>
      <c r="V283" s="2092"/>
      <c r="W283" s="2092"/>
      <c r="X283" s="2092"/>
      <c r="Y283" s="2092"/>
      <c r="Z283" s="2092"/>
      <c r="AA283" s="2092"/>
      <c r="AB283" s="2092"/>
      <c r="AC283" s="2092"/>
      <c r="AD283" s="2092"/>
      <c r="AE283" s="2092"/>
      <c r="AF283" s="3324">
        <v>3</v>
      </c>
      <c r="AG283" s="3325" t="s">
        <v>939</v>
      </c>
      <c r="AH283" s="3325" t="s">
        <v>953</v>
      </c>
      <c r="AI283" s="3324"/>
      <c r="AJ283" s="3325"/>
      <c r="AK283" s="3325"/>
      <c r="AL283" s="3424"/>
      <c r="AM283" s="2738"/>
      <c r="AN283" s="2738"/>
      <c r="AO283" s="2738"/>
      <c r="AP283" s="2738"/>
      <c r="AQ283" s="2738"/>
      <c r="AR283" s="2738"/>
      <c r="AS283" s="2738"/>
      <c r="AT283" s="2738"/>
      <c r="AU283" s="2738"/>
      <c r="AV283" s="2738"/>
      <c r="AW283" s="2738"/>
      <c r="AX283" s="2738"/>
      <c r="AY283" s="2738"/>
      <c r="AZ283" s="2738"/>
      <c r="BA283" s="2738"/>
      <c r="BB283" s="2738"/>
      <c r="BC283" s="2738"/>
      <c r="BD283" s="2738"/>
      <c r="BE283" s="2738"/>
      <c r="BF283" s="2738"/>
    </row>
    <row customHeight="1" ht="11.25">
      <c r="A284" s="2080" t="s">
        <v>905</v>
      </c>
      <c r="B284" s="2080"/>
      <c r="C284" s="2080"/>
      <c r="D284" s="2074"/>
      <c r="E284" s="2084"/>
      <c r="F284" s="2744"/>
      <c r="G284" s="2745"/>
      <c r="H284" s="3333" t="s">
        <v>146</v>
      </c>
      <c r="I284" s="3334"/>
      <c r="J284" s="15876"/>
      <c r="K284" s="3335"/>
      <c r="L284" s="2933"/>
      <c r="M284" s="2934"/>
      <c r="N284" s="3398"/>
      <c r="O284" s="3421">
        <v>1</v>
      </c>
      <c r="P284" s="3328" t="s">
        <v>52</v>
      </c>
      <c r="Q284" s="3331" t="s">
        <v>18</v>
      </c>
      <c r="R284" s="3331" t="s">
        <v>18</v>
      </c>
      <c r="S284" s="3331" t="s">
        <v>18</v>
      </c>
      <c r="T284" s="3331" t="s">
        <v>18</v>
      </c>
      <c r="U284" s="3331" t="s">
        <v>18</v>
      </c>
      <c r="V284" s="3331" t="s">
        <v>18</v>
      </c>
      <c r="W284" s="3331" t="s">
        <v>18</v>
      </c>
      <c r="X284" s="3331" t="s">
        <v>18</v>
      </c>
      <c r="Y284" s="3331"/>
      <c r="Z284" s="2089"/>
      <c r="AA284" s="2090"/>
      <c r="AB284" s="2090"/>
      <c r="AC284" s="2094"/>
      <c r="AD284" s="2094"/>
      <c r="AE284" s="2095"/>
      <c r="AF284" s="3324"/>
      <c r="AG284" s="3325"/>
      <c r="AH284" s="3325"/>
      <c r="AI284" s="3324"/>
      <c r="AJ284" s="3325"/>
      <c r="AK284" s="3325"/>
      <c r="AL284" s="3424"/>
      <c r="AM284" s="2738"/>
      <c r="AN284" s="2738"/>
      <c r="AO284" s="2738"/>
      <c r="AP284" s="2738"/>
      <c r="AQ284" s="2738"/>
      <c r="AR284" s="2738"/>
      <c r="AS284" s="2738"/>
      <c r="AT284" s="2738"/>
      <c r="AU284" s="2738"/>
      <c r="AV284" s="2738"/>
      <c r="AW284" s="2738"/>
      <c r="AX284" s="2738"/>
      <c r="AY284" s="2738"/>
      <c r="AZ284" s="2738"/>
      <c r="BA284" s="2738"/>
      <c r="BB284" s="2738"/>
      <c r="BC284" s="2738"/>
      <c r="BD284" s="2738"/>
      <c r="BE284" s="2738"/>
      <c r="BF284" s="2738"/>
    </row>
    <row customHeight="1" ht="11.25">
      <c r="A285" s="2080" t="s">
        <v>905</v>
      </c>
      <c r="B285" s="2080"/>
      <c r="C285" s="2080"/>
      <c r="D285" s="2074"/>
      <c r="E285" s="2084"/>
      <c r="F285" s="2744"/>
      <c r="G285" s="2745"/>
      <c r="H285" s="3333" t="s">
        <v>146</v>
      </c>
      <c r="I285" s="3334"/>
      <c r="J285" s="15876"/>
      <c r="K285" s="3335"/>
      <c r="L285" s="2933"/>
      <c r="M285" s="2934"/>
      <c r="N285" s="3398"/>
      <c r="O285" s="3421"/>
      <c r="P285" s="3329"/>
      <c r="Q285" s="3331"/>
      <c r="R285" s="3331"/>
      <c r="S285" s="3332"/>
      <c r="T285" s="3331"/>
      <c r="U285" s="3331"/>
      <c r="V285" s="3331"/>
      <c r="W285" s="3331"/>
      <c r="X285" s="3331"/>
      <c r="Y285" s="3331"/>
      <c r="Z285" s="2743"/>
      <c r="AA285" s="2709">
        <v>1</v>
      </c>
      <c r="AB285" s="2093" t="s">
        <v>949</v>
      </c>
      <c r="AC285" s="2083">
        <v>16955.18</v>
      </c>
      <c r="AD285" s="2093" t="str">
        <f>AB285</f>
        <v>      Прочие амортизационные отчисления</v>
      </c>
      <c r="AE285" s="2083"/>
      <c r="AF285" s="3324"/>
      <c r="AG285" s="3325"/>
      <c r="AH285" s="3325"/>
      <c r="AI285" s="3324"/>
      <c r="AJ285" s="3325"/>
      <c r="AK285" s="3325"/>
      <c r="AL285" s="3424"/>
      <c r="AM285" s="2738"/>
      <c r="AN285" s="2738"/>
      <c r="AO285" s="2738"/>
      <c r="AP285" s="2738"/>
      <c r="AQ285" s="2738"/>
      <c r="AR285" s="2738"/>
      <c r="AS285" s="2738"/>
      <c r="AT285" s="2738"/>
      <c r="AU285" s="2738"/>
      <c r="AV285" s="2738"/>
      <c r="AW285" s="2738"/>
      <c r="AX285" s="2738"/>
      <c r="AY285" s="2738"/>
      <c r="AZ285" s="2738"/>
      <c r="BA285" s="2738"/>
      <c r="BB285" s="2738"/>
      <c r="BC285" s="2738"/>
      <c r="BD285" s="2738"/>
      <c r="BE285" s="2738"/>
      <c r="BF285" s="2738"/>
    </row>
    <row customHeight="1" ht="11.25">
      <c r="A286" s="2080" t="s">
        <v>905</v>
      </c>
      <c r="B286" s="2080"/>
      <c r="C286" s="2080"/>
      <c r="D286" s="2074"/>
      <c r="E286" s="2084"/>
      <c r="F286" s="2745"/>
      <c r="G286" s="2745"/>
      <c r="H286" s="2745"/>
      <c r="I286" s="2745"/>
      <c r="J286" s="2745"/>
      <c r="K286" s="2745"/>
      <c r="L286" s="2745"/>
      <c r="M286" s="2745"/>
      <c r="N286" s="2745"/>
      <c r="O286" s="2745"/>
      <c r="P286" s="2745"/>
      <c r="Q286" s="2745"/>
      <c r="R286" s="2745"/>
      <c r="S286" s="2745"/>
      <c r="T286" s="2745"/>
      <c r="U286" s="2745"/>
      <c r="V286" s="2745"/>
      <c r="W286" s="2745"/>
      <c r="X286" s="2745"/>
      <c r="Y286" s="2745"/>
      <c r="Z286" s="21447" t="s">
        <v>844</v>
      </c>
      <c r="AA286" s="2729" t="s">
        <v>103</v>
      </c>
      <c r="AB286" s="2093" t="s">
        <v>941</v>
      </c>
      <c r="AC286" s="2083">
        <v>15430.05</v>
      </c>
      <c r="AD286" s="2093" t="str">
        <f>AB286</f>
        <v>  Прочие</v>
      </c>
      <c r="AE286" s="2083"/>
      <c r="AF286" s="2746"/>
      <c r="AG286" s="2674"/>
      <c r="AH286" s="2674"/>
      <c r="AI286" s="2746"/>
      <c r="AJ286" s="2674"/>
      <c r="AK286" s="3423"/>
      <c r="AL286" s="3424"/>
      <c r="AM286" s="2738"/>
      <c r="AN286" s="2738"/>
      <c r="AO286" s="2738"/>
      <c r="AP286" s="2738"/>
      <c r="AQ286" s="2738"/>
      <c r="AR286" s="2738"/>
      <c r="AS286" s="2738"/>
      <c r="AT286" s="2738"/>
      <c r="AU286" s="2738"/>
      <c r="AV286" s="2738"/>
      <c r="AW286" s="2738"/>
      <c r="AX286" s="2738"/>
      <c r="AY286" s="2738"/>
      <c r="AZ286" s="2738"/>
      <c r="BA286" s="2738"/>
      <c r="BB286" s="2738"/>
      <c r="BC286" s="2738"/>
      <c r="BD286" s="2738"/>
      <c r="BE286" s="2738"/>
      <c r="BF286" s="2738"/>
    </row>
    <row customHeight="1" ht="11.25">
      <c r="A287" s="2080" t="s">
        <v>905</v>
      </c>
      <c r="B287" s="2080"/>
      <c r="C287" s="2080"/>
      <c r="D287" s="2074"/>
      <c r="E287" s="2084"/>
      <c r="F287" s="2744"/>
      <c r="G287" s="2745"/>
      <c r="H287" s="3333" t="s">
        <v>146</v>
      </c>
      <c r="I287" s="3334"/>
      <c r="J287" s="15876"/>
      <c r="K287" s="3335"/>
      <c r="L287" s="2933"/>
      <c r="M287" s="2934"/>
      <c r="N287" s="3398"/>
      <c r="O287" s="3421"/>
      <c r="P287" s="3330"/>
      <c r="Q287" s="3331"/>
      <c r="R287" s="3331"/>
      <c r="S287" s="3332"/>
      <c r="T287" s="3331"/>
      <c r="U287" s="3331"/>
      <c r="V287" s="3331"/>
      <c r="W287" s="3331"/>
      <c r="X287" s="3331"/>
      <c r="Y287" s="3331"/>
      <c r="Z287" s="2089"/>
      <c r="AA287" s="2090"/>
      <c r="AB287" s="2155" t="s">
        <v>942</v>
      </c>
      <c r="AC287" s="2094"/>
      <c r="AD287" s="2094"/>
      <c r="AE287" s="2096"/>
      <c r="AF287" s="3324"/>
      <c r="AG287" s="3325"/>
      <c r="AH287" s="3325"/>
      <c r="AI287" s="3324"/>
      <c r="AJ287" s="3325"/>
      <c r="AK287" s="3325"/>
      <c r="AL287" s="3424"/>
      <c r="AM287" s="2738"/>
      <c r="AN287" s="2738"/>
      <c r="AO287" s="2738"/>
      <c r="AP287" s="2738"/>
      <c r="AQ287" s="2738"/>
      <c r="AR287" s="2738"/>
      <c r="AS287" s="2738"/>
      <c r="AT287" s="2738"/>
      <c r="AU287" s="2738"/>
      <c r="AV287" s="2738"/>
      <c r="AW287" s="2738"/>
      <c r="AX287" s="2738"/>
      <c r="AY287" s="2738"/>
      <c r="AZ287" s="2738"/>
      <c r="BA287" s="2738"/>
      <c r="BB287" s="2738"/>
      <c r="BC287" s="2738"/>
      <c r="BD287" s="2738"/>
      <c r="BE287" s="2738"/>
      <c r="BF287" s="2738"/>
    </row>
    <row customHeight="1" ht="11.25">
      <c r="A288" s="2080" t="s">
        <v>905</v>
      </c>
      <c r="B288" s="2080"/>
      <c r="C288" s="2080"/>
      <c r="D288" s="2074"/>
      <c r="E288" s="2084"/>
      <c r="F288" s="2744"/>
      <c r="G288" s="2745"/>
      <c r="H288" s="3333" t="s">
        <v>146</v>
      </c>
      <c r="I288" s="3334"/>
      <c r="J288" s="15876"/>
      <c r="K288" s="3335"/>
      <c r="L288" s="2933"/>
      <c r="M288" s="2934"/>
      <c r="N288" s="2089"/>
      <c r="O288" s="2090"/>
      <c r="P288" s="2082" t="s">
        <v>943</v>
      </c>
      <c r="Q288" s="2090"/>
      <c r="R288" s="2090"/>
      <c r="S288" s="2090"/>
      <c r="T288" s="2090"/>
      <c r="U288" s="2090"/>
      <c r="V288" s="2090"/>
      <c r="W288" s="2090"/>
      <c r="X288" s="2090"/>
      <c r="Y288" s="2090"/>
      <c r="Z288" s="2090"/>
      <c r="AA288" s="2090"/>
      <c r="AB288" s="2090"/>
      <c r="AC288" s="2090"/>
      <c r="AD288" s="2090"/>
      <c r="AE288" s="2097"/>
      <c r="AF288" s="3324"/>
      <c r="AG288" s="3325"/>
      <c r="AH288" s="3325"/>
      <c r="AI288" s="3324"/>
      <c r="AJ288" s="3325"/>
      <c r="AK288" s="3325"/>
      <c r="AL288" s="3424"/>
      <c r="AM288" s="2738"/>
      <c r="AN288" s="2738"/>
      <c r="AO288" s="2738"/>
      <c r="AP288" s="2738"/>
      <c r="AQ288" s="2738"/>
      <c r="AR288" s="2738"/>
      <c r="AS288" s="2738"/>
      <c r="AT288" s="2738"/>
      <c r="AU288" s="2738"/>
      <c r="AV288" s="2738"/>
      <c r="AW288" s="2738"/>
      <c r="AX288" s="2738"/>
      <c r="AY288" s="2738"/>
      <c r="AZ288" s="2738"/>
      <c r="BA288" s="2738"/>
      <c r="BB288" s="2738"/>
      <c r="BC288" s="2738"/>
      <c r="BD288" s="2738"/>
      <c r="BE288" s="2738"/>
      <c r="BF288" s="2738"/>
    </row>
    <row customHeight="1" ht="11.25">
      <c r="A289" s="2080" t="s">
        <v>905</v>
      </c>
      <c r="B289" s="2080" t="s">
        <v>18</v>
      </c>
      <c r="C289" s="2080"/>
      <c r="D289" s="2074"/>
      <c r="E289" s="2084"/>
      <c r="F289" s="2744"/>
      <c r="G289" s="15875" t="s">
        <v>844</v>
      </c>
      <c r="H289" s="3333" t="s">
        <v>975</v>
      </c>
      <c r="I289" s="3334" t="s">
        <v>959</v>
      </c>
      <c r="J289" s="15876" t="s">
        <v>18</v>
      </c>
      <c r="K289" s="3335" t="s">
        <v>962</v>
      </c>
      <c r="L289" s="2933" t="s">
        <v>52</v>
      </c>
      <c r="M289" s="2934"/>
      <c r="N289" s="3422"/>
      <c r="O289" s="2091" t="s">
        <v>367</v>
      </c>
      <c r="P289" s="2092"/>
      <c r="Q289" s="2092"/>
      <c r="R289" s="2092"/>
      <c r="S289" s="2092"/>
      <c r="T289" s="2092"/>
      <c r="U289" s="2092"/>
      <c r="V289" s="2092"/>
      <c r="W289" s="2092"/>
      <c r="X289" s="2092"/>
      <c r="Y289" s="2092"/>
      <c r="Z289" s="2092"/>
      <c r="AA289" s="2092"/>
      <c r="AB289" s="2092"/>
      <c r="AC289" s="2092"/>
      <c r="AD289" s="2092"/>
      <c r="AE289" s="2092"/>
      <c r="AF289" s="3324">
        <v>6</v>
      </c>
      <c r="AG289" s="3325" t="s">
        <v>939</v>
      </c>
      <c r="AH289" s="3325" t="s">
        <v>940</v>
      </c>
      <c r="AI289" s="3324"/>
      <c r="AJ289" s="3325"/>
      <c r="AK289" s="3325"/>
      <c r="AL289" s="3424"/>
      <c r="AM289" s="2738"/>
      <c r="AN289" s="2738"/>
      <c r="AO289" s="2738"/>
      <c r="AP289" s="2738"/>
      <c r="AQ289" s="2738"/>
      <c r="AR289" s="2738"/>
      <c r="AS289" s="2738"/>
      <c r="AT289" s="2738"/>
      <c r="AU289" s="2738"/>
      <c r="AV289" s="2738"/>
      <c r="AW289" s="2738"/>
      <c r="AX289" s="2738"/>
      <c r="AY289" s="2738"/>
      <c r="AZ289" s="2738"/>
      <c r="BA289" s="2738"/>
      <c r="BB289" s="2738"/>
      <c r="BC289" s="2738"/>
      <c r="BD289" s="2738"/>
      <c r="BE289" s="2738"/>
      <c r="BF289" s="2738"/>
    </row>
    <row customHeight="1" ht="11.25">
      <c r="A290" s="2080" t="s">
        <v>905</v>
      </c>
      <c r="B290" s="2080"/>
      <c r="C290" s="2080"/>
      <c r="D290" s="2074"/>
      <c r="E290" s="2084"/>
      <c r="F290" s="2744"/>
      <c r="G290" s="2745"/>
      <c r="H290" s="3333" t="s">
        <v>973</v>
      </c>
      <c r="I290" s="3334"/>
      <c r="J290" s="15876"/>
      <c r="K290" s="3335"/>
      <c r="L290" s="2933"/>
      <c r="M290" s="2934"/>
      <c r="N290" s="3398"/>
      <c r="O290" s="3421">
        <v>1</v>
      </c>
      <c r="P290" s="3328" t="s">
        <v>52</v>
      </c>
      <c r="Q290" s="3331" t="s">
        <v>18</v>
      </c>
      <c r="R290" s="3331" t="s">
        <v>18</v>
      </c>
      <c r="S290" s="3331" t="s">
        <v>18</v>
      </c>
      <c r="T290" s="3331" t="s">
        <v>18</v>
      </c>
      <c r="U290" s="3331" t="s">
        <v>18</v>
      </c>
      <c r="V290" s="3331" t="s">
        <v>18</v>
      </c>
      <c r="W290" s="3331" t="s">
        <v>18</v>
      </c>
      <c r="X290" s="3331" t="s">
        <v>18</v>
      </c>
      <c r="Y290" s="3331"/>
      <c r="Z290" s="2089"/>
      <c r="AA290" s="2090"/>
      <c r="AB290" s="2090"/>
      <c r="AC290" s="2094"/>
      <c r="AD290" s="2094"/>
      <c r="AE290" s="2095"/>
      <c r="AF290" s="3324"/>
      <c r="AG290" s="3325"/>
      <c r="AH290" s="3325"/>
      <c r="AI290" s="3324"/>
      <c r="AJ290" s="3325"/>
      <c r="AK290" s="3325"/>
      <c r="AL290" s="3424"/>
      <c r="AM290" s="2738"/>
      <c r="AN290" s="2738"/>
      <c r="AO290" s="2738"/>
      <c r="AP290" s="2738"/>
      <c r="AQ290" s="2738"/>
      <c r="AR290" s="2738"/>
      <c r="AS290" s="2738"/>
      <c r="AT290" s="2738"/>
      <c r="AU290" s="2738"/>
      <c r="AV290" s="2738"/>
      <c r="AW290" s="2738"/>
      <c r="AX290" s="2738"/>
      <c r="AY290" s="2738"/>
      <c r="AZ290" s="2738"/>
      <c r="BA290" s="2738"/>
      <c r="BB290" s="2738"/>
      <c r="BC290" s="2738"/>
      <c r="BD290" s="2738"/>
      <c r="BE290" s="2738"/>
      <c r="BF290" s="2738"/>
    </row>
    <row customHeight="1" ht="11.25">
      <c r="A291" s="2080" t="s">
        <v>905</v>
      </c>
      <c r="B291" s="2080"/>
      <c r="C291" s="2080"/>
      <c r="D291" s="2074"/>
      <c r="E291" s="2084"/>
      <c r="F291" s="2744"/>
      <c r="G291" s="2745"/>
      <c r="H291" s="3333" t="s">
        <v>973</v>
      </c>
      <c r="I291" s="3334"/>
      <c r="J291" s="15876"/>
      <c r="K291" s="3335"/>
      <c r="L291" s="2933"/>
      <c r="M291" s="2934"/>
      <c r="N291" s="3398"/>
      <c r="O291" s="3421"/>
      <c r="P291" s="3329"/>
      <c r="Q291" s="3331"/>
      <c r="R291" s="3331"/>
      <c r="S291" s="3332"/>
      <c r="T291" s="3331"/>
      <c r="U291" s="3331"/>
      <c r="V291" s="3331"/>
      <c r="W291" s="3331"/>
      <c r="X291" s="3331"/>
      <c r="Y291" s="3331"/>
      <c r="Z291" s="2743"/>
      <c r="AA291" s="2709">
        <v>1</v>
      </c>
      <c r="AB291" s="2093" t="s">
        <v>949</v>
      </c>
      <c r="AC291" s="2083">
        <v>77574.09</v>
      </c>
      <c r="AD291" s="2093" t="str">
        <f>AB291</f>
        <v>      Прочие амортизационные отчисления</v>
      </c>
      <c r="AE291" s="2083"/>
      <c r="AF291" s="3324"/>
      <c r="AG291" s="3325"/>
      <c r="AH291" s="3325"/>
      <c r="AI291" s="3324"/>
      <c r="AJ291" s="3325"/>
      <c r="AK291" s="3325"/>
      <c r="AL291" s="3424"/>
      <c r="AM291" s="2738"/>
      <c r="AN291" s="2738"/>
      <c r="AO291" s="2738"/>
      <c r="AP291" s="2738"/>
      <c r="AQ291" s="2738"/>
      <c r="AR291" s="2738"/>
      <c r="AS291" s="2738"/>
      <c r="AT291" s="2738"/>
      <c r="AU291" s="2738"/>
      <c r="AV291" s="2738"/>
      <c r="AW291" s="2738"/>
      <c r="AX291" s="2738"/>
      <c r="AY291" s="2738"/>
      <c r="AZ291" s="2738"/>
      <c r="BA291" s="2738"/>
      <c r="BB291" s="2738"/>
      <c r="BC291" s="2738"/>
      <c r="BD291" s="2738"/>
      <c r="BE291" s="2738"/>
      <c r="BF291" s="2738"/>
    </row>
    <row customHeight="1" ht="11.25">
      <c r="A292" s="2080" t="s">
        <v>905</v>
      </c>
      <c r="B292" s="2080"/>
      <c r="C292" s="2080"/>
      <c r="D292" s="2074"/>
      <c r="E292" s="2084"/>
      <c r="F292" s="2745"/>
      <c r="G292" s="2745"/>
      <c r="H292" s="2745"/>
      <c r="I292" s="2745"/>
      <c r="J292" s="2745"/>
      <c r="K292" s="2745"/>
      <c r="L292" s="2745"/>
      <c r="M292" s="2745"/>
      <c r="N292" s="2745"/>
      <c r="O292" s="2745"/>
      <c r="P292" s="2745"/>
      <c r="Q292" s="2745"/>
      <c r="R292" s="2745"/>
      <c r="S292" s="2745"/>
      <c r="T292" s="2745"/>
      <c r="U292" s="2745"/>
      <c r="V292" s="2745"/>
      <c r="W292" s="2745"/>
      <c r="X292" s="2745"/>
      <c r="Y292" s="2745"/>
      <c r="Z292" s="21447" t="s">
        <v>844</v>
      </c>
      <c r="AA292" s="2729" t="s">
        <v>103</v>
      </c>
      <c r="AB292" s="2093" t="s">
        <v>941</v>
      </c>
      <c r="AC292" s="2083">
        <v>87844.98</v>
      </c>
      <c r="AD292" s="2093" t="str">
        <f>AB292</f>
        <v>  Прочие</v>
      </c>
      <c r="AE292" s="2083"/>
      <c r="AF292" s="2746"/>
      <c r="AG292" s="2674"/>
      <c r="AH292" s="2674"/>
      <c r="AI292" s="2746"/>
      <c r="AJ292" s="2674"/>
      <c r="AK292" s="3423"/>
      <c r="AL292" s="3424"/>
      <c r="AM292" s="2738"/>
      <c r="AN292" s="2738"/>
      <c r="AO292" s="2738"/>
      <c r="AP292" s="2738"/>
      <c r="AQ292" s="2738"/>
      <c r="AR292" s="2738"/>
      <c r="AS292" s="2738"/>
      <c r="AT292" s="2738"/>
      <c r="AU292" s="2738"/>
      <c r="AV292" s="2738"/>
      <c r="AW292" s="2738"/>
      <c r="AX292" s="2738"/>
      <c r="AY292" s="2738"/>
      <c r="AZ292" s="2738"/>
      <c r="BA292" s="2738"/>
      <c r="BB292" s="2738"/>
      <c r="BC292" s="2738"/>
      <c r="BD292" s="2738"/>
      <c r="BE292" s="2738"/>
      <c r="BF292" s="2738"/>
    </row>
    <row customHeight="1" ht="11.25">
      <c r="A293" s="2080" t="s">
        <v>905</v>
      </c>
      <c r="B293" s="2080"/>
      <c r="C293" s="2080"/>
      <c r="D293" s="2074"/>
      <c r="E293" s="2084"/>
      <c r="F293" s="2744"/>
      <c r="G293" s="2745"/>
      <c r="H293" s="3333" t="s">
        <v>973</v>
      </c>
      <c r="I293" s="3334"/>
      <c r="J293" s="15876"/>
      <c r="K293" s="3335"/>
      <c r="L293" s="2933"/>
      <c r="M293" s="2934"/>
      <c r="N293" s="3398"/>
      <c r="O293" s="3421"/>
      <c r="P293" s="3330"/>
      <c r="Q293" s="3331"/>
      <c r="R293" s="3331"/>
      <c r="S293" s="3332"/>
      <c r="T293" s="3331"/>
      <c r="U293" s="3331"/>
      <c r="V293" s="3331"/>
      <c r="W293" s="3331"/>
      <c r="X293" s="3331"/>
      <c r="Y293" s="3331"/>
      <c r="Z293" s="2089"/>
      <c r="AA293" s="2090"/>
      <c r="AB293" s="2155" t="s">
        <v>942</v>
      </c>
      <c r="AC293" s="2094"/>
      <c r="AD293" s="2094"/>
      <c r="AE293" s="2096"/>
      <c r="AF293" s="3324"/>
      <c r="AG293" s="3325"/>
      <c r="AH293" s="3325"/>
      <c r="AI293" s="3324"/>
      <c r="AJ293" s="3325"/>
      <c r="AK293" s="3325"/>
      <c r="AL293" s="3424"/>
      <c r="AM293" s="2738"/>
      <c r="AN293" s="2738"/>
      <c r="AO293" s="2738"/>
      <c r="AP293" s="2738"/>
      <c r="AQ293" s="2738"/>
      <c r="AR293" s="2738"/>
      <c r="AS293" s="2738"/>
      <c r="AT293" s="2738"/>
      <c r="AU293" s="2738"/>
      <c r="AV293" s="2738"/>
      <c r="AW293" s="2738"/>
      <c r="AX293" s="2738"/>
      <c r="AY293" s="2738"/>
      <c r="AZ293" s="2738"/>
      <c r="BA293" s="2738"/>
      <c r="BB293" s="2738"/>
      <c r="BC293" s="2738"/>
      <c r="BD293" s="2738"/>
      <c r="BE293" s="2738"/>
      <c r="BF293" s="2738"/>
    </row>
    <row customHeight="1" ht="11.25">
      <c r="A294" s="2080" t="s">
        <v>905</v>
      </c>
      <c r="B294" s="2080"/>
      <c r="C294" s="2080"/>
      <c r="D294" s="2074"/>
      <c r="E294" s="2084"/>
      <c r="F294" s="2744"/>
      <c r="G294" s="2745"/>
      <c r="H294" s="3333" t="s">
        <v>973</v>
      </c>
      <c r="I294" s="3334"/>
      <c r="J294" s="15876"/>
      <c r="K294" s="3335"/>
      <c r="L294" s="2933"/>
      <c r="M294" s="2934"/>
      <c r="N294" s="2089"/>
      <c r="O294" s="2090"/>
      <c r="P294" s="2082" t="s">
        <v>943</v>
      </c>
      <c r="Q294" s="2090"/>
      <c r="R294" s="2090"/>
      <c r="S294" s="2090"/>
      <c r="T294" s="2090"/>
      <c r="U294" s="2090"/>
      <c r="V294" s="2090"/>
      <c r="W294" s="2090"/>
      <c r="X294" s="2090"/>
      <c r="Y294" s="2090"/>
      <c r="Z294" s="2090"/>
      <c r="AA294" s="2090"/>
      <c r="AB294" s="2090"/>
      <c r="AC294" s="2090"/>
      <c r="AD294" s="2090"/>
      <c r="AE294" s="2097"/>
      <c r="AF294" s="3324"/>
      <c r="AG294" s="3325"/>
      <c r="AH294" s="3325"/>
      <c r="AI294" s="3324"/>
      <c r="AJ294" s="3325"/>
      <c r="AK294" s="3325"/>
      <c r="AL294" s="3424"/>
      <c r="AM294" s="2738"/>
      <c r="AN294" s="2738"/>
      <c r="AO294" s="2738"/>
      <c r="AP294" s="2738"/>
      <c r="AQ294" s="2738"/>
      <c r="AR294" s="2738"/>
      <c r="AS294" s="2738"/>
      <c r="AT294" s="2738"/>
      <c r="AU294" s="2738"/>
      <c r="AV294" s="2738"/>
      <c r="AW294" s="2738"/>
      <c r="AX294" s="2738"/>
      <c r="AY294" s="2738"/>
      <c r="AZ294" s="2738"/>
      <c r="BA294" s="2738"/>
      <c r="BB294" s="2738"/>
      <c r="BC294" s="2738"/>
      <c r="BD294" s="2738"/>
      <c r="BE294" s="2738"/>
      <c r="BF294" s="2738"/>
    </row>
    <row customHeight="1" ht="12">
      <c r="A295" s="2080" t="s">
        <v>905</v>
      </c>
      <c r="B295" s="2080"/>
      <c r="C295" s="2080"/>
      <c r="D295" s="2074"/>
      <c r="E295" s="2084"/>
      <c r="F295" s="3354"/>
      <c r="G295" s="2104"/>
      <c r="H295" s="2104"/>
      <c r="I295" s="3352" t="s">
        <v>965</v>
      </c>
      <c r="J295" s="3352"/>
      <c r="K295" s="3352"/>
      <c r="L295" s="2087"/>
      <c r="M295" s="2087"/>
      <c r="N295" s="2088"/>
      <c r="O295" s="2088"/>
      <c r="P295" s="2088"/>
      <c r="Q295" s="2088"/>
      <c r="R295" s="2088"/>
      <c r="S295" s="2088"/>
      <c r="T295" s="2088"/>
      <c r="U295" s="2088"/>
      <c r="V295" s="2088"/>
      <c r="W295" s="2088"/>
      <c r="X295" s="2088"/>
      <c r="Y295" s="2088"/>
      <c r="Z295" s="2088"/>
      <c r="AA295" s="2088"/>
      <c r="AB295" s="2088"/>
      <c r="AC295" s="2088"/>
      <c r="AD295" s="2088"/>
      <c r="AE295" s="2088"/>
      <c r="AF295" s="2088"/>
      <c r="AG295" s="2087"/>
      <c r="AH295" s="2087"/>
      <c r="AI295" s="2088"/>
      <c r="AJ295" s="2087"/>
      <c r="AK295" s="2088"/>
      <c r="AL295" s="3424"/>
      <c r="AM295" s="2738"/>
      <c r="AN295" s="2738"/>
      <c r="AO295" s="2738"/>
      <c r="AP295" s="2738"/>
      <c r="AQ295" s="2738"/>
      <c r="AR295" s="2738"/>
      <c r="AS295" s="2738"/>
      <c r="AT295" s="2738"/>
      <c r="AU295" s="2738"/>
      <c r="AV295" s="2738"/>
      <c r="AW295" s="2738"/>
      <c r="AX295" s="2738"/>
      <c r="AY295" s="2738"/>
      <c r="AZ295" s="2738"/>
      <c r="BA295" s="2738"/>
      <c r="BB295" s="2738"/>
      <c r="BC295" s="2738"/>
      <c r="BD295" s="2738"/>
      <c r="BE295" s="2738"/>
      <c r="BF295" s="2738"/>
    </row>
    <row customHeight="1" ht="18">
      <c r="A296" s="2080" t="s">
        <v>905</v>
      </c>
      <c r="B296" s="2080" t="s">
        <v>944</v>
      </c>
      <c r="C296" s="2080"/>
      <c r="D296" s="2074"/>
      <c r="E296" s="2084"/>
      <c r="F296" s="3353">
        <v>2027</v>
      </c>
      <c r="G296" s="3333"/>
      <c r="H296" s="3333" t="s">
        <v>102</v>
      </c>
      <c r="I296" s="3334" t="s">
        <v>945</v>
      </c>
      <c r="J296" s="3303" t="s">
        <v>946</v>
      </c>
      <c r="K296" s="3335" t="s">
        <v>966</v>
      </c>
      <c r="L296" s="3325" t="s">
        <v>52</v>
      </c>
      <c r="M296" s="2934"/>
      <c r="N296" s="2092"/>
      <c r="O296" s="2091" t="s">
        <v>367</v>
      </c>
      <c r="P296" s="2092"/>
      <c r="Q296" s="2092"/>
      <c r="R296" s="2092"/>
      <c r="S296" s="2092"/>
      <c r="T296" s="2092"/>
      <c r="U296" s="2092"/>
      <c r="V296" s="2092"/>
      <c r="W296" s="2092"/>
      <c r="X296" s="2092"/>
      <c r="Y296" s="2092"/>
      <c r="Z296" s="2092"/>
      <c r="AA296" s="2092"/>
      <c r="AB296" s="2092"/>
      <c r="AC296" s="2092"/>
      <c r="AD296" s="2092"/>
      <c r="AE296" s="2092"/>
      <c r="AF296" s="3324">
        <v>4</v>
      </c>
      <c r="AG296" s="3325" t="s">
        <v>939</v>
      </c>
      <c r="AH296" s="3325" t="s">
        <v>958</v>
      </c>
      <c r="AI296" s="3324"/>
      <c r="AJ296" s="3325"/>
      <c r="AK296" s="3325"/>
      <c r="AL296" s="3424"/>
      <c r="AM296" s="2738"/>
      <c r="AN296" s="2738"/>
      <c r="AO296" s="2738"/>
      <c r="AP296" s="2738"/>
      <c r="AQ296" s="2738"/>
      <c r="AR296" s="2738"/>
      <c r="AS296" s="2738"/>
      <c r="AT296" s="2738"/>
      <c r="AU296" s="2738"/>
      <c r="AV296" s="2738"/>
      <c r="AW296" s="2738"/>
      <c r="AX296" s="2738"/>
      <c r="AY296" s="2738"/>
      <c r="AZ296" s="2738"/>
      <c r="BA296" s="2738"/>
      <c r="BB296" s="2738"/>
      <c r="BC296" s="2738"/>
      <c r="BD296" s="2738"/>
      <c r="BE296" s="2738"/>
      <c r="BF296" s="2738"/>
    </row>
    <row customHeight="1" ht="20.25">
      <c r="A297" s="2080" t="s">
        <v>905</v>
      </c>
      <c r="B297" s="2080"/>
      <c r="C297" s="2080"/>
      <c r="D297" s="2074"/>
      <c r="E297" s="2084"/>
      <c r="F297" s="3353"/>
      <c r="G297" s="3333"/>
      <c r="H297" s="3333"/>
      <c r="I297" s="3334"/>
      <c r="J297" s="3303"/>
      <c r="K297" s="3335"/>
      <c r="L297" s="3325"/>
      <c r="M297" s="2934"/>
      <c r="N297" s="3326"/>
      <c r="O297" s="3327">
        <v>1</v>
      </c>
      <c r="P297" s="3328" t="s">
        <v>52</v>
      </c>
      <c r="Q297" s="3331" t="s">
        <v>18</v>
      </c>
      <c r="R297" s="3331" t="s">
        <v>18</v>
      </c>
      <c r="S297" s="3331" t="s">
        <v>18</v>
      </c>
      <c r="T297" s="3331" t="s">
        <v>18</v>
      </c>
      <c r="U297" s="3331" t="s">
        <v>18</v>
      </c>
      <c r="V297" s="3331" t="s">
        <v>18</v>
      </c>
      <c r="W297" s="3331" t="s">
        <v>18</v>
      </c>
      <c r="X297" s="3331" t="s">
        <v>18</v>
      </c>
      <c r="Y297" s="3331"/>
      <c r="Z297" s="2089"/>
      <c r="AA297" s="2090"/>
      <c r="AB297" s="2090"/>
      <c r="AC297" s="2094"/>
      <c r="AD297" s="2094"/>
      <c r="AE297" s="2095"/>
      <c r="AF297" s="3324"/>
      <c r="AG297" s="3325"/>
      <c r="AH297" s="3325"/>
      <c r="AI297" s="3324"/>
      <c r="AJ297" s="3325"/>
      <c r="AK297" s="3325"/>
      <c r="AL297" s="3424"/>
      <c r="AM297" s="2738"/>
      <c r="AN297" s="2738"/>
      <c r="AO297" s="2738"/>
      <c r="AP297" s="2738"/>
      <c r="AQ297" s="2738"/>
      <c r="AR297" s="2738"/>
      <c r="AS297" s="2738"/>
      <c r="AT297" s="2738"/>
      <c r="AU297" s="2738"/>
      <c r="AV297" s="2738"/>
      <c r="AW297" s="2738"/>
      <c r="AX297" s="2738"/>
      <c r="AY297" s="2738"/>
      <c r="AZ297" s="2738"/>
      <c r="BA297" s="2738"/>
      <c r="BB297" s="2738"/>
      <c r="BC297" s="2738"/>
      <c r="BD297" s="2738"/>
      <c r="BE297" s="2738"/>
      <c r="BF297" s="2738"/>
    </row>
    <row customHeight="1" ht="11.25">
      <c r="A298" s="2080" t="s">
        <v>905</v>
      </c>
      <c r="B298" s="2080"/>
      <c r="C298" s="2080"/>
      <c r="D298" s="2074"/>
      <c r="E298" s="2084"/>
      <c r="F298" s="3353"/>
      <c r="G298" s="3333"/>
      <c r="H298" s="3333"/>
      <c r="I298" s="3334"/>
      <c r="J298" s="3303"/>
      <c r="K298" s="3335"/>
      <c r="L298" s="3325"/>
      <c r="M298" s="2934"/>
      <c r="N298" s="3326"/>
      <c r="O298" s="3327"/>
      <c r="P298" s="3329"/>
      <c r="Q298" s="3331"/>
      <c r="R298" s="3331"/>
      <c r="S298" s="3332"/>
      <c r="T298" s="3331"/>
      <c r="U298" s="3331"/>
      <c r="V298" s="3331"/>
      <c r="W298" s="3331"/>
      <c r="X298" s="3331"/>
      <c r="Y298" s="3331"/>
      <c r="Z298" s="2743"/>
      <c r="AA298" s="2709">
        <v>1</v>
      </c>
      <c r="AB298" s="2093" t="s">
        <v>949</v>
      </c>
      <c r="AC298" s="2083">
        <v>176667.45</v>
      </c>
      <c r="AD298" s="2093" t="str">
        <f>AB298</f>
        <v>      Прочие амортизационные отчисления</v>
      </c>
      <c r="AE298" s="2083"/>
      <c r="AF298" s="3324"/>
      <c r="AG298" s="3325"/>
      <c r="AH298" s="3325"/>
      <c r="AI298" s="3324"/>
      <c r="AJ298" s="3325"/>
      <c r="AK298" s="3325"/>
      <c r="AL298" s="3424"/>
      <c r="AM298" s="2738"/>
      <c r="AN298" s="2738"/>
      <c r="AO298" s="2738"/>
      <c r="AP298" s="2738"/>
      <c r="AQ298" s="2738"/>
      <c r="AR298" s="2738"/>
      <c r="AS298" s="2738"/>
      <c r="AT298" s="2738"/>
      <c r="AU298" s="2738"/>
      <c r="AV298" s="2738"/>
      <c r="AW298" s="2738"/>
      <c r="AX298" s="2738"/>
      <c r="AY298" s="2738"/>
      <c r="AZ298" s="2738"/>
      <c r="BA298" s="2738"/>
      <c r="BB298" s="2738"/>
      <c r="BC298" s="2738"/>
      <c r="BD298" s="2738"/>
      <c r="BE298" s="2738"/>
      <c r="BF298" s="2738"/>
    </row>
    <row customHeight="1" ht="11.25">
      <c r="A299" s="2080" t="s">
        <v>905</v>
      </c>
      <c r="B299" s="2080"/>
      <c r="C299" s="2080"/>
      <c r="D299" s="2074"/>
      <c r="E299" s="2084"/>
      <c r="F299" s="2745"/>
      <c r="G299" s="2745"/>
      <c r="H299" s="2745"/>
      <c r="I299" s="2745"/>
      <c r="J299" s="2745"/>
      <c r="K299" s="2745"/>
      <c r="L299" s="2745"/>
      <c r="M299" s="2745"/>
      <c r="N299" s="2745"/>
      <c r="O299" s="2745"/>
      <c r="P299" s="2745"/>
      <c r="Q299" s="2745"/>
      <c r="R299" s="2745"/>
      <c r="S299" s="2745"/>
      <c r="T299" s="2745"/>
      <c r="U299" s="2745"/>
      <c r="V299" s="2745"/>
      <c r="W299" s="2745"/>
      <c r="X299" s="2745"/>
      <c r="Y299" s="2745"/>
      <c r="Z299" s="24234" t="s">
        <v>844</v>
      </c>
      <c r="AA299" s="2729" t="s">
        <v>103</v>
      </c>
      <c r="AB299" s="2093" t="s">
        <v>941</v>
      </c>
      <c r="AC299" s="2083">
        <v>248691.13</v>
      </c>
      <c r="AD299" s="2093" t="str">
        <f>AB299</f>
        <v>  Прочие</v>
      </c>
      <c r="AE299" s="2083"/>
      <c r="AF299" s="2746"/>
      <c r="AG299" s="2674"/>
      <c r="AH299" s="2674"/>
      <c r="AI299" s="2746"/>
      <c r="AJ299" s="2674"/>
      <c r="AK299" s="3423"/>
      <c r="AL299" s="3424"/>
      <c r="AM299" s="2738"/>
      <c r="AN299" s="2738"/>
      <c r="AO299" s="2738"/>
      <c r="AP299" s="2738"/>
      <c r="AQ299" s="2738"/>
      <c r="AR299" s="2738"/>
      <c r="AS299" s="2738"/>
      <c r="AT299" s="2738"/>
      <c r="AU299" s="2738"/>
      <c r="AV299" s="2738"/>
      <c r="AW299" s="2738"/>
      <c r="AX299" s="2738"/>
      <c r="AY299" s="2738"/>
      <c r="AZ299" s="2738"/>
      <c r="BA299" s="2738"/>
      <c r="BB299" s="2738"/>
      <c r="BC299" s="2738"/>
      <c r="BD299" s="2738"/>
      <c r="BE299" s="2738"/>
      <c r="BF299" s="2738"/>
    </row>
    <row customHeight="1" ht="11.25">
      <c r="A300" s="2080" t="s">
        <v>905</v>
      </c>
      <c r="B300" s="2080"/>
      <c r="C300" s="2080"/>
      <c r="D300" s="2074"/>
      <c r="E300" s="2084"/>
      <c r="F300" s="3353"/>
      <c r="G300" s="3333"/>
      <c r="H300" s="3333"/>
      <c r="I300" s="3334"/>
      <c r="J300" s="3303"/>
      <c r="K300" s="3335"/>
      <c r="L300" s="3325"/>
      <c r="M300" s="2934"/>
      <c r="N300" s="3326"/>
      <c r="O300" s="3327"/>
      <c r="P300" s="3330"/>
      <c r="Q300" s="3331"/>
      <c r="R300" s="3331"/>
      <c r="S300" s="3332"/>
      <c r="T300" s="3331"/>
      <c r="U300" s="3331"/>
      <c r="V300" s="3331"/>
      <c r="W300" s="3331"/>
      <c r="X300" s="3331"/>
      <c r="Y300" s="3331"/>
      <c r="Z300" s="2089"/>
      <c r="AA300" s="2090"/>
      <c r="AB300" s="2155" t="s">
        <v>942</v>
      </c>
      <c r="AC300" s="2094"/>
      <c r="AD300" s="2094"/>
      <c r="AE300" s="2096"/>
      <c r="AF300" s="3324"/>
      <c r="AG300" s="3325"/>
      <c r="AH300" s="3325"/>
      <c r="AI300" s="3324"/>
      <c r="AJ300" s="3325"/>
      <c r="AK300" s="3325"/>
      <c r="AL300" s="3424"/>
      <c r="AM300" s="2738"/>
      <c r="AN300" s="2738"/>
      <c r="AO300" s="2738"/>
      <c r="AP300" s="2738"/>
      <c r="AQ300" s="2738"/>
      <c r="AR300" s="2738"/>
      <c r="AS300" s="2738"/>
      <c r="AT300" s="2738"/>
      <c r="AU300" s="2738"/>
      <c r="AV300" s="2738"/>
      <c r="AW300" s="2738"/>
      <c r="AX300" s="2738"/>
      <c r="AY300" s="2738"/>
      <c r="AZ300" s="2738"/>
      <c r="BA300" s="2738"/>
      <c r="BB300" s="2738"/>
      <c r="BC300" s="2738"/>
      <c r="BD300" s="2738"/>
      <c r="BE300" s="2738"/>
      <c r="BF300" s="2738"/>
    </row>
    <row customHeight="1" ht="17.25">
      <c r="A301" s="2080" t="s">
        <v>905</v>
      </c>
      <c r="B301" s="2080"/>
      <c r="C301" s="2080"/>
      <c r="D301" s="2074"/>
      <c r="E301" s="2084"/>
      <c r="F301" s="3353"/>
      <c r="G301" s="3333"/>
      <c r="H301" s="3333"/>
      <c r="I301" s="3334"/>
      <c r="J301" s="3303"/>
      <c r="K301" s="3335"/>
      <c r="L301" s="3325"/>
      <c r="M301" s="2934"/>
      <c r="N301" s="2090"/>
      <c r="O301" s="2090"/>
      <c r="P301" s="2082" t="s">
        <v>943</v>
      </c>
      <c r="Q301" s="2090"/>
      <c r="R301" s="2090"/>
      <c r="S301" s="2090"/>
      <c r="T301" s="2090"/>
      <c r="U301" s="2090"/>
      <c r="V301" s="2090"/>
      <c r="W301" s="2090"/>
      <c r="X301" s="2090"/>
      <c r="Y301" s="2090"/>
      <c r="Z301" s="2090"/>
      <c r="AA301" s="2090"/>
      <c r="AB301" s="2090"/>
      <c r="AC301" s="2090"/>
      <c r="AD301" s="2090"/>
      <c r="AE301" s="2097"/>
      <c r="AF301" s="3324"/>
      <c r="AG301" s="3325"/>
      <c r="AH301" s="3325"/>
      <c r="AI301" s="3324"/>
      <c r="AJ301" s="3325"/>
      <c r="AK301" s="3325"/>
      <c r="AL301" s="3424"/>
      <c r="AM301" s="2738"/>
      <c r="AN301" s="2738"/>
      <c r="AO301" s="2738"/>
      <c r="AP301" s="2738"/>
      <c r="AQ301" s="2738"/>
      <c r="AR301" s="2738"/>
      <c r="AS301" s="2738"/>
      <c r="AT301" s="2738"/>
      <c r="AU301" s="2738"/>
      <c r="AV301" s="2738"/>
      <c r="AW301" s="2738"/>
      <c r="AX301" s="2738"/>
      <c r="AY301" s="2738"/>
      <c r="AZ301" s="2738"/>
      <c r="BA301" s="2738"/>
      <c r="BB301" s="2738"/>
      <c r="BC301" s="2738"/>
      <c r="BD301" s="2738"/>
      <c r="BE301" s="2738"/>
      <c r="BF301" s="2738"/>
    </row>
    <row customHeight="1" ht="11.25">
      <c r="A302" s="2080" t="s">
        <v>905</v>
      </c>
      <c r="B302" s="2080" t="s">
        <v>944</v>
      </c>
      <c r="C302" s="2080"/>
      <c r="D302" s="2074"/>
      <c r="E302" s="2084"/>
      <c r="F302" s="2744"/>
      <c r="G302" s="24234" t="s">
        <v>844</v>
      </c>
      <c r="H302" s="3333" t="s">
        <v>103</v>
      </c>
      <c r="I302" s="3334" t="s">
        <v>945</v>
      </c>
      <c r="J302" s="3303" t="s">
        <v>946</v>
      </c>
      <c r="K302" s="3335" t="s">
        <v>980</v>
      </c>
      <c r="L302" s="2933" t="s">
        <v>52</v>
      </c>
      <c r="M302" s="2934"/>
      <c r="N302" s="3422"/>
      <c r="O302" s="2091" t="s">
        <v>367</v>
      </c>
      <c r="P302" s="2092"/>
      <c r="Q302" s="2092"/>
      <c r="R302" s="2092"/>
      <c r="S302" s="2092"/>
      <c r="T302" s="2092"/>
      <c r="U302" s="2092"/>
      <c r="V302" s="2092"/>
      <c r="W302" s="2092"/>
      <c r="X302" s="2092"/>
      <c r="Y302" s="2092"/>
      <c r="Z302" s="2092"/>
      <c r="AA302" s="2092"/>
      <c r="AB302" s="2092"/>
      <c r="AC302" s="2092"/>
      <c r="AD302" s="2092"/>
      <c r="AE302" s="2092"/>
      <c r="AF302" s="3324">
        <v>2</v>
      </c>
      <c r="AG302" s="3325" t="s">
        <v>939</v>
      </c>
      <c r="AH302" s="3325" t="s">
        <v>953</v>
      </c>
      <c r="AI302" s="3324"/>
      <c r="AJ302" s="3325"/>
      <c r="AK302" s="3325"/>
      <c r="AL302" s="3424"/>
      <c r="AM302" s="2738"/>
      <c r="AN302" s="2738"/>
      <c r="AO302" s="2738"/>
      <c r="AP302" s="2738"/>
      <c r="AQ302" s="2738"/>
      <c r="AR302" s="2738"/>
      <c r="AS302" s="2738"/>
      <c r="AT302" s="2738"/>
      <c r="AU302" s="2738"/>
      <c r="AV302" s="2738"/>
      <c r="AW302" s="2738"/>
      <c r="AX302" s="2738"/>
      <c r="AY302" s="2738"/>
      <c r="AZ302" s="2738"/>
      <c r="BA302" s="2738"/>
      <c r="BB302" s="2738"/>
      <c r="BC302" s="2738"/>
      <c r="BD302" s="2738"/>
      <c r="BE302" s="2738"/>
      <c r="BF302" s="2738"/>
    </row>
    <row customHeight="1" ht="21.75">
      <c r="A303" s="2080" t="s">
        <v>905</v>
      </c>
      <c r="B303" s="2080"/>
      <c r="C303" s="2080"/>
      <c r="D303" s="2074"/>
      <c r="E303" s="2084"/>
      <c r="F303" s="2744"/>
      <c r="G303" s="2745"/>
      <c r="H303" s="3333" t="s">
        <v>102</v>
      </c>
      <c r="I303" s="3334"/>
      <c r="J303" s="3303"/>
      <c r="K303" s="3335"/>
      <c r="L303" s="2933"/>
      <c r="M303" s="2934"/>
      <c r="N303" s="3398"/>
      <c r="O303" s="3421">
        <v>1</v>
      </c>
      <c r="P303" s="3328" t="s">
        <v>52</v>
      </c>
      <c r="Q303" s="3331" t="s">
        <v>18</v>
      </c>
      <c r="R303" s="3331" t="s">
        <v>18</v>
      </c>
      <c r="S303" s="3331" t="s">
        <v>18</v>
      </c>
      <c r="T303" s="3331" t="s">
        <v>18</v>
      </c>
      <c r="U303" s="3331" t="s">
        <v>18</v>
      </c>
      <c r="V303" s="3331" t="s">
        <v>18</v>
      </c>
      <c r="W303" s="3331" t="s">
        <v>18</v>
      </c>
      <c r="X303" s="3331" t="s">
        <v>18</v>
      </c>
      <c r="Y303" s="3331"/>
      <c r="Z303" s="2089"/>
      <c r="AA303" s="2090"/>
      <c r="AB303" s="2090"/>
      <c r="AC303" s="2094"/>
      <c r="AD303" s="2094"/>
      <c r="AE303" s="2095"/>
      <c r="AF303" s="3324"/>
      <c r="AG303" s="3325"/>
      <c r="AH303" s="3325"/>
      <c r="AI303" s="3324"/>
      <c r="AJ303" s="3325"/>
      <c r="AK303" s="3325"/>
      <c r="AL303" s="3424"/>
      <c r="AM303" s="2738"/>
      <c r="AN303" s="2738"/>
      <c r="AO303" s="2738"/>
      <c r="AP303" s="2738"/>
      <c r="AQ303" s="2738"/>
      <c r="AR303" s="2738"/>
      <c r="AS303" s="2738"/>
      <c r="AT303" s="2738"/>
      <c r="AU303" s="2738"/>
      <c r="AV303" s="2738"/>
      <c r="AW303" s="2738"/>
      <c r="AX303" s="2738"/>
      <c r="AY303" s="2738"/>
      <c r="AZ303" s="2738"/>
      <c r="BA303" s="2738"/>
      <c r="BB303" s="2738"/>
      <c r="BC303" s="2738"/>
      <c r="BD303" s="2738"/>
      <c r="BE303" s="2738"/>
      <c r="BF303" s="2738"/>
    </row>
    <row customHeight="1" ht="11.25">
      <c r="A304" s="2080" t="s">
        <v>905</v>
      </c>
      <c r="B304" s="2080"/>
      <c r="C304" s="2080"/>
      <c r="D304" s="2074"/>
      <c r="E304" s="2084"/>
      <c r="F304" s="2744"/>
      <c r="G304" s="2745"/>
      <c r="H304" s="3333" t="s">
        <v>102</v>
      </c>
      <c r="I304" s="3334"/>
      <c r="J304" s="3303"/>
      <c r="K304" s="3335"/>
      <c r="L304" s="2933"/>
      <c r="M304" s="2934"/>
      <c r="N304" s="3398"/>
      <c r="O304" s="3421"/>
      <c r="P304" s="3329"/>
      <c r="Q304" s="3331"/>
      <c r="R304" s="3331"/>
      <c r="S304" s="3332"/>
      <c r="T304" s="3331"/>
      <c r="U304" s="3331"/>
      <c r="V304" s="3331"/>
      <c r="W304" s="3331"/>
      <c r="X304" s="3331"/>
      <c r="Y304" s="3331"/>
      <c r="Z304" s="2743"/>
      <c r="AA304" s="2709">
        <v>1</v>
      </c>
      <c r="AB304" s="2093" t="s">
        <v>949</v>
      </c>
      <c r="AC304" s="2083">
        <v>176667.45</v>
      </c>
      <c r="AD304" s="2093" t="str">
        <f>AB304</f>
        <v>      Прочие амортизационные отчисления</v>
      </c>
      <c r="AE304" s="2083"/>
      <c r="AF304" s="3324"/>
      <c r="AG304" s="3325"/>
      <c r="AH304" s="3325"/>
      <c r="AI304" s="3324"/>
      <c r="AJ304" s="3325"/>
      <c r="AK304" s="3325"/>
      <c r="AL304" s="3424"/>
      <c r="AM304" s="2738"/>
      <c r="AN304" s="2738"/>
      <c r="AO304" s="2738"/>
      <c r="AP304" s="2738"/>
      <c r="AQ304" s="2738"/>
      <c r="AR304" s="2738"/>
      <c r="AS304" s="2738"/>
      <c r="AT304" s="2738"/>
      <c r="AU304" s="2738"/>
      <c r="AV304" s="2738"/>
      <c r="AW304" s="2738"/>
      <c r="AX304" s="2738"/>
      <c r="AY304" s="2738"/>
      <c r="AZ304" s="2738"/>
      <c r="BA304" s="2738"/>
      <c r="BB304" s="2738"/>
      <c r="BC304" s="2738"/>
      <c r="BD304" s="2738"/>
      <c r="BE304" s="2738"/>
      <c r="BF304" s="2738"/>
    </row>
    <row customHeight="1" ht="11.25">
      <c r="A305" s="2080" t="s">
        <v>905</v>
      </c>
      <c r="B305" s="2080"/>
      <c r="C305" s="2080"/>
      <c r="D305" s="2074"/>
      <c r="E305" s="2084"/>
      <c r="F305" s="2745"/>
      <c r="G305" s="2745"/>
      <c r="H305" s="2745"/>
      <c r="I305" s="2745"/>
      <c r="J305" s="2745"/>
      <c r="K305" s="2745"/>
      <c r="L305" s="2745"/>
      <c r="M305" s="2745"/>
      <c r="N305" s="2745"/>
      <c r="O305" s="2745"/>
      <c r="P305" s="2745"/>
      <c r="Q305" s="2745"/>
      <c r="R305" s="2745"/>
      <c r="S305" s="2745"/>
      <c r="T305" s="2745"/>
      <c r="U305" s="2745"/>
      <c r="V305" s="2745"/>
      <c r="W305" s="2745"/>
      <c r="X305" s="2745"/>
      <c r="Y305" s="2745"/>
      <c r="Z305" s="24234" t="s">
        <v>844</v>
      </c>
      <c r="AA305" s="2729" t="s">
        <v>103</v>
      </c>
      <c r="AB305" s="2093" t="s">
        <v>941</v>
      </c>
      <c r="AC305" s="2083">
        <v>199774.89</v>
      </c>
      <c r="AD305" s="2093" t="str">
        <f>AB305</f>
        <v>  Прочие</v>
      </c>
      <c r="AE305" s="2083"/>
      <c r="AF305" s="2746"/>
      <c r="AG305" s="2674"/>
      <c r="AH305" s="2674"/>
      <c r="AI305" s="2746"/>
      <c r="AJ305" s="2674"/>
      <c r="AK305" s="3423"/>
      <c r="AL305" s="3424"/>
      <c r="AM305" s="2738"/>
      <c r="AN305" s="2738"/>
      <c r="AO305" s="2738"/>
      <c r="AP305" s="2738"/>
      <c r="AQ305" s="2738"/>
      <c r="AR305" s="2738"/>
      <c r="AS305" s="2738"/>
      <c r="AT305" s="2738"/>
      <c r="AU305" s="2738"/>
      <c r="AV305" s="2738"/>
      <c r="AW305" s="2738"/>
      <c r="AX305" s="2738"/>
      <c r="AY305" s="2738"/>
      <c r="AZ305" s="2738"/>
      <c r="BA305" s="2738"/>
      <c r="BB305" s="2738"/>
      <c r="BC305" s="2738"/>
      <c r="BD305" s="2738"/>
      <c r="BE305" s="2738"/>
      <c r="BF305" s="2738"/>
    </row>
    <row customHeight="1" ht="11.25">
      <c r="A306" s="2080" t="s">
        <v>905</v>
      </c>
      <c r="B306" s="2080"/>
      <c r="C306" s="2080"/>
      <c r="D306" s="2074"/>
      <c r="E306" s="2084"/>
      <c r="F306" s="2744"/>
      <c r="G306" s="2745"/>
      <c r="H306" s="3333" t="s">
        <v>102</v>
      </c>
      <c r="I306" s="3334"/>
      <c r="J306" s="3303"/>
      <c r="K306" s="3335"/>
      <c r="L306" s="2933"/>
      <c r="M306" s="2934"/>
      <c r="N306" s="3398"/>
      <c r="O306" s="3421"/>
      <c r="P306" s="3330"/>
      <c r="Q306" s="3331"/>
      <c r="R306" s="3331"/>
      <c r="S306" s="3332"/>
      <c r="T306" s="3331"/>
      <c r="U306" s="3331"/>
      <c r="V306" s="3331"/>
      <c r="W306" s="3331"/>
      <c r="X306" s="3331"/>
      <c r="Y306" s="3331"/>
      <c r="Z306" s="2089"/>
      <c r="AA306" s="2090"/>
      <c r="AB306" s="2155" t="s">
        <v>942</v>
      </c>
      <c r="AC306" s="2094"/>
      <c r="AD306" s="2094"/>
      <c r="AE306" s="2096"/>
      <c r="AF306" s="3324"/>
      <c r="AG306" s="3325"/>
      <c r="AH306" s="3325"/>
      <c r="AI306" s="3324"/>
      <c r="AJ306" s="3325"/>
      <c r="AK306" s="3325"/>
      <c r="AL306" s="3424"/>
      <c r="AM306" s="2738"/>
      <c r="AN306" s="2738"/>
      <c r="AO306" s="2738"/>
      <c r="AP306" s="2738"/>
      <c r="AQ306" s="2738"/>
      <c r="AR306" s="2738"/>
      <c r="AS306" s="2738"/>
      <c r="AT306" s="2738"/>
      <c r="AU306" s="2738"/>
      <c r="AV306" s="2738"/>
      <c r="AW306" s="2738"/>
      <c r="AX306" s="2738"/>
      <c r="AY306" s="2738"/>
      <c r="AZ306" s="2738"/>
      <c r="BA306" s="2738"/>
      <c r="BB306" s="2738"/>
      <c r="BC306" s="2738"/>
      <c r="BD306" s="2738"/>
      <c r="BE306" s="2738"/>
      <c r="BF306" s="2738"/>
    </row>
    <row customHeight="1" ht="11.25">
      <c r="A307" s="2080" t="s">
        <v>905</v>
      </c>
      <c r="B307" s="2080"/>
      <c r="C307" s="2080"/>
      <c r="D307" s="2074"/>
      <c r="E307" s="2084"/>
      <c r="F307" s="2744"/>
      <c r="G307" s="2745"/>
      <c r="H307" s="3333" t="s">
        <v>102</v>
      </c>
      <c r="I307" s="3334"/>
      <c r="J307" s="3303"/>
      <c r="K307" s="3335"/>
      <c r="L307" s="2933"/>
      <c r="M307" s="2934"/>
      <c r="N307" s="2089"/>
      <c r="O307" s="2090"/>
      <c r="P307" s="2082" t="s">
        <v>943</v>
      </c>
      <c r="Q307" s="2090"/>
      <c r="R307" s="2090"/>
      <c r="S307" s="2090"/>
      <c r="T307" s="2090"/>
      <c r="U307" s="2090"/>
      <c r="V307" s="2090"/>
      <c r="W307" s="2090"/>
      <c r="X307" s="2090"/>
      <c r="Y307" s="2090"/>
      <c r="Z307" s="2090"/>
      <c r="AA307" s="2090"/>
      <c r="AB307" s="2090"/>
      <c r="AC307" s="2090"/>
      <c r="AD307" s="2090"/>
      <c r="AE307" s="2097"/>
      <c r="AF307" s="3324"/>
      <c r="AG307" s="3325"/>
      <c r="AH307" s="3325"/>
      <c r="AI307" s="3324"/>
      <c r="AJ307" s="3325"/>
      <c r="AK307" s="3325"/>
      <c r="AL307" s="3424"/>
      <c r="AM307" s="2738"/>
      <c r="AN307" s="2738"/>
      <c r="AO307" s="2738"/>
      <c r="AP307" s="2738"/>
      <c r="AQ307" s="2738"/>
      <c r="AR307" s="2738"/>
      <c r="AS307" s="2738"/>
      <c r="AT307" s="2738"/>
      <c r="AU307" s="2738"/>
      <c r="AV307" s="2738"/>
      <c r="AW307" s="2738"/>
      <c r="AX307" s="2738"/>
      <c r="AY307" s="2738"/>
      <c r="AZ307" s="2738"/>
      <c r="BA307" s="2738"/>
      <c r="BB307" s="2738"/>
      <c r="BC307" s="2738"/>
      <c r="BD307" s="2738"/>
      <c r="BE307" s="2738"/>
      <c r="BF307" s="2738"/>
    </row>
    <row customHeight="1" ht="20.25">
      <c r="A308" s="2080" t="s">
        <v>905</v>
      </c>
      <c r="B308" s="2080" t="s">
        <v>944</v>
      </c>
      <c r="C308" s="2080"/>
      <c r="D308" s="2074"/>
      <c r="E308" s="2084"/>
      <c r="F308" s="2744"/>
      <c r="G308" s="24234" t="s">
        <v>844</v>
      </c>
      <c r="H308" s="3333" t="s">
        <v>86</v>
      </c>
      <c r="I308" s="3334" t="s">
        <v>945</v>
      </c>
      <c r="J308" s="3303" t="s">
        <v>946</v>
      </c>
      <c r="K308" s="3335" t="s">
        <v>984</v>
      </c>
      <c r="L308" s="2933" t="s">
        <v>52</v>
      </c>
      <c r="M308" s="2934"/>
      <c r="N308" s="3422"/>
      <c r="O308" s="2091" t="s">
        <v>367</v>
      </c>
      <c r="P308" s="2092"/>
      <c r="Q308" s="2092"/>
      <c r="R308" s="2092"/>
      <c r="S308" s="2092"/>
      <c r="T308" s="2092"/>
      <c r="U308" s="2092"/>
      <c r="V308" s="2092"/>
      <c r="W308" s="2092"/>
      <c r="X308" s="2092"/>
      <c r="Y308" s="2092"/>
      <c r="Z308" s="2092"/>
      <c r="AA308" s="2092"/>
      <c r="AB308" s="2092"/>
      <c r="AC308" s="2092"/>
      <c r="AD308" s="2092"/>
      <c r="AE308" s="2092"/>
      <c r="AF308" s="3324">
        <v>2</v>
      </c>
      <c r="AG308" s="3325" t="s">
        <v>939</v>
      </c>
      <c r="AH308" s="3325" t="s">
        <v>958</v>
      </c>
      <c r="AI308" s="3324"/>
      <c r="AJ308" s="3325"/>
      <c r="AK308" s="3325"/>
      <c r="AL308" s="3424"/>
      <c r="AM308" s="2738"/>
      <c r="AN308" s="2738"/>
      <c r="AO308" s="2738"/>
      <c r="AP308" s="2738"/>
      <c r="AQ308" s="2738"/>
      <c r="AR308" s="2738"/>
      <c r="AS308" s="2738"/>
      <c r="AT308" s="2738"/>
      <c r="AU308" s="2738"/>
      <c r="AV308" s="2738"/>
      <c r="AW308" s="2738"/>
      <c r="AX308" s="2738"/>
      <c r="AY308" s="2738"/>
      <c r="AZ308" s="2738"/>
      <c r="BA308" s="2738"/>
      <c r="BB308" s="2738"/>
      <c r="BC308" s="2738"/>
      <c r="BD308" s="2738"/>
      <c r="BE308" s="2738"/>
      <c r="BF308" s="2738"/>
    </row>
    <row customHeight="1" ht="11.25">
      <c r="A309" s="2080" t="s">
        <v>905</v>
      </c>
      <c r="B309" s="2080"/>
      <c r="C309" s="2080"/>
      <c r="D309" s="2074"/>
      <c r="E309" s="2084"/>
      <c r="F309" s="2744"/>
      <c r="G309" s="2745"/>
      <c r="H309" s="3333" t="s">
        <v>103</v>
      </c>
      <c r="I309" s="3334"/>
      <c r="J309" s="3303"/>
      <c r="K309" s="3335"/>
      <c r="L309" s="2933"/>
      <c r="M309" s="2934"/>
      <c r="N309" s="3398"/>
      <c r="O309" s="3421">
        <v>1</v>
      </c>
      <c r="P309" s="3328" t="s">
        <v>52</v>
      </c>
      <c r="Q309" s="3331" t="s">
        <v>18</v>
      </c>
      <c r="R309" s="3331" t="s">
        <v>18</v>
      </c>
      <c r="S309" s="3331" t="s">
        <v>18</v>
      </c>
      <c r="T309" s="3331" t="s">
        <v>18</v>
      </c>
      <c r="U309" s="3331" t="s">
        <v>18</v>
      </c>
      <c r="V309" s="3331" t="s">
        <v>18</v>
      </c>
      <c r="W309" s="3331" t="s">
        <v>18</v>
      </c>
      <c r="X309" s="3331" t="s">
        <v>18</v>
      </c>
      <c r="Y309" s="3331"/>
      <c r="Z309" s="2089"/>
      <c r="AA309" s="2090"/>
      <c r="AB309" s="2090"/>
      <c r="AC309" s="2094"/>
      <c r="AD309" s="2094"/>
      <c r="AE309" s="2095"/>
      <c r="AF309" s="3324"/>
      <c r="AG309" s="3325"/>
      <c r="AH309" s="3325"/>
      <c r="AI309" s="3324"/>
      <c r="AJ309" s="3325"/>
      <c r="AK309" s="3325"/>
      <c r="AL309" s="3424"/>
      <c r="AM309" s="2738"/>
      <c r="AN309" s="2738"/>
      <c r="AO309" s="2738"/>
      <c r="AP309" s="2738"/>
      <c r="AQ309" s="2738"/>
      <c r="AR309" s="2738"/>
      <c r="AS309" s="2738"/>
      <c r="AT309" s="2738"/>
      <c r="AU309" s="2738"/>
      <c r="AV309" s="2738"/>
      <c r="AW309" s="2738"/>
      <c r="AX309" s="2738"/>
      <c r="AY309" s="2738"/>
      <c r="AZ309" s="2738"/>
      <c r="BA309" s="2738"/>
      <c r="BB309" s="2738"/>
      <c r="BC309" s="2738"/>
      <c r="BD309" s="2738"/>
      <c r="BE309" s="2738"/>
      <c r="BF309" s="2738"/>
    </row>
    <row customHeight="1" ht="11.25">
      <c r="A310" s="2080" t="s">
        <v>905</v>
      </c>
      <c r="B310" s="2080"/>
      <c r="C310" s="2080"/>
      <c r="D310" s="2074"/>
      <c r="E310" s="2084"/>
      <c r="F310" s="2744"/>
      <c r="G310" s="2745"/>
      <c r="H310" s="3333" t="s">
        <v>103</v>
      </c>
      <c r="I310" s="3334"/>
      <c r="J310" s="3303"/>
      <c r="K310" s="3335"/>
      <c r="L310" s="2933"/>
      <c r="M310" s="2934"/>
      <c r="N310" s="3398"/>
      <c r="O310" s="3421"/>
      <c r="P310" s="3329"/>
      <c r="Q310" s="3331"/>
      <c r="R310" s="3331"/>
      <c r="S310" s="3332"/>
      <c r="T310" s="3331"/>
      <c r="U310" s="3331"/>
      <c r="V310" s="3331"/>
      <c r="W310" s="3331"/>
      <c r="X310" s="3331"/>
      <c r="Y310" s="3331"/>
      <c r="Z310" s="2743"/>
      <c r="AA310" s="2709">
        <v>1</v>
      </c>
      <c r="AB310" s="2093" t="s">
        <v>949</v>
      </c>
      <c r="AC310" s="2083">
        <v>77692.79</v>
      </c>
      <c r="AD310" s="2093" t="str">
        <f>AB310</f>
        <v>      Прочие амортизационные отчисления</v>
      </c>
      <c r="AE310" s="2083"/>
      <c r="AF310" s="3324"/>
      <c r="AG310" s="3325"/>
      <c r="AH310" s="3325"/>
      <c r="AI310" s="3324"/>
      <c r="AJ310" s="3325"/>
      <c r="AK310" s="3325"/>
      <c r="AL310" s="3424"/>
      <c r="AM310" s="2738"/>
      <c r="AN310" s="2738"/>
      <c r="AO310" s="2738"/>
      <c r="AP310" s="2738"/>
      <c r="AQ310" s="2738"/>
      <c r="AR310" s="2738"/>
      <c r="AS310" s="2738"/>
      <c r="AT310" s="2738"/>
      <c r="AU310" s="2738"/>
      <c r="AV310" s="2738"/>
      <c r="AW310" s="2738"/>
      <c r="AX310" s="2738"/>
      <c r="AY310" s="2738"/>
      <c r="AZ310" s="2738"/>
      <c r="BA310" s="2738"/>
      <c r="BB310" s="2738"/>
      <c r="BC310" s="2738"/>
      <c r="BD310" s="2738"/>
      <c r="BE310" s="2738"/>
      <c r="BF310" s="2738"/>
    </row>
    <row customHeight="1" ht="11.25">
      <c r="A311" s="2080" t="s">
        <v>905</v>
      </c>
      <c r="B311" s="2080"/>
      <c r="C311" s="2080"/>
      <c r="D311" s="2074"/>
      <c r="E311" s="2084"/>
      <c r="F311" s="2745"/>
      <c r="G311" s="2745"/>
      <c r="H311" s="2745"/>
      <c r="I311" s="2745"/>
      <c r="J311" s="2745"/>
      <c r="K311" s="2745"/>
      <c r="L311" s="2745"/>
      <c r="M311" s="2745"/>
      <c r="N311" s="2745"/>
      <c r="O311" s="2745"/>
      <c r="P311" s="2745"/>
      <c r="Q311" s="2745"/>
      <c r="R311" s="2745"/>
      <c r="S311" s="2745"/>
      <c r="T311" s="2745"/>
      <c r="U311" s="2745"/>
      <c r="V311" s="2745"/>
      <c r="W311" s="2745"/>
      <c r="X311" s="2745"/>
      <c r="Y311" s="2745"/>
      <c r="Z311" s="24234" t="s">
        <v>844</v>
      </c>
      <c r="AA311" s="2729" t="s">
        <v>103</v>
      </c>
      <c r="AB311" s="2093" t="s">
        <v>941</v>
      </c>
      <c r="AC311" s="2083">
        <v>122307.21</v>
      </c>
      <c r="AD311" s="2093" t="str">
        <f>AB311</f>
        <v>  Прочие</v>
      </c>
      <c r="AE311" s="2083"/>
      <c r="AF311" s="2746"/>
      <c r="AG311" s="2674"/>
      <c r="AH311" s="2674"/>
      <c r="AI311" s="2746"/>
      <c r="AJ311" s="2674"/>
      <c r="AK311" s="3423"/>
      <c r="AL311" s="3424"/>
      <c r="AM311" s="2738"/>
      <c r="AN311" s="2738"/>
      <c r="AO311" s="2738"/>
      <c r="AP311" s="2738"/>
      <c r="AQ311" s="2738"/>
      <c r="AR311" s="2738"/>
      <c r="AS311" s="2738"/>
      <c r="AT311" s="2738"/>
      <c r="AU311" s="2738"/>
      <c r="AV311" s="2738"/>
      <c r="AW311" s="2738"/>
      <c r="AX311" s="2738"/>
      <c r="AY311" s="2738"/>
      <c r="AZ311" s="2738"/>
      <c r="BA311" s="2738"/>
      <c r="BB311" s="2738"/>
      <c r="BC311" s="2738"/>
      <c r="BD311" s="2738"/>
      <c r="BE311" s="2738"/>
      <c r="BF311" s="2738"/>
    </row>
    <row customHeight="1" ht="11.25">
      <c r="A312" s="2080" t="s">
        <v>905</v>
      </c>
      <c r="B312" s="2080"/>
      <c r="C312" s="2080"/>
      <c r="D312" s="2074"/>
      <c r="E312" s="2084"/>
      <c r="F312" s="2744"/>
      <c r="G312" s="2745"/>
      <c r="H312" s="3333" t="s">
        <v>103</v>
      </c>
      <c r="I312" s="3334"/>
      <c r="J312" s="3303"/>
      <c r="K312" s="3335"/>
      <c r="L312" s="2933"/>
      <c r="M312" s="2934"/>
      <c r="N312" s="3398"/>
      <c r="O312" s="3421"/>
      <c r="P312" s="3330"/>
      <c r="Q312" s="3331"/>
      <c r="R312" s="3331"/>
      <c r="S312" s="3332"/>
      <c r="T312" s="3331"/>
      <c r="U312" s="3331"/>
      <c r="V312" s="3331"/>
      <c r="W312" s="3331"/>
      <c r="X312" s="3331"/>
      <c r="Y312" s="3331"/>
      <c r="Z312" s="2089"/>
      <c r="AA312" s="2090"/>
      <c r="AB312" s="2155" t="s">
        <v>942</v>
      </c>
      <c r="AC312" s="2094"/>
      <c r="AD312" s="2094"/>
      <c r="AE312" s="2096"/>
      <c r="AF312" s="3324"/>
      <c r="AG312" s="3325"/>
      <c r="AH312" s="3325"/>
      <c r="AI312" s="3324"/>
      <c r="AJ312" s="3325"/>
      <c r="AK312" s="3325"/>
      <c r="AL312" s="3424"/>
      <c r="AM312" s="2738"/>
      <c r="AN312" s="2738"/>
      <c r="AO312" s="2738"/>
      <c r="AP312" s="2738"/>
      <c r="AQ312" s="2738"/>
      <c r="AR312" s="2738"/>
      <c r="AS312" s="2738"/>
      <c r="AT312" s="2738"/>
      <c r="AU312" s="2738"/>
      <c r="AV312" s="2738"/>
      <c r="AW312" s="2738"/>
      <c r="AX312" s="2738"/>
      <c r="AY312" s="2738"/>
      <c r="AZ312" s="2738"/>
      <c r="BA312" s="2738"/>
      <c r="BB312" s="2738"/>
      <c r="BC312" s="2738"/>
      <c r="BD312" s="2738"/>
      <c r="BE312" s="2738"/>
      <c r="BF312" s="2738"/>
    </row>
    <row customHeight="1" ht="12.75">
      <c r="A313" s="2080" t="s">
        <v>905</v>
      </c>
      <c r="B313" s="2080"/>
      <c r="C313" s="2080"/>
      <c r="D313" s="2074"/>
      <c r="E313" s="2084"/>
      <c r="F313" s="2744"/>
      <c r="G313" s="2745"/>
      <c r="H313" s="3333" t="s">
        <v>103</v>
      </c>
      <c r="I313" s="3334"/>
      <c r="J313" s="3303"/>
      <c r="K313" s="3335"/>
      <c r="L313" s="2933"/>
      <c r="M313" s="2934"/>
      <c r="N313" s="2089"/>
      <c r="O313" s="2090"/>
      <c r="P313" s="2082" t="s">
        <v>943</v>
      </c>
      <c r="Q313" s="2090"/>
      <c r="R313" s="2090"/>
      <c r="S313" s="2090"/>
      <c r="T313" s="2090"/>
      <c r="U313" s="2090"/>
      <c r="V313" s="2090"/>
      <c r="W313" s="2090"/>
      <c r="X313" s="2090"/>
      <c r="Y313" s="2090"/>
      <c r="Z313" s="2090"/>
      <c r="AA313" s="2090"/>
      <c r="AB313" s="2090"/>
      <c r="AC313" s="2090"/>
      <c r="AD313" s="2090"/>
      <c r="AE313" s="2097"/>
      <c r="AF313" s="3324"/>
      <c r="AG313" s="3325"/>
      <c r="AH313" s="3325"/>
      <c r="AI313" s="3324"/>
      <c r="AJ313" s="3325"/>
      <c r="AK313" s="3325"/>
      <c r="AL313" s="3424"/>
      <c r="AM313" s="2738"/>
      <c r="AN313" s="2738"/>
      <c r="AO313" s="2738"/>
      <c r="AP313" s="2738"/>
      <c r="AQ313" s="2738"/>
      <c r="AR313" s="2738"/>
      <c r="AS313" s="2738"/>
      <c r="AT313" s="2738"/>
      <c r="AU313" s="2738"/>
      <c r="AV313" s="2738"/>
      <c r="AW313" s="2738"/>
      <c r="AX313" s="2738"/>
      <c r="AY313" s="2738"/>
      <c r="AZ313" s="2738"/>
      <c r="BA313" s="2738"/>
      <c r="BB313" s="2738"/>
      <c r="BC313" s="2738"/>
      <c r="BD313" s="2738"/>
      <c r="BE313" s="2738"/>
      <c r="BF313" s="2738"/>
    </row>
    <row customHeight="1" ht="19.5">
      <c r="A314" s="2080" t="s">
        <v>905</v>
      </c>
      <c r="B314" s="2080" t="s">
        <v>944</v>
      </c>
      <c r="C314" s="2080"/>
      <c r="D314" s="2074"/>
      <c r="E314" s="2084"/>
      <c r="F314" s="2744"/>
      <c r="G314" s="24234" t="s">
        <v>844</v>
      </c>
      <c r="H314" s="3333" t="s">
        <v>87</v>
      </c>
      <c r="I314" s="3334" t="s">
        <v>945</v>
      </c>
      <c r="J314" s="3303" t="s">
        <v>946</v>
      </c>
      <c r="K314" s="3335" t="s">
        <v>982</v>
      </c>
      <c r="L314" s="2933" t="s">
        <v>52</v>
      </c>
      <c r="M314" s="2934"/>
      <c r="N314" s="3422"/>
      <c r="O314" s="2091" t="s">
        <v>367</v>
      </c>
      <c r="P314" s="2092"/>
      <c r="Q314" s="2092"/>
      <c r="R314" s="2092"/>
      <c r="S314" s="2092"/>
      <c r="T314" s="2092"/>
      <c r="U314" s="2092"/>
      <c r="V314" s="2092"/>
      <c r="W314" s="2092"/>
      <c r="X314" s="2092"/>
      <c r="Y314" s="2092"/>
      <c r="Z314" s="2092"/>
      <c r="AA314" s="2092"/>
      <c r="AB314" s="2092"/>
      <c r="AC314" s="2092"/>
      <c r="AD314" s="2092"/>
      <c r="AE314" s="2092"/>
      <c r="AF314" s="3324">
        <v>3</v>
      </c>
      <c r="AG314" s="3325" t="s">
        <v>939</v>
      </c>
      <c r="AH314" s="3325" t="s">
        <v>958</v>
      </c>
      <c r="AI314" s="3324"/>
      <c r="AJ314" s="3325"/>
      <c r="AK314" s="3325"/>
      <c r="AL314" s="3424"/>
      <c r="AM314" s="2738"/>
      <c r="AN314" s="2738"/>
      <c r="AO314" s="2738"/>
      <c r="AP314" s="2738"/>
      <c r="AQ314" s="2738"/>
      <c r="AR314" s="2738"/>
      <c r="AS314" s="2738"/>
      <c r="AT314" s="2738"/>
      <c r="AU314" s="2738"/>
      <c r="AV314" s="2738"/>
      <c r="AW314" s="2738"/>
      <c r="AX314" s="2738"/>
      <c r="AY314" s="2738"/>
      <c r="AZ314" s="2738"/>
      <c r="BA314" s="2738"/>
      <c r="BB314" s="2738"/>
      <c r="BC314" s="2738"/>
      <c r="BD314" s="2738"/>
      <c r="BE314" s="2738"/>
      <c r="BF314" s="2738"/>
    </row>
    <row customHeight="1" ht="21.75">
      <c r="A315" s="2080" t="s">
        <v>905</v>
      </c>
      <c r="B315" s="2080"/>
      <c r="C315" s="2080"/>
      <c r="D315" s="2074"/>
      <c r="E315" s="2084"/>
      <c r="F315" s="2744"/>
      <c r="G315" s="2745"/>
      <c r="H315" s="3333" t="s">
        <v>86</v>
      </c>
      <c r="I315" s="3334"/>
      <c r="J315" s="3303"/>
      <c r="K315" s="3335"/>
      <c r="L315" s="2933"/>
      <c r="M315" s="2934"/>
      <c r="N315" s="3398"/>
      <c r="O315" s="3421">
        <v>1</v>
      </c>
      <c r="P315" s="3328" t="s">
        <v>52</v>
      </c>
      <c r="Q315" s="3331" t="s">
        <v>18</v>
      </c>
      <c r="R315" s="3331" t="s">
        <v>18</v>
      </c>
      <c r="S315" s="3331" t="s">
        <v>18</v>
      </c>
      <c r="T315" s="3331" t="s">
        <v>18</v>
      </c>
      <c r="U315" s="3331" t="s">
        <v>18</v>
      </c>
      <c r="V315" s="3331" t="s">
        <v>18</v>
      </c>
      <c r="W315" s="3331" t="s">
        <v>18</v>
      </c>
      <c r="X315" s="3331" t="s">
        <v>18</v>
      </c>
      <c r="Y315" s="3331"/>
      <c r="Z315" s="2089"/>
      <c r="AA315" s="2090"/>
      <c r="AB315" s="2090"/>
      <c r="AC315" s="2094"/>
      <c r="AD315" s="2094"/>
      <c r="AE315" s="2095"/>
      <c r="AF315" s="3324"/>
      <c r="AG315" s="3325"/>
      <c r="AH315" s="3325"/>
      <c r="AI315" s="3324"/>
      <c r="AJ315" s="3325"/>
      <c r="AK315" s="3325"/>
      <c r="AL315" s="3424"/>
      <c r="AM315" s="2738"/>
      <c r="AN315" s="2738"/>
      <c r="AO315" s="2738"/>
      <c r="AP315" s="2738"/>
      <c r="AQ315" s="2738"/>
      <c r="AR315" s="2738"/>
      <c r="AS315" s="2738"/>
      <c r="AT315" s="2738"/>
      <c r="AU315" s="2738"/>
      <c r="AV315" s="2738"/>
      <c r="AW315" s="2738"/>
      <c r="AX315" s="2738"/>
      <c r="AY315" s="2738"/>
      <c r="AZ315" s="2738"/>
      <c r="BA315" s="2738"/>
      <c r="BB315" s="2738"/>
      <c r="BC315" s="2738"/>
      <c r="BD315" s="2738"/>
      <c r="BE315" s="2738"/>
      <c r="BF315" s="2738"/>
    </row>
    <row customHeight="1" ht="11.25">
      <c r="A316" s="2080" t="s">
        <v>905</v>
      </c>
      <c r="B316" s="2080"/>
      <c r="C316" s="2080"/>
      <c r="D316" s="2074"/>
      <c r="E316" s="2084"/>
      <c r="F316" s="2744"/>
      <c r="G316" s="2745"/>
      <c r="H316" s="3333" t="s">
        <v>86</v>
      </c>
      <c r="I316" s="3334"/>
      <c r="J316" s="3303"/>
      <c r="K316" s="3335"/>
      <c r="L316" s="2933"/>
      <c r="M316" s="2934"/>
      <c r="N316" s="3398"/>
      <c r="O316" s="3421"/>
      <c r="P316" s="3329"/>
      <c r="Q316" s="3331"/>
      <c r="R316" s="3331"/>
      <c r="S316" s="3332"/>
      <c r="T316" s="3331"/>
      <c r="U316" s="3331"/>
      <c r="V316" s="3331"/>
      <c r="W316" s="3331"/>
      <c r="X316" s="3331"/>
      <c r="Y316" s="3331"/>
      <c r="Z316" s="2743"/>
      <c r="AA316" s="2709">
        <v>1</v>
      </c>
      <c r="AB316" s="2093" t="s">
        <v>949</v>
      </c>
      <c r="AC316" s="2083">
        <v>298918.36</v>
      </c>
      <c r="AD316" s="2093" t="str">
        <f>AB316</f>
        <v>      Прочие амортизационные отчисления</v>
      </c>
      <c r="AE316" s="2083"/>
      <c r="AF316" s="3324"/>
      <c r="AG316" s="3325"/>
      <c r="AH316" s="3325"/>
      <c r="AI316" s="3324"/>
      <c r="AJ316" s="3325"/>
      <c r="AK316" s="3325"/>
      <c r="AL316" s="3424"/>
      <c r="AM316" s="2738"/>
      <c r="AN316" s="2738"/>
      <c r="AO316" s="2738"/>
      <c r="AP316" s="2738"/>
      <c r="AQ316" s="2738"/>
      <c r="AR316" s="2738"/>
      <c r="AS316" s="2738"/>
      <c r="AT316" s="2738"/>
      <c r="AU316" s="2738"/>
      <c r="AV316" s="2738"/>
      <c r="AW316" s="2738"/>
      <c r="AX316" s="2738"/>
      <c r="AY316" s="2738"/>
      <c r="AZ316" s="2738"/>
      <c r="BA316" s="2738"/>
      <c r="BB316" s="2738"/>
      <c r="BC316" s="2738"/>
      <c r="BD316" s="2738"/>
      <c r="BE316" s="2738"/>
      <c r="BF316" s="2738"/>
    </row>
    <row customHeight="1" ht="11.25">
      <c r="A317" s="2080" t="s">
        <v>905</v>
      </c>
      <c r="B317" s="2080"/>
      <c r="C317" s="2080"/>
      <c r="D317" s="2074"/>
      <c r="E317" s="2084"/>
      <c r="F317" s="2745"/>
      <c r="G317" s="2745"/>
      <c r="H317" s="2745"/>
      <c r="I317" s="2745"/>
      <c r="J317" s="2745"/>
      <c r="K317" s="2745"/>
      <c r="L317" s="2745"/>
      <c r="M317" s="2745"/>
      <c r="N317" s="2745"/>
      <c r="O317" s="2745"/>
      <c r="P317" s="2745"/>
      <c r="Q317" s="2745"/>
      <c r="R317" s="2745"/>
      <c r="S317" s="2745"/>
      <c r="T317" s="2745"/>
      <c r="U317" s="2745"/>
      <c r="V317" s="2745"/>
      <c r="W317" s="2745"/>
      <c r="X317" s="2745"/>
      <c r="Y317" s="2745"/>
      <c r="Z317" s="24234" t="s">
        <v>844</v>
      </c>
      <c r="AA317" s="2729" t="s">
        <v>103</v>
      </c>
      <c r="AB317" s="2093" t="s">
        <v>941</v>
      </c>
      <c r="AC317" s="2083">
        <v>470569.64</v>
      </c>
      <c r="AD317" s="2093" t="str">
        <f>AB317</f>
        <v>  Прочие</v>
      </c>
      <c r="AE317" s="2083"/>
      <c r="AF317" s="2746"/>
      <c r="AG317" s="2674"/>
      <c r="AH317" s="2674"/>
      <c r="AI317" s="2746"/>
      <c r="AJ317" s="2674"/>
      <c r="AK317" s="3423"/>
      <c r="AL317" s="3424"/>
      <c r="AM317" s="2738"/>
      <c r="AN317" s="2738"/>
      <c r="AO317" s="2738"/>
      <c r="AP317" s="2738"/>
      <c r="AQ317" s="2738"/>
      <c r="AR317" s="2738"/>
      <c r="AS317" s="2738"/>
      <c r="AT317" s="2738"/>
      <c r="AU317" s="2738"/>
      <c r="AV317" s="2738"/>
      <c r="AW317" s="2738"/>
      <c r="AX317" s="2738"/>
      <c r="AY317" s="2738"/>
      <c r="AZ317" s="2738"/>
      <c r="BA317" s="2738"/>
      <c r="BB317" s="2738"/>
      <c r="BC317" s="2738"/>
      <c r="BD317" s="2738"/>
      <c r="BE317" s="2738"/>
      <c r="BF317" s="2738"/>
    </row>
    <row customHeight="1" ht="11.25">
      <c r="A318" s="2080" t="s">
        <v>905</v>
      </c>
      <c r="B318" s="2080"/>
      <c r="C318" s="2080"/>
      <c r="D318" s="2074"/>
      <c r="E318" s="2084"/>
      <c r="F318" s="2744"/>
      <c r="G318" s="2745"/>
      <c r="H318" s="3333" t="s">
        <v>86</v>
      </c>
      <c r="I318" s="3334"/>
      <c r="J318" s="3303"/>
      <c r="K318" s="3335"/>
      <c r="L318" s="2933"/>
      <c r="M318" s="2934"/>
      <c r="N318" s="3398"/>
      <c r="O318" s="3421"/>
      <c r="P318" s="3330"/>
      <c r="Q318" s="3331"/>
      <c r="R318" s="3331"/>
      <c r="S318" s="3332"/>
      <c r="T318" s="3331"/>
      <c r="U318" s="3331"/>
      <c r="V318" s="3331"/>
      <c r="W318" s="3331"/>
      <c r="X318" s="3331"/>
      <c r="Y318" s="3331"/>
      <c r="Z318" s="2089"/>
      <c r="AA318" s="2090"/>
      <c r="AB318" s="2155" t="s">
        <v>942</v>
      </c>
      <c r="AC318" s="2094"/>
      <c r="AD318" s="2094"/>
      <c r="AE318" s="2096"/>
      <c r="AF318" s="3324"/>
      <c r="AG318" s="3325"/>
      <c r="AH318" s="3325"/>
      <c r="AI318" s="3324"/>
      <c r="AJ318" s="3325"/>
      <c r="AK318" s="3325"/>
      <c r="AL318" s="3424"/>
      <c r="AM318" s="2738"/>
      <c r="AN318" s="2738"/>
      <c r="AO318" s="2738"/>
      <c r="AP318" s="2738"/>
      <c r="AQ318" s="2738"/>
      <c r="AR318" s="2738"/>
      <c r="AS318" s="2738"/>
      <c r="AT318" s="2738"/>
      <c r="AU318" s="2738"/>
      <c r="AV318" s="2738"/>
      <c r="AW318" s="2738"/>
      <c r="AX318" s="2738"/>
      <c r="AY318" s="2738"/>
      <c r="AZ318" s="2738"/>
      <c r="BA318" s="2738"/>
      <c r="BB318" s="2738"/>
      <c r="BC318" s="2738"/>
      <c r="BD318" s="2738"/>
      <c r="BE318" s="2738"/>
      <c r="BF318" s="2738"/>
    </row>
    <row customHeight="1" ht="11.25">
      <c r="A319" s="2080" t="s">
        <v>905</v>
      </c>
      <c r="B319" s="2080"/>
      <c r="C319" s="2080"/>
      <c r="D319" s="2074"/>
      <c r="E319" s="2084"/>
      <c r="F319" s="2744"/>
      <c r="G319" s="2745"/>
      <c r="H319" s="3333" t="s">
        <v>86</v>
      </c>
      <c r="I319" s="3334"/>
      <c r="J319" s="3303"/>
      <c r="K319" s="3335"/>
      <c r="L319" s="2933"/>
      <c r="M319" s="2934"/>
      <c r="N319" s="2089"/>
      <c r="O319" s="2090"/>
      <c r="P319" s="2082" t="s">
        <v>943</v>
      </c>
      <c r="Q319" s="2090"/>
      <c r="R319" s="2090"/>
      <c r="S319" s="2090"/>
      <c r="T319" s="2090"/>
      <c r="U319" s="2090"/>
      <c r="V319" s="2090"/>
      <c r="W319" s="2090"/>
      <c r="X319" s="2090"/>
      <c r="Y319" s="2090"/>
      <c r="Z319" s="2090"/>
      <c r="AA319" s="2090"/>
      <c r="AB319" s="2090"/>
      <c r="AC319" s="2090"/>
      <c r="AD319" s="2090"/>
      <c r="AE319" s="2097"/>
      <c r="AF319" s="3324"/>
      <c r="AG319" s="3325"/>
      <c r="AH319" s="3325"/>
      <c r="AI319" s="3324"/>
      <c r="AJ319" s="3325"/>
      <c r="AK319" s="3325"/>
      <c r="AL319" s="3424"/>
      <c r="AM319" s="2738"/>
      <c r="AN319" s="2738"/>
      <c r="AO319" s="2738"/>
      <c r="AP319" s="2738"/>
      <c r="AQ319" s="2738"/>
      <c r="AR319" s="2738"/>
      <c r="AS319" s="2738"/>
      <c r="AT319" s="2738"/>
      <c r="AU319" s="2738"/>
      <c r="AV319" s="2738"/>
      <c r="AW319" s="2738"/>
      <c r="AX319" s="2738"/>
      <c r="AY319" s="2738"/>
      <c r="AZ319" s="2738"/>
      <c r="BA319" s="2738"/>
      <c r="BB319" s="2738"/>
      <c r="BC319" s="2738"/>
      <c r="BD319" s="2738"/>
      <c r="BE319" s="2738"/>
      <c r="BF319" s="2738"/>
    </row>
    <row customHeight="1" ht="25.5">
      <c r="A320" s="2080" t="s">
        <v>905</v>
      </c>
      <c r="B320" s="2080" t="s">
        <v>944</v>
      </c>
      <c r="C320" s="2080"/>
      <c r="D320" s="2074"/>
      <c r="E320" s="2084"/>
      <c r="F320" s="2744"/>
      <c r="G320" s="24234" t="s">
        <v>844</v>
      </c>
      <c r="H320" s="3333" t="s">
        <v>104</v>
      </c>
      <c r="I320" s="3334" t="s">
        <v>945</v>
      </c>
      <c r="J320" s="3303" t="s">
        <v>946</v>
      </c>
      <c r="K320" s="3335" t="s">
        <v>983</v>
      </c>
      <c r="L320" s="2933" t="s">
        <v>52</v>
      </c>
      <c r="M320" s="2934"/>
      <c r="N320" s="3422"/>
      <c r="O320" s="2091" t="s">
        <v>367</v>
      </c>
      <c r="P320" s="2092"/>
      <c r="Q320" s="2092"/>
      <c r="R320" s="2092"/>
      <c r="S320" s="2092"/>
      <c r="T320" s="2092"/>
      <c r="U320" s="2092"/>
      <c r="V320" s="2092"/>
      <c r="W320" s="2092"/>
      <c r="X320" s="2092"/>
      <c r="Y320" s="2092"/>
      <c r="Z320" s="2092"/>
      <c r="AA320" s="2092"/>
      <c r="AB320" s="2092"/>
      <c r="AC320" s="2092"/>
      <c r="AD320" s="2092"/>
      <c r="AE320" s="2092"/>
      <c r="AF320" s="3324">
        <v>2</v>
      </c>
      <c r="AG320" s="3325" t="s">
        <v>939</v>
      </c>
      <c r="AH320" s="3325" t="s">
        <v>953</v>
      </c>
      <c r="AI320" s="3324"/>
      <c r="AJ320" s="3325"/>
      <c r="AK320" s="3325"/>
      <c r="AL320" s="3424"/>
      <c r="AM320" s="2738"/>
      <c r="AN320" s="2738"/>
      <c r="AO320" s="2738"/>
      <c r="AP320" s="2738"/>
      <c r="AQ320" s="2738"/>
      <c r="AR320" s="2738"/>
      <c r="AS320" s="2738"/>
      <c r="AT320" s="2738"/>
      <c r="AU320" s="2738"/>
      <c r="AV320" s="2738"/>
      <c r="AW320" s="2738"/>
      <c r="AX320" s="2738"/>
      <c r="AY320" s="2738"/>
      <c r="AZ320" s="2738"/>
      <c r="BA320" s="2738"/>
      <c r="BB320" s="2738"/>
      <c r="BC320" s="2738"/>
      <c r="BD320" s="2738"/>
      <c r="BE320" s="2738"/>
      <c r="BF320" s="2738"/>
    </row>
    <row customHeight="1" ht="21.75">
      <c r="A321" s="2080" t="s">
        <v>905</v>
      </c>
      <c r="B321" s="2080"/>
      <c r="C321" s="2080"/>
      <c r="D321" s="2074"/>
      <c r="E321" s="2084"/>
      <c r="F321" s="2744"/>
      <c r="G321" s="2745"/>
      <c r="H321" s="3333" t="s">
        <v>87</v>
      </c>
      <c r="I321" s="3334"/>
      <c r="J321" s="3303"/>
      <c r="K321" s="3335"/>
      <c r="L321" s="2933"/>
      <c r="M321" s="2934"/>
      <c r="N321" s="3398"/>
      <c r="O321" s="3421">
        <v>1</v>
      </c>
      <c r="P321" s="3328" t="s">
        <v>52</v>
      </c>
      <c r="Q321" s="3331" t="s">
        <v>18</v>
      </c>
      <c r="R321" s="3331" t="s">
        <v>18</v>
      </c>
      <c r="S321" s="3331" t="s">
        <v>18</v>
      </c>
      <c r="T321" s="3331" t="s">
        <v>18</v>
      </c>
      <c r="U321" s="3331" t="s">
        <v>18</v>
      </c>
      <c r="V321" s="3331" t="s">
        <v>18</v>
      </c>
      <c r="W321" s="3331" t="s">
        <v>18</v>
      </c>
      <c r="X321" s="3331" t="s">
        <v>18</v>
      </c>
      <c r="Y321" s="3331"/>
      <c r="Z321" s="2089"/>
      <c r="AA321" s="2090"/>
      <c r="AB321" s="2090"/>
      <c r="AC321" s="2094"/>
      <c r="AD321" s="2094"/>
      <c r="AE321" s="2095"/>
      <c r="AF321" s="3324"/>
      <c r="AG321" s="3325"/>
      <c r="AH321" s="3325"/>
      <c r="AI321" s="3324"/>
      <c r="AJ321" s="3325"/>
      <c r="AK321" s="3325"/>
      <c r="AL321" s="3424"/>
      <c r="AM321" s="2738"/>
      <c r="AN321" s="2738"/>
      <c r="AO321" s="2738"/>
      <c r="AP321" s="2738"/>
      <c r="AQ321" s="2738"/>
      <c r="AR321" s="2738"/>
      <c r="AS321" s="2738"/>
      <c r="AT321" s="2738"/>
      <c r="AU321" s="2738"/>
      <c r="AV321" s="2738"/>
      <c r="AW321" s="2738"/>
      <c r="AX321" s="2738"/>
      <c r="AY321" s="2738"/>
      <c r="AZ321" s="2738"/>
      <c r="BA321" s="2738"/>
      <c r="BB321" s="2738"/>
      <c r="BC321" s="2738"/>
      <c r="BD321" s="2738"/>
      <c r="BE321" s="2738"/>
      <c r="BF321" s="2738"/>
    </row>
    <row customHeight="1" ht="11.25">
      <c r="A322" s="2080" t="s">
        <v>905</v>
      </c>
      <c r="B322" s="2080"/>
      <c r="C322" s="2080"/>
      <c r="D322" s="2074"/>
      <c r="E322" s="2084"/>
      <c r="F322" s="2744"/>
      <c r="G322" s="2745"/>
      <c r="H322" s="3333" t="s">
        <v>87</v>
      </c>
      <c r="I322" s="3334"/>
      <c r="J322" s="3303"/>
      <c r="K322" s="3335"/>
      <c r="L322" s="2933"/>
      <c r="M322" s="2934"/>
      <c r="N322" s="3398"/>
      <c r="O322" s="3421"/>
      <c r="P322" s="3329"/>
      <c r="Q322" s="3331"/>
      <c r="R322" s="3331"/>
      <c r="S322" s="3332"/>
      <c r="T322" s="3331"/>
      <c r="U322" s="3331"/>
      <c r="V322" s="3331"/>
      <c r="W322" s="3331"/>
      <c r="X322" s="3331"/>
      <c r="Y322" s="3331"/>
      <c r="Z322" s="2743"/>
      <c r="AA322" s="2709">
        <v>1</v>
      </c>
      <c r="AB322" s="2093" t="s">
        <v>949</v>
      </c>
      <c r="AC322" s="2083">
        <v>330999.6</v>
      </c>
      <c r="AD322" s="2093" t="str">
        <f>AB322</f>
        <v>      Прочие амортизационные отчисления</v>
      </c>
      <c r="AE322" s="2083"/>
      <c r="AF322" s="3324"/>
      <c r="AG322" s="3325"/>
      <c r="AH322" s="3325"/>
      <c r="AI322" s="3324"/>
      <c r="AJ322" s="3325"/>
      <c r="AK322" s="3325"/>
      <c r="AL322" s="3424"/>
      <c r="AM322" s="2738"/>
      <c r="AN322" s="2738"/>
      <c r="AO322" s="2738"/>
      <c r="AP322" s="2738"/>
      <c r="AQ322" s="2738"/>
      <c r="AR322" s="2738"/>
      <c r="AS322" s="2738"/>
      <c r="AT322" s="2738"/>
      <c r="AU322" s="2738"/>
      <c r="AV322" s="2738"/>
      <c r="AW322" s="2738"/>
      <c r="AX322" s="2738"/>
      <c r="AY322" s="2738"/>
      <c r="AZ322" s="2738"/>
      <c r="BA322" s="2738"/>
      <c r="BB322" s="2738"/>
      <c r="BC322" s="2738"/>
      <c r="BD322" s="2738"/>
      <c r="BE322" s="2738"/>
      <c r="BF322" s="2738"/>
    </row>
    <row customHeight="1" ht="11.25">
      <c r="A323" s="2080" t="s">
        <v>905</v>
      </c>
      <c r="B323" s="2080"/>
      <c r="C323" s="2080"/>
      <c r="D323" s="2074"/>
      <c r="E323" s="2084"/>
      <c r="F323" s="2745"/>
      <c r="G323" s="2745"/>
      <c r="H323" s="2745"/>
      <c r="I323" s="2745"/>
      <c r="J323" s="2745"/>
      <c r="K323" s="2745"/>
      <c r="L323" s="2745"/>
      <c r="M323" s="2745"/>
      <c r="N323" s="2745"/>
      <c r="O323" s="2745"/>
      <c r="P323" s="2745"/>
      <c r="Q323" s="2745"/>
      <c r="R323" s="2745"/>
      <c r="S323" s="2745"/>
      <c r="T323" s="2745"/>
      <c r="U323" s="2745"/>
      <c r="V323" s="2745"/>
      <c r="W323" s="2745"/>
      <c r="X323" s="2745"/>
      <c r="Y323" s="2745"/>
      <c r="Z323" s="24234" t="s">
        <v>844</v>
      </c>
      <c r="AA323" s="2729" t="s">
        <v>103</v>
      </c>
      <c r="AB323" s="2093" t="s">
        <v>941</v>
      </c>
      <c r="AC323" s="2083">
        <v>1379403.99</v>
      </c>
      <c r="AD323" s="2093" t="str">
        <f>AB323</f>
        <v>  Прочие</v>
      </c>
      <c r="AE323" s="2083"/>
      <c r="AF323" s="2746"/>
      <c r="AG323" s="2674"/>
      <c r="AH323" s="2674"/>
      <c r="AI323" s="2746"/>
      <c r="AJ323" s="2674"/>
      <c r="AK323" s="3423"/>
      <c r="AL323" s="3424"/>
      <c r="AM323" s="2738"/>
      <c r="AN323" s="2738"/>
      <c r="AO323" s="2738"/>
      <c r="AP323" s="2738"/>
      <c r="AQ323" s="2738"/>
      <c r="AR323" s="2738"/>
      <c r="AS323" s="2738"/>
      <c r="AT323" s="2738"/>
      <c r="AU323" s="2738"/>
      <c r="AV323" s="2738"/>
      <c r="AW323" s="2738"/>
      <c r="AX323" s="2738"/>
      <c r="AY323" s="2738"/>
      <c r="AZ323" s="2738"/>
      <c r="BA323" s="2738"/>
      <c r="BB323" s="2738"/>
      <c r="BC323" s="2738"/>
      <c r="BD323" s="2738"/>
      <c r="BE323" s="2738"/>
      <c r="BF323" s="2738"/>
    </row>
    <row customHeight="1" ht="17.25">
      <c r="A324" s="2080" t="s">
        <v>905</v>
      </c>
      <c r="B324" s="2080"/>
      <c r="C324" s="2080"/>
      <c r="D324" s="2074"/>
      <c r="E324" s="2084"/>
      <c r="F324" s="2744"/>
      <c r="G324" s="2745"/>
      <c r="H324" s="3333" t="s">
        <v>87</v>
      </c>
      <c r="I324" s="3334"/>
      <c r="J324" s="3303"/>
      <c r="K324" s="3335"/>
      <c r="L324" s="2933"/>
      <c r="M324" s="2934"/>
      <c r="N324" s="3398"/>
      <c r="O324" s="3421"/>
      <c r="P324" s="3330"/>
      <c r="Q324" s="3331"/>
      <c r="R324" s="3331"/>
      <c r="S324" s="3332"/>
      <c r="T324" s="3331"/>
      <c r="U324" s="3331"/>
      <c r="V324" s="3331"/>
      <c r="W324" s="3331"/>
      <c r="X324" s="3331"/>
      <c r="Y324" s="3331"/>
      <c r="Z324" s="2089"/>
      <c r="AA324" s="2090"/>
      <c r="AB324" s="2155" t="s">
        <v>942</v>
      </c>
      <c r="AC324" s="2094"/>
      <c r="AD324" s="2094"/>
      <c r="AE324" s="2096"/>
      <c r="AF324" s="3324"/>
      <c r="AG324" s="3325"/>
      <c r="AH324" s="3325"/>
      <c r="AI324" s="3324"/>
      <c r="AJ324" s="3325"/>
      <c r="AK324" s="3325"/>
      <c r="AL324" s="3424"/>
      <c r="AM324" s="2738"/>
      <c r="AN324" s="2738"/>
      <c r="AO324" s="2738"/>
      <c r="AP324" s="2738"/>
      <c r="AQ324" s="2738"/>
      <c r="AR324" s="2738"/>
      <c r="AS324" s="2738"/>
      <c r="AT324" s="2738"/>
      <c r="AU324" s="2738"/>
      <c r="AV324" s="2738"/>
      <c r="AW324" s="2738"/>
      <c r="AX324" s="2738"/>
      <c r="AY324" s="2738"/>
      <c r="AZ324" s="2738"/>
      <c r="BA324" s="2738"/>
      <c r="BB324" s="2738"/>
      <c r="BC324" s="2738"/>
      <c r="BD324" s="2738"/>
      <c r="BE324" s="2738"/>
      <c r="BF324" s="2738"/>
    </row>
    <row customHeight="1" ht="23.25">
      <c r="A325" s="2080" t="s">
        <v>905</v>
      </c>
      <c r="B325" s="2080"/>
      <c r="C325" s="2080"/>
      <c r="D325" s="2074"/>
      <c r="E325" s="2084"/>
      <c r="F325" s="2744"/>
      <c r="G325" s="2745"/>
      <c r="H325" s="3333" t="s">
        <v>87</v>
      </c>
      <c r="I325" s="3334"/>
      <c r="J325" s="3303"/>
      <c r="K325" s="3335"/>
      <c r="L325" s="2933"/>
      <c r="M325" s="2934"/>
      <c r="N325" s="2089"/>
      <c r="O325" s="2090"/>
      <c r="P325" s="2082" t="s">
        <v>943</v>
      </c>
      <c r="Q325" s="2090"/>
      <c r="R325" s="2090"/>
      <c r="S325" s="2090"/>
      <c r="T325" s="2090"/>
      <c r="U325" s="2090"/>
      <c r="V325" s="2090"/>
      <c r="W325" s="2090"/>
      <c r="X325" s="2090"/>
      <c r="Y325" s="2090"/>
      <c r="Z325" s="2090"/>
      <c r="AA325" s="2090"/>
      <c r="AB325" s="2090"/>
      <c r="AC325" s="2090"/>
      <c r="AD325" s="2090"/>
      <c r="AE325" s="2097"/>
      <c r="AF325" s="3324"/>
      <c r="AG325" s="3325"/>
      <c r="AH325" s="3325"/>
      <c r="AI325" s="3324"/>
      <c r="AJ325" s="3325"/>
      <c r="AK325" s="3325"/>
      <c r="AL325" s="3424"/>
      <c r="AM325" s="2738"/>
      <c r="AN325" s="2738"/>
      <c r="AO325" s="2738"/>
      <c r="AP325" s="2738"/>
      <c r="AQ325" s="2738"/>
      <c r="AR325" s="2738"/>
      <c r="AS325" s="2738"/>
      <c r="AT325" s="2738"/>
      <c r="AU325" s="2738"/>
      <c r="AV325" s="2738"/>
      <c r="AW325" s="2738"/>
      <c r="AX325" s="2738"/>
      <c r="AY325" s="2738"/>
      <c r="AZ325" s="2738"/>
      <c r="BA325" s="2738"/>
      <c r="BB325" s="2738"/>
      <c r="BC325" s="2738"/>
      <c r="BD325" s="2738"/>
      <c r="BE325" s="2738"/>
      <c r="BF325" s="2738"/>
    </row>
    <row customHeight="1" ht="52.5">
      <c r="A326" s="2080" t="s">
        <v>905</v>
      </c>
      <c r="B326" s="2080" t="s">
        <v>944</v>
      </c>
      <c r="C326" s="2080"/>
      <c r="D326" s="2074"/>
      <c r="E326" s="2084"/>
      <c r="F326" s="2744"/>
      <c r="G326" s="24234" t="s">
        <v>844</v>
      </c>
      <c r="H326" s="3333" t="s">
        <v>88</v>
      </c>
      <c r="I326" s="3334" t="s">
        <v>945</v>
      </c>
      <c r="J326" s="3303" t="s">
        <v>946</v>
      </c>
      <c r="K326" s="3335" t="s">
        <v>952</v>
      </c>
      <c r="L326" s="2933" t="s">
        <v>52</v>
      </c>
      <c r="M326" s="2934"/>
      <c r="N326" s="3422"/>
      <c r="O326" s="2091" t="s">
        <v>367</v>
      </c>
      <c r="P326" s="2092"/>
      <c r="Q326" s="2092"/>
      <c r="R326" s="2092"/>
      <c r="S326" s="2092"/>
      <c r="T326" s="2092"/>
      <c r="U326" s="2092"/>
      <c r="V326" s="2092"/>
      <c r="W326" s="2092"/>
      <c r="X326" s="2092"/>
      <c r="Y326" s="2092"/>
      <c r="Z326" s="2092"/>
      <c r="AA326" s="2092"/>
      <c r="AB326" s="2092"/>
      <c r="AC326" s="2092"/>
      <c r="AD326" s="2092"/>
      <c r="AE326" s="2092"/>
      <c r="AF326" s="3324">
        <v>5</v>
      </c>
      <c r="AG326" s="3325" t="s">
        <v>939</v>
      </c>
      <c r="AH326" s="3325" t="s">
        <v>953</v>
      </c>
      <c r="AI326" s="3324"/>
      <c r="AJ326" s="3325"/>
      <c r="AK326" s="3325"/>
      <c r="AL326" s="3424"/>
      <c r="AM326" s="2738"/>
      <c r="AN326" s="2738"/>
      <c r="AO326" s="2738"/>
      <c r="AP326" s="2738"/>
      <c r="AQ326" s="2738"/>
      <c r="AR326" s="2738"/>
      <c r="AS326" s="2738"/>
      <c r="AT326" s="2738"/>
      <c r="AU326" s="2738"/>
      <c r="AV326" s="2738"/>
      <c r="AW326" s="2738"/>
      <c r="AX326" s="2738"/>
      <c r="AY326" s="2738"/>
      <c r="AZ326" s="2738"/>
      <c r="BA326" s="2738"/>
      <c r="BB326" s="2738"/>
      <c r="BC326" s="2738"/>
      <c r="BD326" s="2738"/>
      <c r="BE326" s="2738"/>
      <c r="BF326" s="2738"/>
    </row>
    <row customHeight="1" ht="37.5">
      <c r="A327" s="2080" t="s">
        <v>905</v>
      </c>
      <c r="B327" s="2080"/>
      <c r="C327" s="2080"/>
      <c r="D327" s="2074"/>
      <c r="E327" s="2084"/>
      <c r="F327" s="2744"/>
      <c r="G327" s="2745"/>
      <c r="H327" s="3333" t="s">
        <v>104</v>
      </c>
      <c r="I327" s="3334"/>
      <c r="J327" s="3303"/>
      <c r="K327" s="3335"/>
      <c r="L327" s="2933"/>
      <c r="M327" s="2934"/>
      <c r="N327" s="3398"/>
      <c r="O327" s="3421">
        <v>1</v>
      </c>
      <c r="P327" s="3328" t="s">
        <v>52</v>
      </c>
      <c r="Q327" s="3331" t="s">
        <v>18</v>
      </c>
      <c r="R327" s="3331" t="s">
        <v>18</v>
      </c>
      <c r="S327" s="3331" t="s">
        <v>18</v>
      </c>
      <c r="T327" s="3331" t="s">
        <v>18</v>
      </c>
      <c r="U327" s="3331" t="s">
        <v>18</v>
      </c>
      <c r="V327" s="3331" t="s">
        <v>18</v>
      </c>
      <c r="W327" s="3331" t="s">
        <v>18</v>
      </c>
      <c r="X327" s="3331" t="s">
        <v>18</v>
      </c>
      <c r="Y327" s="3331"/>
      <c r="Z327" s="2089"/>
      <c r="AA327" s="2090"/>
      <c r="AB327" s="2090"/>
      <c r="AC327" s="2094"/>
      <c r="AD327" s="2094"/>
      <c r="AE327" s="2095"/>
      <c r="AF327" s="3324"/>
      <c r="AG327" s="3325"/>
      <c r="AH327" s="3325"/>
      <c r="AI327" s="3324"/>
      <c r="AJ327" s="3325"/>
      <c r="AK327" s="3325"/>
      <c r="AL327" s="3424"/>
      <c r="AM327" s="2738"/>
      <c r="AN327" s="2738"/>
      <c r="AO327" s="2738"/>
      <c r="AP327" s="2738"/>
      <c r="AQ327" s="2738"/>
      <c r="AR327" s="2738"/>
      <c r="AS327" s="2738"/>
      <c r="AT327" s="2738"/>
      <c r="AU327" s="2738"/>
      <c r="AV327" s="2738"/>
      <c r="AW327" s="2738"/>
      <c r="AX327" s="2738"/>
      <c r="AY327" s="2738"/>
      <c r="AZ327" s="2738"/>
      <c r="BA327" s="2738"/>
      <c r="BB327" s="2738"/>
      <c r="BC327" s="2738"/>
      <c r="BD327" s="2738"/>
      <c r="BE327" s="2738"/>
      <c r="BF327" s="2738"/>
    </row>
    <row customHeight="1" ht="11.25">
      <c r="A328" s="2080" t="s">
        <v>905</v>
      </c>
      <c r="B328" s="2080"/>
      <c r="C328" s="2080"/>
      <c r="D328" s="2074"/>
      <c r="E328" s="2084"/>
      <c r="F328" s="2744"/>
      <c r="G328" s="2745"/>
      <c r="H328" s="3333" t="s">
        <v>104</v>
      </c>
      <c r="I328" s="3334"/>
      <c r="J328" s="3303"/>
      <c r="K328" s="3335"/>
      <c r="L328" s="2933"/>
      <c r="M328" s="2934"/>
      <c r="N328" s="3398"/>
      <c r="O328" s="3421"/>
      <c r="P328" s="3329"/>
      <c r="Q328" s="3331"/>
      <c r="R328" s="3331"/>
      <c r="S328" s="3332"/>
      <c r="T328" s="3331"/>
      <c r="U328" s="3331"/>
      <c r="V328" s="3331"/>
      <c r="W328" s="3331"/>
      <c r="X328" s="3331"/>
      <c r="Y328" s="3331"/>
      <c r="Z328" s="2743"/>
      <c r="AA328" s="2709">
        <v>1</v>
      </c>
      <c r="AB328" s="2093" t="s">
        <v>949</v>
      </c>
      <c r="AC328" s="2083">
        <v>101704.25</v>
      </c>
      <c r="AD328" s="2093" t="str">
        <f>AB328</f>
        <v>      Прочие амортизационные отчисления</v>
      </c>
      <c r="AE328" s="2083"/>
      <c r="AF328" s="3324"/>
      <c r="AG328" s="3325"/>
      <c r="AH328" s="3325"/>
      <c r="AI328" s="3324"/>
      <c r="AJ328" s="3325"/>
      <c r="AK328" s="3325"/>
      <c r="AL328" s="3424"/>
      <c r="AM328" s="2738"/>
      <c r="AN328" s="2738"/>
      <c r="AO328" s="2738"/>
      <c r="AP328" s="2738"/>
      <c r="AQ328" s="2738"/>
      <c r="AR328" s="2738"/>
      <c r="AS328" s="2738"/>
      <c r="AT328" s="2738"/>
      <c r="AU328" s="2738"/>
      <c r="AV328" s="2738"/>
      <c r="AW328" s="2738"/>
      <c r="AX328" s="2738"/>
      <c r="AY328" s="2738"/>
      <c r="AZ328" s="2738"/>
      <c r="BA328" s="2738"/>
      <c r="BB328" s="2738"/>
      <c r="BC328" s="2738"/>
      <c r="BD328" s="2738"/>
      <c r="BE328" s="2738"/>
      <c r="BF328" s="2738"/>
    </row>
    <row customHeight="1" ht="11.25">
      <c r="A329" s="2080" t="s">
        <v>905</v>
      </c>
      <c r="B329" s="2080"/>
      <c r="C329" s="2080"/>
      <c r="D329" s="2074"/>
      <c r="E329" s="2084"/>
      <c r="F329" s="2745"/>
      <c r="G329" s="2745"/>
      <c r="H329" s="2745"/>
      <c r="I329" s="2745"/>
      <c r="J329" s="2745"/>
      <c r="K329" s="2745"/>
      <c r="L329" s="2745"/>
      <c r="M329" s="2745"/>
      <c r="N329" s="2745"/>
      <c r="O329" s="2745"/>
      <c r="P329" s="2745"/>
      <c r="Q329" s="2745"/>
      <c r="R329" s="2745"/>
      <c r="S329" s="2745"/>
      <c r="T329" s="2745"/>
      <c r="U329" s="2745"/>
      <c r="V329" s="2745"/>
      <c r="W329" s="2745"/>
      <c r="X329" s="2745"/>
      <c r="Y329" s="2745"/>
      <c r="Z329" s="24234" t="s">
        <v>844</v>
      </c>
      <c r="AA329" s="2729" t="s">
        <v>103</v>
      </c>
      <c r="AB329" s="2093" t="s">
        <v>941</v>
      </c>
      <c r="AC329" s="2083">
        <v>160107.04</v>
      </c>
      <c r="AD329" s="2093" t="str">
        <f>AB329</f>
        <v>  Прочие</v>
      </c>
      <c r="AE329" s="2083"/>
      <c r="AF329" s="2746"/>
      <c r="AG329" s="2674"/>
      <c r="AH329" s="2674"/>
      <c r="AI329" s="2746"/>
      <c r="AJ329" s="2674"/>
      <c r="AK329" s="3423"/>
      <c r="AL329" s="3424"/>
      <c r="AM329" s="2738"/>
      <c r="AN329" s="2738"/>
      <c r="AO329" s="2738"/>
      <c r="AP329" s="2738"/>
      <c r="AQ329" s="2738"/>
      <c r="AR329" s="2738"/>
      <c r="AS329" s="2738"/>
      <c r="AT329" s="2738"/>
      <c r="AU329" s="2738"/>
      <c r="AV329" s="2738"/>
      <c r="AW329" s="2738"/>
      <c r="AX329" s="2738"/>
      <c r="AY329" s="2738"/>
      <c r="AZ329" s="2738"/>
      <c r="BA329" s="2738"/>
      <c r="BB329" s="2738"/>
      <c r="BC329" s="2738"/>
      <c r="BD329" s="2738"/>
      <c r="BE329" s="2738"/>
      <c r="BF329" s="2738"/>
    </row>
    <row customHeight="1" ht="25.5">
      <c r="A330" s="2080" t="s">
        <v>905</v>
      </c>
      <c r="B330" s="2080"/>
      <c r="C330" s="2080"/>
      <c r="D330" s="2074"/>
      <c r="E330" s="2084"/>
      <c r="F330" s="2744"/>
      <c r="G330" s="2745"/>
      <c r="H330" s="3333" t="s">
        <v>104</v>
      </c>
      <c r="I330" s="3334"/>
      <c r="J330" s="3303"/>
      <c r="K330" s="3335"/>
      <c r="L330" s="2933"/>
      <c r="M330" s="2934"/>
      <c r="N330" s="3398"/>
      <c r="O330" s="3421"/>
      <c r="P330" s="3330"/>
      <c r="Q330" s="3331"/>
      <c r="R330" s="3331"/>
      <c r="S330" s="3332"/>
      <c r="T330" s="3331"/>
      <c r="U330" s="3331"/>
      <c r="V330" s="3331"/>
      <c r="W330" s="3331"/>
      <c r="X330" s="3331"/>
      <c r="Y330" s="3331"/>
      <c r="Z330" s="2089"/>
      <c r="AA330" s="2090"/>
      <c r="AB330" s="2155" t="s">
        <v>942</v>
      </c>
      <c r="AC330" s="2094"/>
      <c r="AD330" s="2094"/>
      <c r="AE330" s="2096"/>
      <c r="AF330" s="3324"/>
      <c r="AG330" s="3325"/>
      <c r="AH330" s="3325"/>
      <c r="AI330" s="3324"/>
      <c r="AJ330" s="3325"/>
      <c r="AK330" s="3325"/>
      <c r="AL330" s="3424"/>
      <c r="AM330" s="2738"/>
      <c r="AN330" s="2738"/>
      <c r="AO330" s="2738"/>
      <c r="AP330" s="2738"/>
      <c r="AQ330" s="2738"/>
      <c r="AR330" s="2738"/>
      <c r="AS330" s="2738"/>
      <c r="AT330" s="2738"/>
      <c r="AU330" s="2738"/>
      <c r="AV330" s="2738"/>
      <c r="AW330" s="2738"/>
      <c r="AX330" s="2738"/>
      <c r="AY330" s="2738"/>
      <c r="AZ330" s="2738"/>
      <c r="BA330" s="2738"/>
      <c r="BB330" s="2738"/>
      <c r="BC330" s="2738"/>
      <c r="BD330" s="2738"/>
      <c r="BE330" s="2738"/>
      <c r="BF330" s="2738"/>
    </row>
    <row customHeight="1" ht="11.25">
      <c r="A331" s="2080" t="s">
        <v>905</v>
      </c>
      <c r="B331" s="2080"/>
      <c r="C331" s="2080"/>
      <c r="D331" s="2074"/>
      <c r="E331" s="2084"/>
      <c r="F331" s="2744"/>
      <c r="G331" s="2745"/>
      <c r="H331" s="3333" t="s">
        <v>104</v>
      </c>
      <c r="I331" s="3334"/>
      <c r="J331" s="3303"/>
      <c r="K331" s="3335"/>
      <c r="L331" s="2933"/>
      <c r="M331" s="2934"/>
      <c r="N331" s="2089"/>
      <c r="O331" s="2090"/>
      <c r="P331" s="2082" t="s">
        <v>943</v>
      </c>
      <c r="Q331" s="2090"/>
      <c r="R331" s="2090"/>
      <c r="S331" s="2090"/>
      <c r="T331" s="2090"/>
      <c r="U331" s="2090"/>
      <c r="V331" s="2090"/>
      <c r="W331" s="2090"/>
      <c r="X331" s="2090"/>
      <c r="Y331" s="2090"/>
      <c r="Z331" s="2090"/>
      <c r="AA331" s="2090"/>
      <c r="AB331" s="2090"/>
      <c r="AC331" s="2090"/>
      <c r="AD331" s="2090"/>
      <c r="AE331" s="2097"/>
      <c r="AF331" s="3324"/>
      <c r="AG331" s="3325"/>
      <c r="AH331" s="3325"/>
      <c r="AI331" s="3324"/>
      <c r="AJ331" s="3325"/>
      <c r="AK331" s="3325"/>
      <c r="AL331" s="3424"/>
      <c r="AM331" s="2738"/>
      <c r="AN331" s="2738"/>
      <c r="AO331" s="2738"/>
      <c r="AP331" s="2738"/>
      <c r="AQ331" s="2738"/>
      <c r="AR331" s="2738"/>
      <c r="AS331" s="2738"/>
      <c r="AT331" s="2738"/>
      <c r="AU331" s="2738"/>
      <c r="AV331" s="2738"/>
      <c r="AW331" s="2738"/>
      <c r="AX331" s="2738"/>
      <c r="AY331" s="2738"/>
      <c r="AZ331" s="2738"/>
      <c r="BA331" s="2738"/>
      <c r="BB331" s="2738"/>
      <c r="BC331" s="2738"/>
      <c r="BD331" s="2738"/>
      <c r="BE331" s="2738"/>
      <c r="BF331" s="2738"/>
    </row>
    <row customHeight="1" ht="11.25">
      <c r="A332" s="2080" t="s">
        <v>905</v>
      </c>
      <c r="B332" s="2080" t="s">
        <v>944</v>
      </c>
      <c r="C332" s="2080"/>
      <c r="D332" s="2074"/>
      <c r="E332" s="2084"/>
      <c r="F332" s="2744"/>
      <c r="G332" s="24234" t="s">
        <v>844</v>
      </c>
      <c r="H332" s="3333" t="s">
        <v>89</v>
      </c>
      <c r="I332" s="3334" t="s">
        <v>945</v>
      </c>
      <c r="J332" s="3303" t="s">
        <v>946</v>
      </c>
      <c r="K332" s="3335" t="s">
        <v>972</v>
      </c>
      <c r="L332" s="2933" t="s">
        <v>52</v>
      </c>
      <c r="M332" s="2934"/>
      <c r="N332" s="3422"/>
      <c r="O332" s="2091" t="s">
        <v>367</v>
      </c>
      <c r="P332" s="2092"/>
      <c r="Q332" s="2092"/>
      <c r="R332" s="2092"/>
      <c r="S332" s="2092"/>
      <c r="T332" s="2092"/>
      <c r="U332" s="2092"/>
      <c r="V332" s="2092"/>
      <c r="W332" s="2092"/>
      <c r="X332" s="2092"/>
      <c r="Y332" s="2092"/>
      <c r="Z332" s="2092"/>
      <c r="AA332" s="2092"/>
      <c r="AB332" s="2092"/>
      <c r="AC332" s="2092"/>
      <c r="AD332" s="2092"/>
      <c r="AE332" s="2092"/>
      <c r="AF332" s="3324">
        <v>4</v>
      </c>
      <c r="AG332" s="3325" t="s">
        <v>939</v>
      </c>
      <c r="AH332" s="3325" t="s">
        <v>958</v>
      </c>
      <c r="AI332" s="3324"/>
      <c r="AJ332" s="3325"/>
      <c r="AK332" s="3325"/>
      <c r="AL332" s="3424"/>
      <c r="AM332" s="2738"/>
      <c r="AN332" s="2738"/>
      <c r="AO332" s="2738"/>
      <c r="AP332" s="2738"/>
      <c r="AQ332" s="2738"/>
      <c r="AR332" s="2738"/>
      <c r="AS332" s="2738"/>
      <c r="AT332" s="2738"/>
      <c r="AU332" s="2738"/>
      <c r="AV332" s="2738"/>
      <c r="AW332" s="2738"/>
      <c r="AX332" s="2738"/>
      <c r="AY332" s="2738"/>
      <c r="AZ332" s="2738"/>
      <c r="BA332" s="2738"/>
      <c r="BB332" s="2738"/>
      <c r="BC332" s="2738"/>
      <c r="BD332" s="2738"/>
      <c r="BE332" s="2738"/>
      <c r="BF332" s="2738"/>
    </row>
    <row customHeight="1" ht="11.25">
      <c r="A333" s="2080" t="s">
        <v>905</v>
      </c>
      <c r="B333" s="2080"/>
      <c r="C333" s="2080"/>
      <c r="D333" s="2074"/>
      <c r="E333" s="2084"/>
      <c r="F333" s="2744"/>
      <c r="G333" s="2745"/>
      <c r="H333" s="3333" t="s">
        <v>88</v>
      </c>
      <c r="I333" s="3334"/>
      <c r="J333" s="3303"/>
      <c r="K333" s="3335"/>
      <c r="L333" s="2933"/>
      <c r="M333" s="2934"/>
      <c r="N333" s="3398"/>
      <c r="O333" s="3421">
        <v>1</v>
      </c>
      <c r="P333" s="3328" t="s">
        <v>52</v>
      </c>
      <c r="Q333" s="3331" t="s">
        <v>18</v>
      </c>
      <c r="R333" s="3331" t="s">
        <v>18</v>
      </c>
      <c r="S333" s="3331" t="s">
        <v>18</v>
      </c>
      <c r="T333" s="3331" t="s">
        <v>18</v>
      </c>
      <c r="U333" s="3331" t="s">
        <v>18</v>
      </c>
      <c r="V333" s="3331" t="s">
        <v>18</v>
      </c>
      <c r="W333" s="3331" t="s">
        <v>18</v>
      </c>
      <c r="X333" s="3331" t="s">
        <v>18</v>
      </c>
      <c r="Y333" s="3331"/>
      <c r="Z333" s="2089"/>
      <c r="AA333" s="2090"/>
      <c r="AB333" s="2090"/>
      <c r="AC333" s="2094"/>
      <c r="AD333" s="2094"/>
      <c r="AE333" s="2095"/>
      <c r="AF333" s="3324"/>
      <c r="AG333" s="3325"/>
      <c r="AH333" s="3325"/>
      <c r="AI333" s="3324"/>
      <c r="AJ333" s="3325"/>
      <c r="AK333" s="3325"/>
      <c r="AL333" s="3424"/>
      <c r="AM333" s="2738"/>
      <c r="AN333" s="2738"/>
      <c r="AO333" s="2738"/>
      <c r="AP333" s="2738"/>
      <c r="AQ333" s="2738"/>
      <c r="AR333" s="2738"/>
      <c r="AS333" s="2738"/>
      <c r="AT333" s="2738"/>
      <c r="AU333" s="2738"/>
      <c r="AV333" s="2738"/>
      <c r="AW333" s="2738"/>
      <c r="AX333" s="2738"/>
      <c r="AY333" s="2738"/>
      <c r="AZ333" s="2738"/>
      <c r="BA333" s="2738"/>
      <c r="BB333" s="2738"/>
      <c r="BC333" s="2738"/>
      <c r="BD333" s="2738"/>
      <c r="BE333" s="2738"/>
      <c r="BF333" s="2738"/>
    </row>
    <row customHeight="1" ht="11.25">
      <c r="A334" s="2080" t="s">
        <v>905</v>
      </c>
      <c r="B334" s="2080"/>
      <c r="C334" s="2080"/>
      <c r="D334" s="2074"/>
      <c r="E334" s="2084"/>
      <c r="F334" s="2744"/>
      <c r="G334" s="2745"/>
      <c r="H334" s="3333" t="s">
        <v>88</v>
      </c>
      <c r="I334" s="3334"/>
      <c r="J334" s="3303"/>
      <c r="K334" s="3335"/>
      <c r="L334" s="2933"/>
      <c r="M334" s="2934"/>
      <c r="N334" s="3398"/>
      <c r="O334" s="3421"/>
      <c r="P334" s="3329"/>
      <c r="Q334" s="3331"/>
      <c r="R334" s="3331"/>
      <c r="S334" s="3332"/>
      <c r="T334" s="3331"/>
      <c r="U334" s="3331"/>
      <c r="V334" s="3331"/>
      <c r="W334" s="3331"/>
      <c r="X334" s="3331"/>
      <c r="Y334" s="3331"/>
      <c r="Z334" s="2743"/>
      <c r="AA334" s="2709">
        <v>1</v>
      </c>
      <c r="AB334" s="2093" t="s">
        <v>949</v>
      </c>
      <c r="AC334" s="2083">
        <v>158786.31</v>
      </c>
      <c r="AD334" s="2093" t="str">
        <f>AB334</f>
        <v>      Прочие амортизационные отчисления</v>
      </c>
      <c r="AE334" s="2083"/>
      <c r="AF334" s="3324"/>
      <c r="AG334" s="3325"/>
      <c r="AH334" s="3325"/>
      <c r="AI334" s="3324"/>
      <c r="AJ334" s="3325"/>
      <c r="AK334" s="3325"/>
      <c r="AL334" s="3424"/>
      <c r="AM334" s="2738"/>
      <c r="AN334" s="2738"/>
      <c r="AO334" s="2738"/>
      <c r="AP334" s="2738"/>
      <c r="AQ334" s="2738"/>
      <c r="AR334" s="2738"/>
      <c r="AS334" s="2738"/>
      <c r="AT334" s="2738"/>
      <c r="AU334" s="2738"/>
      <c r="AV334" s="2738"/>
      <c r="AW334" s="2738"/>
      <c r="AX334" s="2738"/>
      <c r="AY334" s="2738"/>
      <c r="AZ334" s="2738"/>
      <c r="BA334" s="2738"/>
      <c r="BB334" s="2738"/>
      <c r="BC334" s="2738"/>
      <c r="BD334" s="2738"/>
      <c r="BE334" s="2738"/>
      <c r="BF334" s="2738"/>
    </row>
    <row customHeight="1" ht="11.25">
      <c r="A335" s="2080" t="s">
        <v>905</v>
      </c>
      <c r="B335" s="2080"/>
      <c r="C335" s="2080"/>
      <c r="D335" s="2074"/>
      <c r="E335" s="2084"/>
      <c r="F335" s="2745"/>
      <c r="G335" s="2745"/>
      <c r="H335" s="2745"/>
      <c r="I335" s="2745"/>
      <c r="J335" s="2745"/>
      <c r="K335" s="2745"/>
      <c r="L335" s="2745"/>
      <c r="M335" s="2745"/>
      <c r="N335" s="2745"/>
      <c r="O335" s="2745"/>
      <c r="P335" s="2745"/>
      <c r="Q335" s="2745"/>
      <c r="R335" s="2745"/>
      <c r="S335" s="2745"/>
      <c r="T335" s="2745"/>
      <c r="U335" s="2745"/>
      <c r="V335" s="2745"/>
      <c r="W335" s="2745"/>
      <c r="X335" s="2745"/>
      <c r="Y335" s="2745"/>
      <c r="Z335" s="24234" t="s">
        <v>844</v>
      </c>
      <c r="AA335" s="2729" t="s">
        <v>103</v>
      </c>
      <c r="AB335" s="2093" t="s">
        <v>941</v>
      </c>
      <c r="AC335" s="2083">
        <v>249967.98</v>
      </c>
      <c r="AD335" s="2093" t="str">
        <f>AB335</f>
        <v>  Прочие</v>
      </c>
      <c r="AE335" s="2083"/>
      <c r="AF335" s="2746"/>
      <c r="AG335" s="2674"/>
      <c r="AH335" s="2674"/>
      <c r="AI335" s="2746"/>
      <c r="AJ335" s="2674"/>
      <c r="AK335" s="3423"/>
      <c r="AL335" s="3424"/>
      <c r="AM335" s="2738"/>
      <c r="AN335" s="2738"/>
      <c r="AO335" s="2738"/>
      <c r="AP335" s="2738"/>
      <c r="AQ335" s="2738"/>
      <c r="AR335" s="2738"/>
      <c r="AS335" s="2738"/>
      <c r="AT335" s="2738"/>
      <c r="AU335" s="2738"/>
      <c r="AV335" s="2738"/>
      <c r="AW335" s="2738"/>
      <c r="AX335" s="2738"/>
      <c r="AY335" s="2738"/>
      <c r="AZ335" s="2738"/>
      <c r="BA335" s="2738"/>
      <c r="BB335" s="2738"/>
      <c r="BC335" s="2738"/>
      <c r="BD335" s="2738"/>
      <c r="BE335" s="2738"/>
      <c r="BF335" s="2738"/>
    </row>
    <row customHeight="1" ht="11.25">
      <c r="A336" s="2080" t="s">
        <v>905</v>
      </c>
      <c r="B336" s="2080"/>
      <c r="C336" s="2080"/>
      <c r="D336" s="2074"/>
      <c r="E336" s="2084"/>
      <c r="F336" s="2744"/>
      <c r="G336" s="2745"/>
      <c r="H336" s="3333" t="s">
        <v>88</v>
      </c>
      <c r="I336" s="3334"/>
      <c r="J336" s="3303"/>
      <c r="K336" s="3335"/>
      <c r="L336" s="2933"/>
      <c r="M336" s="2934"/>
      <c r="N336" s="3398"/>
      <c r="O336" s="3421"/>
      <c r="P336" s="3330"/>
      <c r="Q336" s="3331"/>
      <c r="R336" s="3331"/>
      <c r="S336" s="3332"/>
      <c r="T336" s="3331"/>
      <c r="U336" s="3331"/>
      <c r="V336" s="3331"/>
      <c r="W336" s="3331"/>
      <c r="X336" s="3331"/>
      <c r="Y336" s="3331"/>
      <c r="Z336" s="2089"/>
      <c r="AA336" s="2090"/>
      <c r="AB336" s="2155" t="s">
        <v>942</v>
      </c>
      <c r="AC336" s="2094"/>
      <c r="AD336" s="2094"/>
      <c r="AE336" s="2096"/>
      <c r="AF336" s="3324"/>
      <c r="AG336" s="3325"/>
      <c r="AH336" s="3325"/>
      <c r="AI336" s="3324"/>
      <c r="AJ336" s="3325"/>
      <c r="AK336" s="3325"/>
      <c r="AL336" s="3424"/>
      <c r="AM336" s="2738"/>
      <c r="AN336" s="2738"/>
      <c r="AO336" s="2738"/>
      <c r="AP336" s="2738"/>
      <c r="AQ336" s="2738"/>
      <c r="AR336" s="2738"/>
      <c r="AS336" s="2738"/>
      <c r="AT336" s="2738"/>
      <c r="AU336" s="2738"/>
      <c r="AV336" s="2738"/>
      <c r="AW336" s="2738"/>
      <c r="AX336" s="2738"/>
      <c r="AY336" s="2738"/>
      <c r="AZ336" s="2738"/>
      <c r="BA336" s="2738"/>
      <c r="BB336" s="2738"/>
      <c r="BC336" s="2738"/>
      <c r="BD336" s="2738"/>
      <c r="BE336" s="2738"/>
      <c r="BF336" s="2738"/>
    </row>
    <row customHeight="1" ht="11.25">
      <c r="A337" s="2080" t="s">
        <v>905</v>
      </c>
      <c r="B337" s="2080"/>
      <c r="C337" s="2080"/>
      <c r="D337" s="2074"/>
      <c r="E337" s="2084"/>
      <c r="F337" s="2744"/>
      <c r="G337" s="2745"/>
      <c r="H337" s="3333" t="s">
        <v>88</v>
      </c>
      <c r="I337" s="3334"/>
      <c r="J337" s="3303"/>
      <c r="K337" s="3335"/>
      <c r="L337" s="2933"/>
      <c r="M337" s="2934"/>
      <c r="N337" s="2089"/>
      <c r="O337" s="2090"/>
      <c r="P337" s="2082" t="s">
        <v>943</v>
      </c>
      <c r="Q337" s="2090"/>
      <c r="R337" s="2090"/>
      <c r="S337" s="2090"/>
      <c r="T337" s="2090"/>
      <c r="U337" s="2090"/>
      <c r="V337" s="2090"/>
      <c r="W337" s="2090"/>
      <c r="X337" s="2090"/>
      <c r="Y337" s="2090"/>
      <c r="Z337" s="2090"/>
      <c r="AA337" s="2090"/>
      <c r="AB337" s="2090"/>
      <c r="AC337" s="2090"/>
      <c r="AD337" s="2090"/>
      <c r="AE337" s="2097"/>
      <c r="AF337" s="3324"/>
      <c r="AG337" s="3325"/>
      <c r="AH337" s="3325"/>
      <c r="AI337" s="3324"/>
      <c r="AJ337" s="3325"/>
      <c r="AK337" s="3325"/>
      <c r="AL337" s="3424"/>
      <c r="AM337" s="2738"/>
      <c r="AN337" s="2738"/>
      <c r="AO337" s="2738"/>
      <c r="AP337" s="2738"/>
      <c r="AQ337" s="2738"/>
      <c r="AR337" s="2738"/>
      <c r="AS337" s="2738"/>
      <c r="AT337" s="2738"/>
      <c r="AU337" s="2738"/>
      <c r="AV337" s="2738"/>
      <c r="AW337" s="2738"/>
      <c r="AX337" s="2738"/>
      <c r="AY337" s="2738"/>
      <c r="AZ337" s="2738"/>
      <c r="BA337" s="2738"/>
      <c r="BB337" s="2738"/>
      <c r="BC337" s="2738"/>
      <c r="BD337" s="2738"/>
      <c r="BE337" s="2738"/>
      <c r="BF337" s="2738"/>
    </row>
    <row customHeight="1" ht="11.25">
      <c r="A338" s="2080" t="s">
        <v>905</v>
      </c>
      <c r="B338" s="2080" t="s">
        <v>944</v>
      </c>
      <c r="C338" s="2080"/>
      <c r="D338" s="2074"/>
      <c r="E338" s="2084"/>
      <c r="F338" s="2744"/>
      <c r="G338" s="24234" t="s">
        <v>844</v>
      </c>
      <c r="H338" s="3333" t="s">
        <v>105</v>
      </c>
      <c r="I338" s="3334" t="s">
        <v>945</v>
      </c>
      <c r="J338" s="3303" t="s">
        <v>946</v>
      </c>
      <c r="K338" s="3335" t="s">
        <v>972</v>
      </c>
      <c r="L338" s="2933" t="s">
        <v>52</v>
      </c>
      <c r="M338" s="2934"/>
      <c r="N338" s="3422"/>
      <c r="O338" s="2091" t="s">
        <v>367</v>
      </c>
      <c r="P338" s="2092"/>
      <c r="Q338" s="2092"/>
      <c r="R338" s="2092"/>
      <c r="S338" s="2092"/>
      <c r="T338" s="2092"/>
      <c r="U338" s="2092"/>
      <c r="V338" s="2092"/>
      <c r="W338" s="2092"/>
      <c r="X338" s="2092"/>
      <c r="Y338" s="2092"/>
      <c r="Z338" s="2092"/>
      <c r="AA338" s="2092"/>
      <c r="AB338" s="2092"/>
      <c r="AC338" s="2092"/>
      <c r="AD338" s="2092"/>
      <c r="AE338" s="2092"/>
      <c r="AF338" s="3324">
        <v>4</v>
      </c>
      <c r="AG338" s="3325" t="s">
        <v>939</v>
      </c>
      <c r="AH338" s="3325" t="s">
        <v>958</v>
      </c>
      <c r="AI338" s="3324"/>
      <c r="AJ338" s="3325"/>
      <c r="AK338" s="3325"/>
      <c r="AL338" s="3424"/>
      <c r="AM338" s="2738"/>
      <c r="AN338" s="2738"/>
      <c r="AO338" s="2738"/>
      <c r="AP338" s="2738"/>
      <c r="AQ338" s="2738"/>
      <c r="AR338" s="2738"/>
      <c r="AS338" s="2738"/>
      <c r="AT338" s="2738"/>
      <c r="AU338" s="2738"/>
      <c r="AV338" s="2738"/>
      <c r="AW338" s="2738"/>
      <c r="AX338" s="2738"/>
      <c r="AY338" s="2738"/>
      <c r="AZ338" s="2738"/>
      <c r="BA338" s="2738"/>
      <c r="BB338" s="2738"/>
      <c r="BC338" s="2738"/>
      <c r="BD338" s="2738"/>
      <c r="BE338" s="2738"/>
      <c r="BF338" s="2738"/>
    </row>
    <row customHeight="1" ht="11.25">
      <c r="A339" s="2080" t="s">
        <v>905</v>
      </c>
      <c r="B339" s="2080"/>
      <c r="C339" s="2080"/>
      <c r="D339" s="2074"/>
      <c r="E339" s="2084"/>
      <c r="F339" s="2744"/>
      <c r="G339" s="2745"/>
      <c r="H339" s="3333" t="s">
        <v>89</v>
      </c>
      <c r="I339" s="3334"/>
      <c r="J339" s="3303"/>
      <c r="K339" s="3335"/>
      <c r="L339" s="2933"/>
      <c r="M339" s="2934"/>
      <c r="N339" s="3398"/>
      <c r="O339" s="3421">
        <v>1</v>
      </c>
      <c r="P339" s="3328" t="s">
        <v>52</v>
      </c>
      <c r="Q339" s="3331" t="s">
        <v>18</v>
      </c>
      <c r="R339" s="3331" t="s">
        <v>18</v>
      </c>
      <c r="S339" s="3331" t="s">
        <v>18</v>
      </c>
      <c r="T339" s="3331" t="s">
        <v>18</v>
      </c>
      <c r="U339" s="3331" t="s">
        <v>18</v>
      </c>
      <c r="V339" s="3331" t="s">
        <v>18</v>
      </c>
      <c r="W339" s="3331" t="s">
        <v>18</v>
      </c>
      <c r="X339" s="3331" t="s">
        <v>18</v>
      </c>
      <c r="Y339" s="3331"/>
      <c r="Z339" s="2089"/>
      <c r="AA339" s="2090"/>
      <c r="AB339" s="2090"/>
      <c r="AC339" s="2094"/>
      <c r="AD339" s="2094"/>
      <c r="AE339" s="2095"/>
      <c r="AF339" s="3324"/>
      <c r="AG339" s="3325"/>
      <c r="AH339" s="3325"/>
      <c r="AI339" s="3324"/>
      <c r="AJ339" s="3325"/>
      <c r="AK339" s="3325"/>
      <c r="AL339" s="3424"/>
      <c r="AM339" s="2738"/>
      <c r="AN339" s="2738"/>
      <c r="AO339" s="2738"/>
      <c r="AP339" s="2738"/>
      <c r="AQ339" s="2738"/>
      <c r="AR339" s="2738"/>
      <c r="AS339" s="2738"/>
      <c r="AT339" s="2738"/>
      <c r="AU339" s="2738"/>
      <c r="AV339" s="2738"/>
      <c r="AW339" s="2738"/>
      <c r="AX339" s="2738"/>
      <c r="AY339" s="2738"/>
      <c r="AZ339" s="2738"/>
      <c r="BA339" s="2738"/>
      <c r="BB339" s="2738"/>
      <c r="BC339" s="2738"/>
      <c r="BD339" s="2738"/>
      <c r="BE339" s="2738"/>
      <c r="BF339" s="2738"/>
    </row>
    <row customHeight="1" ht="11.25">
      <c r="A340" s="2080" t="s">
        <v>905</v>
      </c>
      <c r="B340" s="2080"/>
      <c r="C340" s="2080"/>
      <c r="D340" s="2074"/>
      <c r="E340" s="2084"/>
      <c r="F340" s="2744"/>
      <c r="G340" s="2745"/>
      <c r="H340" s="3333" t="s">
        <v>89</v>
      </c>
      <c r="I340" s="3334"/>
      <c r="J340" s="3303"/>
      <c r="K340" s="3335"/>
      <c r="L340" s="2933"/>
      <c r="M340" s="2934"/>
      <c r="N340" s="3398"/>
      <c r="O340" s="3421"/>
      <c r="P340" s="3329"/>
      <c r="Q340" s="3331"/>
      <c r="R340" s="3331"/>
      <c r="S340" s="3332"/>
      <c r="T340" s="3331"/>
      <c r="U340" s="3331"/>
      <c r="V340" s="3331"/>
      <c r="W340" s="3331"/>
      <c r="X340" s="3331"/>
      <c r="Y340" s="3331"/>
      <c r="Z340" s="2743"/>
      <c r="AA340" s="2709">
        <v>1</v>
      </c>
      <c r="AB340" s="2093" t="s">
        <v>949</v>
      </c>
      <c r="AC340" s="2083">
        <v>582857.27</v>
      </c>
      <c r="AD340" s="2093" t="str">
        <f>AB340</f>
        <v>      Прочие амортизационные отчисления</v>
      </c>
      <c r="AE340" s="2083"/>
      <c r="AF340" s="3324"/>
      <c r="AG340" s="3325"/>
      <c r="AH340" s="3325"/>
      <c r="AI340" s="3324"/>
      <c r="AJ340" s="3325"/>
      <c r="AK340" s="3325"/>
      <c r="AL340" s="3424"/>
      <c r="AM340" s="2738"/>
      <c r="AN340" s="2738"/>
      <c r="AO340" s="2738"/>
      <c r="AP340" s="2738"/>
      <c r="AQ340" s="2738"/>
      <c r="AR340" s="2738"/>
      <c r="AS340" s="2738"/>
      <c r="AT340" s="2738"/>
      <c r="AU340" s="2738"/>
      <c r="AV340" s="2738"/>
      <c r="AW340" s="2738"/>
      <c r="AX340" s="2738"/>
      <c r="AY340" s="2738"/>
      <c r="AZ340" s="2738"/>
      <c r="BA340" s="2738"/>
      <c r="BB340" s="2738"/>
      <c r="BC340" s="2738"/>
      <c r="BD340" s="2738"/>
      <c r="BE340" s="2738"/>
      <c r="BF340" s="2738"/>
    </row>
    <row customHeight="1" ht="11.25">
      <c r="A341" s="2080" t="s">
        <v>905</v>
      </c>
      <c r="B341" s="2080"/>
      <c r="C341" s="2080"/>
      <c r="D341" s="2074"/>
      <c r="E341" s="2084"/>
      <c r="F341" s="2745"/>
      <c r="G341" s="2745"/>
      <c r="H341" s="2745"/>
      <c r="I341" s="2745"/>
      <c r="J341" s="2745"/>
      <c r="K341" s="2745"/>
      <c r="L341" s="2745"/>
      <c r="M341" s="2745"/>
      <c r="N341" s="2745"/>
      <c r="O341" s="2745"/>
      <c r="P341" s="2745"/>
      <c r="Q341" s="2745"/>
      <c r="R341" s="2745"/>
      <c r="S341" s="2745"/>
      <c r="T341" s="2745"/>
      <c r="U341" s="2745"/>
      <c r="V341" s="2745"/>
      <c r="W341" s="2745"/>
      <c r="X341" s="2745"/>
      <c r="Y341" s="2745"/>
      <c r="Z341" s="24234" t="s">
        <v>844</v>
      </c>
      <c r="AA341" s="2729" t="s">
        <v>103</v>
      </c>
      <c r="AB341" s="2093" t="s">
        <v>941</v>
      </c>
      <c r="AC341" s="2083">
        <v>917558.04</v>
      </c>
      <c r="AD341" s="2093" t="str">
        <f>AB341</f>
        <v>  Прочие</v>
      </c>
      <c r="AE341" s="2083"/>
      <c r="AF341" s="2746"/>
      <c r="AG341" s="2674"/>
      <c r="AH341" s="2674"/>
      <c r="AI341" s="2746"/>
      <c r="AJ341" s="2674"/>
      <c r="AK341" s="3423"/>
      <c r="AL341" s="3424"/>
      <c r="AM341" s="2738"/>
      <c r="AN341" s="2738"/>
      <c r="AO341" s="2738"/>
      <c r="AP341" s="2738"/>
      <c r="AQ341" s="2738"/>
      <c r="AR341" s="2738"/>
      <c r="AS341" s="2738"/>
      <c r="AT341" s="2738"/>
      <c r="AU341" s="2738"/>
      <c r="AV341" s="2738"/>
      <c r="AW341" s="2738"/>
      <c r="AX341" s="2738"/>
      <c r="AY341" s="2738"/>
      <c r="AZ341" s="2738"/>
      <c r="BA341" s="2738"/>
      <c r="BB341" s="2738"/>
      <c r="BC341" s="2738"/>
      <c r="BD341" s="2738"/>
      <c r="BE341" s="2738"/>
      <c r="BF341" s="2738"/>
    </row>
    <row customHeight="1" ht="11.25">
      <c r="A342" s="2080" t="s">
        <v>905</v>
      </c>
      <c r="B342" s="2080"/>
      <c r="C342" s="2080"/>
      <c r="D342" s="2074"/>
      <c r="E342" s="2084"/>
      <c r="F342" s="2744"/>
      <c r="G342" s="2745"/>
      <c r="H342" s="3333" t="s">
        <v>89</v>
      </c>
      <c r="I342" s="3334"/>
      <c r="J342" s="3303"/>
      <c r="K342" s="3335"/>
      <c r="L342" s="2933"/>
      <c r="M342" s="2934"/>
      <c r="N342" s="3398"/>
      <c r="O342" s="3421"/>
      <c r="P342" s="3330"/>
      <c r="Q342" s="3331"/>
      <c r="R342" s="3331"/>
      <c r="S342" s="3332"/>
      <c r="T342" s="3331"/>
      <c r="U342" s="3331"/>
      <c r="V342" s="3331"/>
      <c r="W342" s="3331"/>
      <c r="X342" s="3331"/>
      <c r="Y342" s="3331"/>
      <c r="Z342" s="2089"/>
      <c r="AA342" s="2090"/>
      <c r="AB342" s="2155" t="s">
        <v>942</v>
      </c>
      <c r="AC342" s="2094"/>
      <c r="AD342" s="2094"/>
      <c r="AE342" s="2096"/>
      <c r="AF342" s="3324"/>
      <c r="AG342" s="3325"/>
      <c r="AH342" s="3325"/>
      <c r="AI342" s="3324"/>
      <c r="AJ342" s="3325"/>
      <c r="AK342" s="3325"/>
      <c r="AL342" s="3424"/>
      <c r="AM342" s="2738"/>
      <c r="AN342" s="2738"/>
      <c r="AO342" s="2738"/>
      <c r="AP342" s="2738"/>
      <c r="AQ342" s="2738"/>
      <c r="AR342" s="2738"/>
      <c r="AS342" s="2738"/>
      <c r="AT342" s="2738"/>
      <c r="AU342" s="2738"/>
      <c r="AV342" s="2738"/>
      <c r="AW342" s="2738"/>
      <c r="AX342" s="2738"/>
      <c r="AY342" s="2738"/>
      <c r="AZ342" s="2738"/>
      <c r="BA342" s="2738"/>
      <c r="BB342" s="2738"/>
      <c r="BC342" s="2738"/>
      <c r="BD342" s="2738"/>
      <c r="BE342" s="2738"/>
      <c r="BF342" s="2738"/>
    </row>
    <row customHeight="1" ht="11.25">
      <c r="A343" s="2080" t="s">
        <v>905</v>
      </c>
      <c r="B343" s="2080"/>
      <c r="C343" s="2080"/>
      <c r="D343" s="2074"/>
      <c r="E343" s="2084"/>
      <c r="F343" s="2744"/>
      <c r="G343" s="2745"/>
      <c r="H343" s="3333" t="s">
        <v>89</v>
      </c>
      <c r="I343" s="3334"/>
      <c r="J343" s="3303"/>
      <c r="K343" s="3335"/>
      <c r="L343" s="2933"/>
      <c r="M343" s="2934"/>
      <c r="N343" s="2089"/>
      <c r="O343" s="2090"/>
      <c r="P343" s="2082" t="s">
        <v>943</v>
      </c>
      <c r="Q343" s="2090"/>
      <c r="R343" s="2090"/>
      <c r="S343" s="2090"/>
      <c r="T343" s="2090"/>
      <c r="U343" s="2090"/>
      <c r="V343" s="2090"/>
      <c r="W343" s="2090"/>
      <c r="X343" s="2090"/>
      <c r="Y343" s="2090"/>
      <c r="Z343" s="2090"/>
      <c r="AA343" s="2090"/>
      <c r="AB343" s="2090"/>
      <c r="AC343" s="2090"/>
      <c r="AD343" s="2090"/>
      <c r="AE343" s="2097"/>
      <c r="AF343" s="3324"/>
      <c r="AG343" s="3325"/>
      <c r="AH343" s="3325"/>
      <c r="AI343" s="3324"/>
      <c r="AJ343" s="3325"/>
      <c r="AK343" s="3325"/>
      <c r="AL343" s="3424"/>
      <c r="AM343" s="2738"/>
      <c r="AN343" s="2738"/>
      <c r="AO343" s="2738"/>
      <c r="AP343" s="2738"/>
      <c r="AQ343" s="2738"/>
      <c r="AR343" s="2738"/>
      <c r="AS343" s="2738"/>
      <c r="AT343" s="2738"/>
      <c r="AU343" s="2738"/>
      <c r="AV343" s="2738"/>
      <c r="AW343" s="2738"/>
      <c r="AX343" s="2738"/>
      <c r="AY343" s="2738"/>
      <c r="AZ343" s="2738"/>
      <c r="BA343" s="2738"/>
      <c r="BB343" s="2738"/>
      <c r="BC343" s="2738"/>
      <c r="BD343" s="2738"/>
      <c r="BE343" s="2738"/>
      <c r="BF343" s="2738"/>
    </row>
    <row customHeight="1" ht="22.5">
      <c r="A344" s="2080" t="s">
        <v>905</v>
      </c>
      <c r="B344" s="2080" t="s">
        <v>18</v>
      </c>
      <c r="C344" s="2080"/>
      <c r="D344" s="2074"/>
      <c r="E344" s="2084"/>
      <c r="F344" s="2744"/>
      <c r="G344" s="24234" t="s">
        <v>844</v>
      </c>
      <c r="H344" s="3333" t="s">
        <v>141</v>
      </c>
      <c r="I344" s="3334" t="s">
        <v>956</v>
      </c>
      <c r="J344" s="24235" t="s">
        <v>18</v>
      </c>
      <c r="K344" s="3335" t="s">
        <v>957</v>
      </c>
      <c r="L344" s="2933" t="s">
        <v>52</v>
      </c>
      <c r="M344" s="2934"/>
      <c r="N344" s="3422"/>
      <c r="O344" s="2091" t="s">
        <v>367</v>
      </c>
      <c r="P344" s="2092"/>
      <c r="Q344" s="2092"/>
      <c r="R344" s="2092"/>
      <c r="S344" s="2092"/>
      <c r="T344" s="2092"/>
      <c r="U344" s="2092"/>
      <c r="V344" s="2092"/>
      <c r="W344" s="2092"/>
      <c r="X344" s="2092"/>
      <c r="Y344" s="2092"/>
      <c r="Z344" s="2092"/>
      <c r="AA344" s="2092"/>
      <c r="AB344" s="2092"/>
      <c r="AC344" s="2092"/>
      <c r="AD344" s="2092"/>
      <c r="AE344" s="2092"/>
      <c r="AF344" s="3324">
        <v>11</v>
      </c>
      <c r="AG344" s="3325" t="s">
        <v>939</v>
      </c>
      <c r="AH344" s="3325" t="s">
        <v>958</v>
      </c>
      <c r="AI344" s="3324"/>
      <c r="AJ344" s="3325"/>
      <c r="AK344" s="3325"/>
      <c r="AL344" s="3424"/>
      <c r="AM344" s="2738"/>
      <c r="AN344" s="2738"/>
      <c r="AO344" s="2738"/>
      <c r="AP344" s="2738"/>
      <c r="AQ344" s="2738"/>
      <c r="AR344" s="2738"/>
      <c r="AS344" s="2738"/>
      <c r="AT344" s="2738"/>
      <c r="AU344" s="2738"/>
      <c r="AV344" s="2738"/>
      <c r="AW344" s="2738"/>
      <c r="AX344" s="2738"/>
      <c r="AY344" s="2738"/>
      <c r="AZ344" s="2738"/>
      <c r="BA344" s="2738"/>
      <c r="BB344" s="2738"/>
      <c r="BC344" s="2738"/>
      <c r="BD344" s="2738"/>
      <c r="BE344" s="2738"/>
      <c r="BF344" s="2738"/>
    </row>
    <row customHeight="1" ht="11.25">
      <c r="A345" s="2080" t="s">
        <v>905</v>
      </c>
      <c r="B345" s="2080"/>
      <c r="C345" s="2080"/>
      <c r="D345" s="2074"/>
      <c r="E345" s="2084"/>
      <c r="F345" s="2744"/>
      <c r="G345" s="2745"/>
      <c r="H345" s="3333" t="s">
        <v>105</v>
      </c>
      <c r="I345" s="3334"/>
      <c r="J345" s="24235"/>
      <c r="K345" s="3335"/>
      <c r="L345" s="2933"/>
      <c r="M345" s="2934"/>
      <c r="N345" s="3398"/>
      <c r="O345" s="3421">
        <v>1</v>
      </c>
      <c r="P345" s="3328" t="s">
        <v>52</v>
      </c>
      <c r="Q345" s="3331" t="s">
        <v>18</v>
      </c>
      <c r="R345" s="3331" t="s">
        <v>18</v>
      </c>
      <c r="S345" s="3331" t="s">
        <v>18</v>
      </c>
      <c r="T345" s="3331" t="s">
        <v>18</v>
      </c>
      <c r="U345" s="3331" t="s">
        <v>18</v>
      </c>
      <c r="V345" s="3331" t="s">
        <v>18</v>
      </c>
      <c r="W345" s="3331" t="s">
        <v>18</v>
      </c>
      <c r="X345" s="3331" t="s">
        <v>18</v>
      </c>
      <c r="Y345" s="3331"/>
      <c r="Z345" s="2089"/>
      <c r="AA345" s="2090"/>
      <c r="AB345" s="2090"/>
      <c r="AC345" s="2094"/>
      <c r="AD345" s="2094"/>
      <c r="AE345" s="2095"/>
      <c r="AF345" s="3324"/>
      <c r="AG345" s="3325"/>
      <c r="AH345" s="3325"/>
      <c r="AI345" s="3324"/>
      <c r="AJ345" s="3325"/>
      <c r="AK345" s="3325"/>
      <c r="AL345" s="3424"/>
      <c r="AM345" s="2738"/>
      <c r="AN345" s="2738"/>
      <c r="AO345" s="2738"/>
      <c r="AP345" s="2738"/>
      <c r="AQ345" s="2738"/>
      <c r="AR345" s="2738"/>
      <c r="AS345" s="2738"/>
      <c r="AT345" s="2738"/>
      <c r="AU345" s="2738"/>
      <c r="AV345" s="2738"/>
      <c r="AW345" s="2738"/>
      <c r="AX345" s="2738"/>
      <c r="AY345" s="2738"/>
      <c r="AZ345" s="2738"/>
      <c r="BA345" s="2738"/>
      <c r="BB345" s="2738"/>
      <c r="BC345" s="2738"/>
      <c r="BD345" s="2738"/>
      <c r="BE345" s="2738"/>
      <c r="BF345" s="2738"/>
    </row>
    <row customHeight="1" ht="11.25">
      <c r="A346" s="2080" t="s">
        <v>905</v>
      </c>
      <c r="B346" s="2080"/>
      <c r="C346" s="2080"/>
      <c r="D346" s="2074"/>
      <c r="E346" s="2084"/>
      <c r="F346" s="2744"/>
      <c r="G346" s="2745"/>
      <c r="H346" s="3333" t="s">
        <v>105</v>
      </c>
      <c r="I346" s="3334"/>
      <c r="J346" s="24235"/>
      <c r="K346" s="3335"/>
      <c r="L346" s="2933"/>
      <c r="M346" s="2934"/>
      <c r="N346" s="3398"/>
      <c r="O346" s="3421"/>
      <c r="P346" s="3329"/>
      <c r="Q346" s="3331"/>
      <c r="R346" s="3331"/>
      <c r="S346" s="3332"/>
      <c r="T346" s="3331"/>
      <c r="U346" s="3331"/>
      <c r="V346" s="3331"/>
      <c r="W346" s="3331"/>
      <c r="X346" s="3331"/>
      <c r="Y346" s="3331"/>
      <c r="Z346" s="2743"/>
      <c r="AA346" s="2709">
        <v>1</v>
      </c>
      <c r="AB346" s="2093" t="s">
        <v>949</v>
      </c>
      <c r="AC346" s="2083">
        <v>56024.19</v>
      </c>
      <c r="AD346" s="2093" t="str">
        <f>AB346</f>
        <v>      Прочие амортизационные отчисления</v>
      </c>
      <c r="AE346" s="2083"/>
      <c r="AF346" s="3324"/>
      <c r="AG346" s="3325"/>
      <c r="AH346" s="3325"/>
      <c r="AI346" s="3324"/>
      <c r="AJ346" s="3325"/>
      <c r="AK346" s="3325"/>
      <c r="AL346" s="3424"/>
      <c r="AM346" s="2738"/>
      <c r="AN346" s="2738"/>
      <c r="AO346" s="2738"/>
      <c r="AP346" s="2738"/>
      <c r="AQ346" s="2738"/>
      <c r="AR346" s="2738"/>
      <c r="AS346" s="2738"/>
      <c r="AT346" s="2738"/>
      <c r="AU346" s="2738"/>
      <c r="AV346" s="2738"/>
      <c r="AW346" s="2738"/>
      <c r="AX346" s="2738"/>
      <c r="AY346" s="2738"/>
      <c r="AZ346" s="2738"/>
      <c r="BA346" s="2738"/>
      <c r="BB346" s="2738"/>
      <c r="BC346" s="2738"/>
      <c r="BD346" s="2738"/>
      <c r="BE346" s="2738"/>
      <c r="BF346" s="2738"/>
    </row>
    <row customHeight="1" ht="11.25">
      <c r="A347" s="2080" t="s">
        <v>905</v>
      </c>
      <c r="B347" s="2080"/>
      <c r="C347" s="2080"/>
      <c r="D347" s="2074"/>
      <c r="E347" s="2084"/>
      <c r="F347" s="2745"/>
      <c r="G347" s="2745"/>
      <c r="H347" s="2745"/>
      <c r="I347" s="2745"/>
      <c r="J347" s="2745"/>
      <c r="K347" s="2745"/>
      <c r="L347" s="2745"/>
      <c r="M347" s="2745"/>
      <c r="N347" s="2745"/>
      <c r="O347" s="2745"/>
      <c r="P347" s="2745"/>
      <c r="Q347" s="2745"/>
      <c r="R347" s="2745"/>
      <c r="S347" s="2745"/>
      <c r="T347" s="2745"/>
      <c r="U347" s="2745"/>
      <c r="V347" s="2745"/>
      <c r="W347" s="2745"/>
      <c r="X347" s="2745"/>
      <c r="Y347" s="2745"/>
      <c r="Z347" s="24234" t="s">
        <v>844</v>
      </c>
      <c r="AA347" s="2729" t="s">
        <v>103</v>
      </c>
      <c r="AB347" s="2093" t="s">
        <v>941</v>
      </c>
      <c r="AC347" s="2083">
        <v>88195.6</v>
      </c>
      <c r="AD347" s="2093" t="str">
        <f>AB347</f>
        <v>  Прочие</v>
      </c>
      <c r="AE347" s="2083"/>
      <c r="AF347" s="2746"/>
      <c r="AG347" s="2674"/>
      <c r="AH347" s="2674"/>
      <c r="AI347" s="2746"/>
      <c r="AJ347" s="2674"/>
      <c r="AK347" s="3423"/>
      <c r="AL347" s="3424"/>
      <c r="AM347" s="2738"/>
      <c r="AN347" s="2738"/>
      <c r="AO347" s="2738"/>
      <c r="AP347" s="2738"/>
      <c r="AQ347" s="2738"/>
      <c r="AR347" s="2738"/>
      <c r="AS347" s="2738"/>
      <c r="AT347" s="2738"/>
      <c r="AU347" s="2738"/>
      <c r="AV347" s="2738"/>
      <c r="AW347" s="2738"/>
      <c r="AX347" s="2738"/>
      <c r="AY347" s="2738"/>
      <c r="AZ347" s="2738"/>
      <c r="BA347" s="2738"/>
      <c r="BB347" s="2738"/>
      <c r="BC347" s="2738"/>
      <c r="BD347" s="2738"/>
      <c r="BE347" s="2738"/>
      <c r="BF347" s="2738"/>
    </row>
    <row customHeight="1" ht="11.25">
      <c r="A348" s="2080" t="s">
        <v>905</v>
      </c>
      <c r="B348" s="2080"/>
      <c r="C348" s="2080"/>
      <c r="D348" s="2074"/>
      <c r="E348" s="2084"/>
      <c r="F348" s="2744"/>
      <c r="G348" s="2745"/>
      <c r="H348" s="3333" t="s">
        <v>105</v>
      </c>
      <c r="I348" s="3334"/>
      <c r="J348" s="24235"/>
      <c r="K348" s="3335"/>
      <c r="L348" s="2933"/>
      <c r="M348" s="2934"/>
      <c r="N348" s="3398"/>
      <c r="O348" s="3421"/>
      <c r="P348" s="3330"/>
      <c r="Q348" s="3331"/>
      <c r="R348" s="3331"/>
      <c r="S348" s="3332"/>
      <c r="T348" s="3331"/>
      <c r="U348" s="3331"/>
      <c r="V348" s="3331"/>
      <c r="W348" s="3331"/>
      <c r="X348" s="3331"/>
      <c r="Y348" s="3331"/>
      <c r="Z348" s="2089"/>
      <c r="AA348" s="2090"/>
      <c r="AB348" s="2155" t="s">
        <v>942</v>
      </c>
      <c r="AC348" s="2094"/>
      <c r="AD348" s="2094"/>
      <c r="AE348" s="2096"/>
      <c r="AF348" s="3324"/>
      <c r="AG348" s="3325"/>
      <c r="AH348" s="3325"/>
      <c r="AI348" s="3324"/>
      <c r="AJ348" s="3325"/>
      <c r="AK348" s="3325"/>
      <c r="AL348" s="3424"/>
      <c r="AM348" s="2738"/>
      <c r="AN348" s="2738"/>
      <c r="AO348" s="2738"/>
      <c r="AP348" s="2738"/>
      <c r="AQ348" s="2738"/>
      <c r="AR348" s="2738"/>
      <c r="AS348" s="2738"/>
      <c r="AT348" s="2738"/>
      <c r="AU348" s="2738"/>
      <c r="AV348" s="2738"/>
      <c r="AW348" s="2738"/>
      <c r="AX348" s="2738"/>
      <c r="AY348" s="2738"/>
      <c r="AZ348" s="2738"/>
      <c r="BA348" s="2738"/>
      <c r="BB348" s="2738"/>
      <c r="BC348" s="2738"/>
      <c r="BD348" s="2738"/>
      <c r="BE348" s="2738"/>
      <c r="BF348" s="2738"/>
    </row>
    <row customHeight="1" ht="11.25">
      <c r="A349" s="2080" t="s">
        <v>905</v>
      </c>
      <c r="B349" s="2080"/>
      <c r="C349" s="2080"/>
      <c r="D349" s="2074"/>
      <c r="E349" s="2084"/>
      <c r="F349" s="2744"/>
      <c r="G349" s="2745"/>
      <c r="H349" s="3333" t="s">
        <v>105</v>
      </c>
      <c r="I349" s="3334"/>
      <c r="J349" s="24235"/>
      <c r="K349" s="3335"/>
      <c r="L349" s="2933"/>
      <c r="M349" s="2934"/>
      <c r="N349" s="2089"/>
      <c r="O349" s="2090"/>
      <c r="P349" s="2082" t="s">
        <v>943</v>
      </c>
      <c r="Q349" s="2090"/>
      <c r="R349" s="2090"/>
      <c r="S349" s="2090"/>
      <c r="T349" s="2090"/>
      <c r="U349" s="2090"/>
      <c r="V349" s="2090"/>
      <c r="W349" s="2090"/>
      <c r="X349" s="2090"/>
      <c r="Y349" s="2090"/>
      <c r="Z349" s="2090"/>
      <c r="AA349" s="2090"/>
      <c r="AB349" s="2090"/>
      <c r="AC349" s="2090"/>
      <c r="AD349" s="2090"/>
      <c r="AE349" s="2097"/>
      <c r="AF349" s="3324"/>
      <c r="AG349" s="3325"/>
      <c r="AH349" s="3325"/>
      <c r="AI349" s="3324"/>
      <c r="AJ349" s="3325"/>
      <c r="AK349" s="3325"/>
      <c r="AL349" s="3424"/>
      <c r="AM349" s="2738"/>
      <c r="AN349" s="2738"/>
      <c r="AO349" s="2738"/>
      <c r="AP349" s="2738"/>
      <c r="AQ349" s="2738"/>
      <c r="AR349" s="2738"/>
      <c r="AS349" s="2738"/>
      <c r="AT349" s="2738"/>
      <c r="AU349" s="2738"/>
      <c r="AV349" s="2738"/>
      <c r="AW349" s="2738"/>
      <c r="AX349" s="2738"/>
      <c r="AY349" s="2738"/>
      <c r="AZ349" s="2738"/>
      <c r="BA349" s="2738"/>
      <c r="BB349" s="2738"/>
      <c r="BC349" s="2738"/>
      <c r="BD349" s="2738"/>
      <c r="BE349" s="2738"/>
      <c r="BF349" s="2738"/>
    </row>
    <row customHeight="1" ht="12">
      <c r="A350" s="2080" t="s">
        <v>905</v>
      </c>
      <c r="B350" s="2080"/>
      <c r="C350" s="2080"/>
      <c r="D350" s="2074"/>
      <c r="E350" s="2084"/>
      <c r="F350" s="3354"/>
      <c r="G350" s="2104"/>
      <c r="H350" s="2104"/>
      <c r="I350" s="3352" t="s">
        <v>965</v>
      </c>
      <c r="J350" s="3352"/>
      <c r="K350" s="3352"/>
      <c r="L350" s="2087"/>
      <c r="M350" s="2087"/>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7"/>
      <c r="AH350" s="2087"/>
      <c r="AI350" s="2088"/>
      <c r="AJ350" s="2087"/>
      <c r="AK350" s="2088"/>
      <c r="AL350" s="3424"/>
      <c r="AM350" s="2738"/>
      <c r="AN350" s="2738"/>
      <c r="AO350" s="2738"/>
      <c r="AP350" s="2738"/>
      <c r="AQ350" s="2738"/>
      <c r="AR350" s="2738"/>
      <c r="AS350" s="2738"/>
      <c r="AT350" s="2738"/>
      <c r="AU350" s="2738"/>
      <c r="AV350" s="2738"/>
      <c r="AW350" s="2738"/>
      <c r="AX350" s="2738"/>
      <c r="AY350" s="2738"/>
      <c r="AZ350" s="2738"/>
      <c r="BA350" s="2738"/>
      <c r="BB350" s="2738"/>
      <c r="BC350" s="2738"/>
      <c r="BD350" s="2738"/>
      <c r="BE350" s="2738"/>
      <c r="BF350" s="2738"/>
    </row>
    <row customHeight="1" ht="23.25">
      <c r="A351" s="2080" t="s">
        <v>905</v>
      </c>
      <c r="B351" s="2080" t="s">
        <v>944</v>
      </c>
      <c r="C351" s="2080"/>
      <c r="D351" s="2074"/>
      <c r="E351" s="2084"/>
      <c r="F351" s="3353">
        <v>2028</v>
      </c>
      <c r="G351" s="3333"/>
      <c r="H351" s="3333" t="s">
        <v>102</v>
      </c>
      <c r="I351" s="3334" t="s">
        <v>945</v>
      </c>
      <c r="J351" s="3303" t="s">
        <v>946</v>
      </c>
      <c r="K351" s="3335" t="s">
        <v>985</v>
      </c>
      <c r="L351" s="3325" t="s">
        <v>52</v>
      </c>
      <c r="M351" s="2934"/>
      <c r="N351" s="2092"/>
      <c r="O351" s="2091" t="s">
        <v>367</v>
      </c>
      <c r="P351" s="2092"/>
      <c r="Q351" s="2092"/>
      <c r="R351" s="2092"/>
      <c r="S351" s="2092"/>
      <c r="T351" s="2092"/>
      <c r="U351" s="2092"/>
      <c r="V351" s="2092"/>
      <c r="W351" s="2092"/>
      <c r="X351" s="2092"/>
      <c r="Y351" s="2092"/>
      <c r="Z351" s="2092"/>
      <c r="AA351" s="2092"/>
      <c r="AB351" s="2092"/>
      <c r="AC351" s="2092"/>
      <c r="AD351" s="2092"/>
      <c r="AE351" s="2092"/>
      <c r="AF351" s="3324">
        <v>1</v>
      </c>
      <c r="AG351" s="3325" t="s">
        <v>939</v>
      </c>
      <c r="AH351" s="3325" t="s">
        <v>958</v>
      </c>
      <c r="AI351" s="3324"/>
      <c r="AJ351" s="3325"/>
      <c r="AK351" s="3325"/>
      <c r="AL351" s="3424"/>
      <c r="AM351" s="2738"/>
      <c r="AN351" s="2738"/>
      <c r="AO351" s="2738"/>
      <c r="AP351" s="2738"/>
      <c r="AQ351" s="2738"/>
      <c r="AR351" s="2738"/>
      <c r="AS351" s="2738"/>
      <c r="AT351" s="2738"/>
      <c r="AU351" s="2738"/>
      <c r="AV351" s="2738"/>
      <c r="AW351" s="2738"/>
      <c r="AX351" s="2738"/>
      <c r="AY351" s="2738"/>
      <c r="AZ351" s="2738"/>
      <c r="BA351" s="2738"/>
      <c r="BB351" s="2738"/>
      <c r="BC351" s="2738"/>
      <c r="BD351" s="2738"/>
      <c r="BE351" s="2738"/>
      <c r="BF351" s="2738"/>
    </row>
    <row customHeight="1" ht="27">
      <c r="A352" s="2080" t="s">
        <v>905</v>
      </c>
      <c r="B352" s="2080"/>
      <c r="C352" s="2080"/>
      <c r="D352" s="2074"/>
      <c r="E352" s="2084"/>
      <c r="F352" s="3353"/>
      <c r="G352" s="3333"/>
      <c r="H352" s="3333"/>
      <c r="I352" s="3334"/>
      <c r="J352" s="3303"/>
      <c r="K352" s="3335"/>
      <c r="L352" s="3325"/>
      <c r="M352" s="2934"/>
      <c r="N352" s="3326"/>
      <c r="O352" s="3327">
        <v>1</v>
      </c>
      <c r="P352" s="3328" t="s">
        <v>52</v>
      </c>
      <c r="Q352" s="3331" t="s">
        <v>18</v>
      </c>
      <c r="R352" s="3331" t="s">
        <v>18</v>
      </c>
      <c r="S352" s="3331" t="s">
        <v>18</v>
      </c>
      <c r="T352" s="3331" t="s">
        <v>18</v>
      </c>
      <c r="U352" s="3331" t="s">
        <v>18</v>
      </c>
      <c r="V352" s="3331" t="s">
        <v>18</v>
      </c>
      <c r="W352" s="3331" t="s">
        <v>18</v>
      </c>
      <c r="X352" s="3331" t="s">
        <v>18</v>
      </c>
      <c r="Y352" s="3331"/>
      <c r="Z352" s="2089"/>
      <c r="AA352" s="2090"/>
      <c r="AB352" s="2090"/>
      <c r="AC352" s="2094"/>
      <c r="AD352" s="2094"/>
      <c r="AE352" s="2095"/>
      <c r="AF352" s="3324"/>
      <c r="AG352" s="3325"/>
      <c r="AH352" s="3325"/>
      <c r="AI352" s="3324"/>
      <c r="AJ352" s="3325"/>
      <c r="AK352" s="3325"/>
      <c r="AL352" s="3424"/>
      <c r="AM352" s="2738"/>
      <c r="AN352" s="2738"/>
      <c r="AO352" s="2738"/>
      <c r="AP352" s="2738"/>
      <c r="AQ352" s="2738"/>
      <c r="AR352" s="2738"/>
      <c r="AS352" s="2738"/>
      <c r="AT352" s="2738"/>
      <c r="AU352" s="2738"/>
      <c r="AV352" s="2738"/>
      <c r="AW352" s="2738"/>
      <c r="AX352" s="2738"/>
      <c r="AY352" s="2738"/>
      <c r="AZ352" s="2738"/>
      <c r="BA352" s="2738"/>
      <c r="BB352" s="2738"/>
      <c r="BC352" s="2738"/>
      <c r="BD352" s="2738"/>
      <c r="BE352" s="2738"/>
      <c r="BF352" s="2738"/>
    </row>
    <row customHeight="1" ht="11.25">
      <c r="A353" s="2080" t="s">
        <v>905</v>
      </c>
      <c r="B353" s="2080"/>
      <c r="C353" s="2080"/>
      <c r="D353" s="2074"/>
      <c r="E353" s="2084"/>
      <c r="F353" s="3353"/>
      <c r="G353" s="3333"/>
      <c r="H353" s="3333"/>
      <c r="I353" s="3334"/>
      <c r="J353" s="3303"/>
      <c r="K353" s="3335"/>
      <c r="L353" s="3325"/>
      <c r="M353" s="2934"/>
      <c r="N353" s="3326"/>
      <c r="O353" s="3327"/>
      <c r="P353" s="3329"/>
      <c r="Q353" s="3331"/>
      <c r="R353" s="3331"/>
      <c r="S353" s="3332"/>
      <c r="T353" s="3331"/>
      <c r="U353" s="3331"/>
      <c r="V353" s="3331"/>
      <c r="W353" s="3331"/>
      <c r="X353" s="3331"/>
      <c r="Y353" s="3331"/>
      <c r="Z353" s="2743"/>
      <c r="AA353" s="2709">
        <v>1</v>
      </c>
      <c r="AB353" s="2093" t="s">
        <v>949</v>
      </c>
      <c r="AC353" s="2083">
        <v>27794</v>
      </c>
      <c r="AD353" s="2093" t="str">
        <f>AB353</f>
        <v>      Прочие амортизационные отчисления</v>
      </c>
      <c r="AE353" s="2083"/>
      <c r="AF353" s="3324"/>
      <c r="AG353" s="3325"/>
      <c r="AH353" s="3325"/>
      <c r="AI353" s="3324"/>
      <c r="AJ353" s="3325"/>
      <c r="AK353" s="3325"/>
      <c r="AL353" s="3424"/>
      <c r="AM353" s="2738"/>
      <c r="AN353" s="2738"/>
      <c r="AO353" s="2738"/>
      <c r="AP353" s="2738"/>
      <c r="AQ353" s="2738"/>
      <c r="AR353" s="2738"/>
      <c r="AS353" s="2738"/>
      <c r="AT353" s="2738"/>
      <c r="AU353" s="2738"/>
      <c r="AV353" s="2738"/>
      <c r="AW353" s="2738"/>
      <c r="AX353" s="2738"/>
      <c r="AY353" s="2738"/>
      <c r="AZ353" s="2738"/>
      <c r="BA353" s="2738"/>
      <c r="BB353" s="2738"/>
      <c r="BC353" s="2738"/>
      <c r="BD353" s="2738"/>
      <c r="BE353" s="2738"/>
      <c r="BF353" s="2738"/>
    </row>
    <row customHeight="1" ht="11.25">
      <c r="A354" s="2080" t="s">
        <v>905</v>
      </c>
      <c r="B354" s="2080"/>
      <c r="C354" s="2080"/>
      <c r="D354" s="2074"/>
      <c r="E354" s="2084"/>
      <c r="F354" s="2745"/>
      <c r="G354" s="2745"/>
      <c r="H354" s="2745"/>
      <c r="I354" s="2745"/>
      <c r="J354" s="2745"/>
      <c r="K354" s="2745"/>
      <c r="L354" s="2745"/>
      <c r="M354" s="2745"/>
      <c r="N354" s="2745"/>
      <c r="O354" s="2745"/>
      <c r="P354" s="2745"/>
      <c r="Q354" s="2745"/>
      <c r="R354" s="2745"/>
      <c r="S354" s="2745"/>
      <c r="T354" s="2745"/>
      <c r="U354" s="2745"/>
      <c r="V354" s="2745"/>
      <c r="W354" s="2745"/>
      <c r="X354" s="2745"/>
      <c r="Y354" s="2745"/>
      <c r="Z354" s="27024" t="s">
        <v>844</v>
      </c>
      <c r="AA354" s="2729" t="s">
        <v>103</v>
      </c>
      <c r="AB354" s="2093" t="s">
        <v>941</v>
      </c>
      <c r="AC354" s="2083">
        <v>30363.14</v>
      </c>
      <c r="AD354" s="2093" t="str">
        <f>AB354</f>
        <v>  Прочие</v>
      </c>
      <c r="AE354" s="2083"/>
      <c r="AF354" s="2746"/>
      <c r="AG354" s="2674"/>
      <c r="AH354" s="2674"/>
      <c r="AI354" s="2746"/>
      <c r="AJ354" s="2674"/>
      <c r="AK354" s="3423"/>
      <c r="AL354" s="3424"/>
      <c r="AM354" s="2738"/>
      <c r="AN354" s="2738"/>
      <c r="AO354" s="2738"/>
      <c r="AP354" s="2738"/>
      <c r="AQ354" s="2738"/>
      <c r="AR354" s="2738"/>
      <c r="AS354" s="2738"/>
      <c r="AT354" s="2738"/>
      <c r="AU354" s="2738"/>
      <c r="AV354" s="2738"/>
      <c r="AW354" s="2738"/>
      <c r="AX354" s="2738"/>
      <c r="AY354" s="2738"/>
      <c r="AZ354" s="2738"/>
      <c r="BA354" s="2738"/>
      <c r="BB354" s="2738"/>
      <c r="BC354" s="2738"/>
      <c r="BD354" s="2738"/>
      <c r="BE354" s="2738"/>
      <c r="BF354" s="2738"/>
    </row>
    <row customHeight="1" ht="11.25">
      <c r="A355" s="2080" t="s">
        <v>905</v>
      </c>
      <c r="B355" s="2080"/>
      <c r="C355" s="2080"/>
      <c r="D355" s="2074"/>
      <c r="E355" s="2084"/>
      <c r="F355" s="3353"/>
      <c r="G355" s="3333"/>
      <c r="H355" s="3333"/>
      <c r="I355" s="3334"/>
      <c r="J355" s="3303"/>
      <c r="K355" s="3335"/>
      <c r="L355" s="3325"/>
      <c r="M355" s="2934"/>
      <c r="N355" s="3326"/>
      <c r="O355" s="3327"/>
      <c r="P355" s="3330"/>
      <c r="Q355" s="3331"/>
      <c r="R355" s="3331"/>
      <c r="S355" s="3332"/>
      <c r="T355" s="3331"/>
      <c r="U355" s="3331"/>
      <c r="V355" s="3331"/>
      <c r="W355" s="3331"/>
      <c r="X355" s="3331"/>
      <c r="Y355" s="3331"/>
      <c r="Z355" s="2089"/>
      <c r="AA355" s="2090"/>
      <c r="AB355" s="2155" t="s">
        <v>942</v>
      </c>
      <c r="AC355" s="2094"/>
      <c r="AD355" s="2094"/>
      <c r="AE355" s="2096"/>
      <c r="AF355" s="3324"/>
      <c r="AG355" s="3325"/>
      <c r="AH355" s="3325"/>
      <c r="AI355" s="3324"/>
      <c r="AJ355" s="3325"/>
      <c r="AK355" s="3325"/>
      <c r="AL355" s="3424"/>
      <c r="AM355" s="2738"/>
      <c r="AN355" s="2738"/>
      <c r="AO355" s="2738"/>
      <c r="AP355" s="2738"/>
      <c r="AQ355" s="2738"/>
      <c r="AR355" s="2738"/>
      <c r="AS355" s="2738"/>
      <c r="AT355" s="2738"/>
      <c r="AU355" s="2738"/>
      <c r="AV355" s="2738"/>
      <c r="AW355" s="2738"/>
      <c r="AX355" s="2738"/>
      <c r="AY355" s="2738"/>
      <c r="AZ355" s="2738"/>
      <c r="BA355" s="2738"/>
      <c r="BB355" s="2738"/>
      <c r="BC355" s="2738"/>
      <c r="BD355" s="2738"/>
      <c r="BE355" s="2738"/>
      <c r="BF355" s="2738"/>
    </row>
    <row customHeight="1" ht="11.25">
      <c r="A356" s="2080" t="s">
        <v>905</v>
      </c>
      <c r="B356" s="2080"/>
      <c r="C356" s="2080"/>
      <c r="D356" s="2074"/>
      <c r="E356" s="2084"/>
      <c r="F356" s="3353"/>
      <c r="G356" s="3333"/>
      <c r="H356" s="3333"/>
      <c r="I356" s="3334"/>
      <c r="J356" s="3303"/>
      <c r="K356" s="3335"/>
      <c r="L356" s="3325"/>
      <c r="M356" s="2934"/>
      <c r="N356" s="2090"/>
      <c r="O356" s="2090"/>
      <c r="P356" s="2082" t="s">
        <v>943</v>
      </c>
      <c r="Q356" s="2090"/>
      <c r="R356" s="2090"/>
      <c r="S356" s="2090"/>
      <c r="T356" s="2090"/>
      <c r="U356" s="2090"/>
      <c r="V356" s="2090"/>
      <c r="W356" s="2090"/>
      <c r="X356" s="2090"/>
      <c r="Y356" s="2090"/>
      <c r="Z356" s="2090"/>
      <c r="AA356" s="2090"/>
      <c r="AB356" s="2090"/>
      <c r="AC356" s="2090"/>
      <c r="AD356" s="2090"/>
      <c r="AE356" s="2097"/>
      <c r="AF356" s="3324"/>
      <c r="AG356" s="3325"/>
      <c r="AH356" s="3325"/>
      <c r="AI356" s="3324"/>
      <c r="AJ356" s="3325"/>
      <c r="AK356" s="3325"/>
      <c r="AL356" s="3424"/>
      <c r="AM356" s="2738"/>
      <c r="AN356" s="2738"/>
      <c r="AO356" s="2738"/>
      <c r="AP356" s="2738"/>
      <c r="AQ356" s="2738"/>
      <c r="AR356" s="2738"/>
      <c r="AS356" s="2738"/>
      <c r="AT356" s="2738"/>
      <c r="AU356" s="2738"/>
      <c r="AV356" s="2738"/>
      <c r="AW356" s="2738"/>
      <c r="AX356" s="2738"/>
      <c r="AY356" s="2738"/>
      <c r="AZ356" s="2738"/>
      <c r="BA356" s="2738"/>
      <c r="BB356" s="2738"/>
      <c r="BC356" s="2738"/>
      <c r="BD356" s="2738"/>
      <c r="BE356" s="2738"/>
      <c r="BF356" s="2738"/>
    </row>
    <row customHeight="1" ht="21.75">
      <c r="A357" s="2080" t="s">
        <v>905</v>
      </c>
      <c r="B357" s="2080" t="s">
        <v>944</v>
      </c>
      <c r="C357" s="2080"/>
      <c r="D357" s="2074"/>
      <c r="E357" s="2084"/>
      <c r="F357" s="2744"/>
      <c r="G357" s="24234" t="s">
        <v>844</v>
      </c>
      <c r="H357" s="3333" t="s">
        <v>103</v>
      </c>
      <c r="I357" s="3334" t="s">
        <v>945</v>
      </c>
      <c r="J357" s="3303" t="s">
        <v>946</v>
      </c>
      <c r="K357" s="3335" t="s">
        <v>966</v>
      </c>
      <c r="L357" s="2933" t="s">
        <v>52</v>
      </c>
      <c r="M357" s="2934"/>
      <c r="N357" s="3422"/>
      <c r="O357" s="2091" t="s">
        <v>367</v>
      </c>
      <c r="P357" s="2092"/>
      <c r="Q357" s="2092"/>
      <c r="R357" s="2092"/>
      <c r="S357" s="2092"/>
      <c r="T357" s="2092"/>
      <c r="U357" s="2092"/>
      <c r="V357" s="2092"/>
      <c r="W357" s="2092"/>
      <c r="X357" s="2092"/>
      <c r="Y357" s="2092"/>
      <c r="Z357" s="2092"/>
      <c r="AA357" s="2092"/>
      <c r="AB357" s="2092"/>
      <c r="AC357" s="2092"/>
      <c r="AD357" s="2092"/>
      <c r="AE357" s="2092"/>
      <c r="AF357" s="3324">
        <v>4</v>
      </c>
      <c r="AG357" s="3325" t="s">
        <v>939</v>
      </c>
      <c r="AH357" s="3325" t="s">
        <v>958</v>
      </c>
      <c r="AI357" s="3324"/>
      <c r="AJ357" s="3325"/>
      <c r="AK357" s="3325"/>
      <c r="AL357" s="3424"/>
      <c r="AM357" s="2738"/>
      <c r="AN357" s="2738"/>
      <c r="AO357" s="2738"/>
      <c r="AP357" s="2738"/>
      <c r="AQ357" s="2738"/>
      <c r="AR357" s="2738"/>
      <c r="AS357" s="2738"/>
      <c r="AT357" s="2738"/>
      <c r="AU357" s="2738"/>
      <c r="AV357" s="2738"/>
      <c r="AW357" s="2738"/>
      <c r="AX357" s="2738"/>
      <c r="AY357" s="2738"/>
      <c r="AZ357" s="2738"/>
      <c r="BA357" s="2738"/>
      <c r="BB357" s="2738"/>
      <c r="BC357" s="2738"/>
      <c r="BD357" s="2738"/>
      <c r="BE357" s="2738"/>
      <c r="BF357" s="2738"/>
    </row>
    <row customHeight="1" ht="23.25">
      <c r="A358" s="2080" t="s">
        <v>905</v>
      </c>
      <c r="B358" s="2080"/>
      <c r="C358" s="2080"/>
      <c r="D358" s="2074"/>
      <c r="E358" s="2084"/>
      <c r="F358" s="2744"/>
      <c r="G358" s="2745"/>
      <c r="H358" s="3333" t="s">
        <v>102</v>
      </c>
      <c r="I358" s="3334"/>
      <c r="J358" s="3303"/>
      <c r="K358" s="3335"/>
      <c r="L358" s="2933"/>
      <c r="M358" s="2934"/>
      <c r="N358" s="3398"/>
      <c r="O358" s="3421">
        <v>1</v>
      </c>
      <c r="P358" s="3328" t="s">
        <v>52</v>
      </c>
      <c r="Q358" s="3331" t="s">
        <v>18</v>
      </c>
      <c r="R358" s="3331" t="s">
        <v>18</v>
      </c>
      <c r="S358" s="3331" t="s">
        <v>18</v>
      </c>
      <c r="T358" s="3331" t="s">
        <v>18</v>
      </c>
      <c r="U358" s="3331" t="s">
        <v>18</v>
      </c>
      <c r="V358" s="3331" t="s">
        <v>18</v>
      </c>
      <c r="W358" s="3331" t="s">
        <v>18</v>
      </c>
      <c r="X358" s="3331" t="s">
        <v>18</v>
      </c>
      <c r="Y358" s="3331"/>
      <c r="Z358" s="2089"/>
      <c r="AA358" s="2090"/>
      <c r="AB358" s="2090"/>
      <c r="AC358" s="2094"/>
      <c r="AD358" s="2094"/>
      <c r="AE358" s="2095"/>
      <c r="AF358" s="3324"/>
      <c r="AG358" s="3325"/>
      <c r="AH358" s="3325"/>
      <c r="AI358" s="3324"/>
      <c r="AJ358" s="3325"/>
      <c r="AK358" s="3325"/>
      <c r="AL358" s="3424"/>
      <c r="AM358" s="2738"/>
      <c r="AN358" s="2738"/>
      <c r="AO358" s="2738"/>
      <c r="AP358" s="2738"/>
      <c r="AQ358" s="2738"/>
      <c r="AR358" s="2738"/>
      <c r="AS358" s="2738"/>
      <c r="AT358" s="2738"/>
      <c r="AU358" s="2738"/>
      <c r="AV358" s="2738"/>
      <c r="AW358" s="2738"/>
      <c r="AX358" s="2738"/>
      <c r="AY358" s="2738"/>
      <c r="AZ358" s="2738"/>
      <c r="BA358" s="2738"/>
      <c r="BB358" s="2738"/>
      <c r="BC358" s="2738"/>
      <c r="BD358" s="2738"/>
      <c r="BE358" s="2738"/>
      <c r="BF358" s="2738"/>
    </row>
    <row customHeight="1" ht="11.25">
      <c r="A359" s="2080" t="s">
        <v>905</v>
      </c>
      <c r="B359" s="2080"/>
      <c r="C359" s="2080"/>
      <c r="D359" s="2074"/>
      <c r="E359" s="2084"/>
      <c r="F359" s="2744"/>
      <c r="G359" s="2745"/>
      <c r="H359" s="3333" t="s">
        <v>102</v>
      </c>
      <c r="I359" s="3334"/>
      <c r="J359" s="3303"/>
      <c r="K359" s="3335"/>
      <c r="L359" s="2933"/>
      <c r="M359" s="2934"/>
      <c r="N359" s="3398"/>
      <c r="O359" s="3421"/>
      <c r="P359" s="3329"/>
      <c r="Q359" s="3331"/>
      <c r="R359" s="3331"/>
      <c r="S359" s="3332"/>
      <c r="T359" s="3331"/>
      <c r="U359" s="3331"/>
      <c r="V359" s="3331"/>
      <c r="W359" s="3331"/>
      <c r="X359" s="3331"/>
      <c r="Y359" s="3331"/>
      <c r="Z359" s="2743"/>
      <c r="AA359" s="2709">
        <v>1</v>
      </c>
      <c r="AB359" s="2093" t="s">
        <v>949</v>
      </c>
      <c r="AC359" s="2083">
        <v>225616.46</v>
      </c>
      <c r="AD359" s="2093" t="str">
        <f>AB359</f>
        <v>      Прочие амортизационные отчисления</v>
      </c>
      <c r="AE359" s="2083"/>
      <c r="AF359" s="3324"/>
      <c r="AG359" s="3325"/>
      <c r="AH359" s="3325"/>
      <c r="AI359" s="3324"/>
      <c r="AJ359" s="3325"/>
      <c r="AK359" s="3325"/>
      <c r="AL359" s="3424"/>
      <c r="AM359" s="2738"/>
      <c r="AN359" s="2738"/>
      <c r="AO359" s="2738"/>
      <c r="AP359" s="2738"/>
      <c r="AQ359" s="2738"/>
      <c r="AR359" s="2738"/>
      <c r="AS359" s="2738"/>
      <c r="AT359" s="2738"/>
      <c r="AU359" s="2738"/>
      <c r="AV359" s="2738"/>
      <c r="AW359" s="2738"/>
      <c r="AX359" s="2738"/>
      <c r="AY359" s="2738"/>
      <c r="AZ359" s="2738"/>
      <c r="BA359" s="2738"/>
      <c r="BB359" s="2738"/>
      <c r="BC359" s="2738"/>
      <c r="BD359" s="2738"/>
      <c r="BE359" s="2738"/>
      <c r="BF359" s="2738"/>
    </row>
    <row customHeight="1" ht="11.25">
      <c r="A360" s="2080" t="s">
        <v>905</v>
      </c>
      <c r="B360" s="2080"/>
      <c r="C360" s="2080"/>
      <c r="D360" s="2074"/>
      <c r="E360" s="2084"/>
      <c r="F360" s="2745"/>
      <c r="G360" s="2745"/>
      <c r="H360" s="2745"/>
      <c r="I360" s="2745"/>
      <c r="J360" s="2745"/>
      <c r="K360" s="2745"/>
      <c r="L360" s="2745"/>
      <c r="M360" s="2745"/>
      <c r="N360" s="2745"/>
      <c r="O360" s="2745"/>
      <c r="P360" s="2745"/>
      <c r="Q360" s="2745"/>
      <c r="R360" s="2745"/>
      <c r="S360" s="2745"/>
      <c r="T360" s="2745"/>
      <c r="U360" s="2745"/>
      <c r="V360" s="2745"/>
      <c r="W360" s="2745"/>
      <c r="X360" s="2745"/>
      <c r="Y360" s="2745"/>
      <c r="Z360" s="27024" t="s">
        <v>844</v>
      </c>
      <c r="AA360" s="2729" t="s">
        <v>103</v>
      </c>
      <c r="AB360" s="2093" t="s">
        <v>941</v>
      </c>
      <c r="AC360" s="2083">
        <v>220159.33</v>
      </c>
      <c r="AD360" s="2093" t="str">
        <f>AB360</f>
        <v>  Прочие</v>
      </c>
      <c r="AE360" s="2083"/>
      <c r="AF360" s="2746"/>
      <c r="AG360" s="2674"/>
      <c r="AH360" s="2674"/>
      <c r="AI360" s="2746"/>
      <c r="AJ360" s="2674"/>
      <c r="AK360" s="3423"/>
      <c r="AL360" s="3424"/>
      <c r="AM360" s="2738"/>
      <c r="AN360" s="2738"/>
      <c r="AO360" s="2738"/>
      <c r="AP360" s="2738"/>
      <c r="AQ360" s="2738"/>
      <c r="AR360" s="2738"/>
      <c r="AS360" s="2738"/>
      <c r="AT360" s="2738"/>
      <c r="AU360" s="2738"/>
      <c r="AV360" s="2738"/>
      <c r="AW360" s="2738"/>
      <c r="AX360" s="2738"/>
      <c r="AY360" s="2738"/>
      <c r="AZ360" s="2738"/>
      <c r="BA360" s="2738"/>
      <c r="BB360" s="2738"/>
      <c r="BC360" s="2738"/>
      <c r="BD360" s="2738"/>
      <c r="BE360" s="2738"/>
      <c r="BF360" s="2738"/>
    </row>
    <row customHeight="1" ht="11.25">
      <c r="A361" s="2080" t="s">
        <v>905</v>
      </c>
      <c r="B361" s="2080"/>
      <c r="C361" s="2080"/>
      <c r="D361" s="2074"/>
      <c r="E361" s="2084"/>
      <c r="F361" s="2744"/>
      <c r="G361" s="2745"/>
      <c r="H361" s="3333" t="s">
        <v>102</v>
      </c>
      <c r="I361" s="3334"/>
      <c r="J361" s="3303"/>
      <c r="K361" s="3335"/>
      <c r="L361" s="2933"/>
      <c r="M361" s="2934"/>
      <c r="N361" s="3398"/>
      <c r="O361" s="3421"/>
      <c r="P361" s="3330"/>
      <c r="Q361" s="3331"/>
      <c r="R361" s="3331"/>
      <c r="S361" s="3332"/>
      <c r="T361" s="3331"/>
      <c r="U361" s="3331"/>
      <c r="V361" s="3331"/>
      <c r="W361" s="3331"/>
      <c r="X361" s="3331"/>
      <c r="Y361" s="3331"/>
      <c r="Z361" s="2089"/>
      <c r="AA361" s="2090"/>
      <c r="AB361" s="2155" t="s">
        <v>942</v>
      </c>
      <c r="AC361" s="2094"/>
      <c r="AD361" s="2094"/>
      <c r="AE361" s="2096"/>
      <c r="AF361" s="3324"/>
      <c r="AG361" s="3325"/>
      <c r="AH361" s="3325"/>
      <c r="AI361" s="3324"/>
      <c r="AJ361" s="3325"/>
      <c r="AK361" s="3325"/>
      <c r="AL361" s="3424"/>
      <c r="AM361" s="2738"/>
      <c r="AN361" s="2738"/>
      <c r="AO361" s="2738"/>
      <c r="AP361" s="2738"/>
      <c r="AQ361" s="2738"/>
      <c r="AR361" s="2738"/>
      <c r="AS361" s="2738"/>
      <c r="AT361" s="2738"/>
      <c r="AU361" s="2738"/>
      <c r="AV361" s="2738"/>
      <c r="AW361" s="2738"/>
      <c r="AX361" s="2738"/>
      <c r="AY361" s="2738"/>
      <c r="AZ361" s="2738"/>
      <c r="BA361" s="2738"/>
      <c r="BB361" s="2738"/>
      <c r="BC361" s="2738"/>
      <c r="BD361" s="2738"/>
      <c r="BE361" s="2738"/>
      <c r="BF361" s="2738"/>
    </row>
    <row customHeight="1" ht="11.25">
      <c r="A362" s="2080" t="s">
        <v>905</v>
      </c>
      <c r="B362" s="2080"/>
      <c r="C362" s="2080"/>
      <c r="D362" s="2074"/>
      <c r="E362" s="2084"/>
      <c r="F362" s="2744"/>
      <c r="G362" s="2745"/>
      <c r="H362" s="3333" t="s">
        <v>102</v>
      </c>
      <c r="I362" s="3334"/>
      <c r="J362" s="3303"/>
      <c r="K362" s="3335"/>
      <c r="L362" s="2933"/>
      <c r="M362" s="2934"/>
      <c r="N362" s="2089"/>
      <c r="O362" s="2090"/>
      <c r="P362" s="2082" t="s">
        <v>943</v>
      </c>
      <c r="Q362" s="2090"/>
      <c r="R362" s="2090"/>
      <c r="S362" s="2090"/>
      <c r="T362" s="2090"/>
      <c r="U362" s="2090"/>
      <c r="V362" s="2090"/>
      <c r="W362" s="2090"/>
      <c r="X362" s="2090"/>
      <c r="Y362" s="2090"/>
      <c r="Z362" s="2090"/>
      <c r="AA362" s="2090"/>
      <c r="AB362" s="2090"/>
      <c r="AC362" s="2090"/>
      <c r="AD362" s="2090"/>
      <c r="AE362" s="2097"/>
      <c r="AF362" s="3324"/>
      <c r="AG362" s="3325"/>
      <c r="AH362" s="3325"/>
      <c r="AI362" s="3324"/>
      <c r="AJ362" s="3325"/>
      <c r="AK362" s="3325"/>
      <c r="AL362" s="3424"/>
      <c r="AM362" s="2738"/>
      <c r="AN362" s="2738"/>
      <c r="AO362" s="2738"/>
      <c r="AP362" s="2738"/>
      <c r="AQ362" s="2738"/>
      <c r="AR362" s="2738"/>
      <c r="AS362" s="2738"/>
      <c r="AT362" s="2738"/>
      <c r="AU362" s="2738"/>
      <c r="AV362" s="2738"/>
      <c r="AW362" s="2738"/>
      <c r="AX362" s="2738"/>
      <c r="AY362" s="2738"/>
      <c r="AZ362" s="2738"/>
      <c r="BA362" s="2738"/>
      <c r="BB362" s="2738"/>
      <c r="BC362" s="2738"/>
      <c r="BD362" s="2738"/>
      <c r="BE362" s="2738"/>
      <c r="BF362" s="2738"/>
    </row>
    <row customHeight="1" ht="23.25">
      <c r="A363" s="2080" t="s">
        <v>905</v>
      </c>
      <c r="B363" s="2080" t="s">
        <v>944</v>
      </c>
      <c r="C363" s="2080"/>
      <c r="D363" s="2074"/>
      <c r="E363" s="2084"/>
      <c r="F363" s="2744"/>
      <c r="G363" s="24234" t="s">
        <v>844</v>
      </c>
      <c r="H363" s="3333" t="s">
        <v>86</v>
      </c>
      <c r="I363" s="3334" t="s">
        <v>945</v>
      </c>
      <c r="J363" s="3303" t="s">
        <v>946</v>
      </c>
      <c r="K363" s="3335" t="s">
        <v>981</v>
      </c>
      <c r="L363" s="2933" t="s">
        <v>52</v>
      </c>
      <c r="M363" s="2934"/>
      <c r="N363" s="3422"/>
      <c r="O363" s="2091" t="s">
        <v>367</v>
      </c>
      <c r="P363" s="2092"/>
      <c r="Q363" s="2092"/>
      <c r="R363" s="2092"/>
      <c r="S363" s="2092"/>
      <c r="T363" s="2092"/>
      <c r="U363" s="2092"/>
      <c r="V363" s="2092"/>
      <c r="W363" s="2092"/>
      <c r="X363" s="2092"/>
      <c r="Y363" s="2092"/>
      <c r="Z363" s="2092"/>
      <c r="AA363" s="2092"/>
      <c r="AB363" s="2092"/>
      <c r="AC363" s="2092"/>
      <c r="AD363" s="2092"/>
      <c r="AE363" s="2092"/>
      <c r="AF363" s="3324">
        <v>3</v>
      </c>
      <c r="AG363" s="3325" t="s">
        <v>939</v>
      </c>
      <c r="AH363" s="3325" t="s">
        <v>958</v>
      </c>
      <c r="AI363" s="3324"/>
      <c r="AJ363" s="3325"/>
      <c r="AK363" s="3325"/>
      <c r="AL363" s="3424"/>
      <c r="AM363" s="2738"/>
      <c r="AN363" s="2738"/>
      <c r="AO363" s="2738"/>
      <c r="AP363" s="2738"/>
      <c r="AQ363" s="2738"/>
      <c r="AR363" s="2738"/>
      <c r="AS363" s="2738"/>
      <c r="AT363" s="2738"/>
      <c r="AU363" s="2738"/>
      <c r="AV363" s="2738"/>
      <c r="AW363" s="2738"/>
      <c r="AX363" s="2738"/>
      <c r="AY363" s="2738"/>
      <c r="AZ363" s="2738"/>
      <c r="BA363" s="2738"/>
      <c r="BB363" s="2738"/>
      <c r="BC363" s="2738"/>
      <c r="BD363" s="2738"/>
      <c r="BE363" s="2738"/>
      <c r="BF363" s="2738"/>
    </row>
    <row customHeight="1" ht="11.25">
      <c r="A364" s="2080" t="s">
        <v>905</v>
      </c>
      <c r="B364" s="2080"/>
      <c r="C364" s="2080"/>
      <c r="D364" s="2074"/>
      <c r="E364" s="2084"/>
      <c r="F364" s="2744"/>
      <c r="G364" s="2745"/>
      <c r="H364" s="3333" t="s">
        <v>103</v>
      </c>
      <c r="I364" s="3334"/>
      <c r="J364" s="3303"/>
      <c r="K364" s="3335"/>
      <c r="L364" s="2933"/>
      <c r="M364" s="2934"/>
      <c r="N364" s="3398"/>
      <c r="O364" s="3421">
        <v>1</v>
      </c>
      <c r="P364" s="3328" t="s">
        <v>52</v>
      </c>
      <c r="Q364" s="3331" t="s">
        <v>18</v>
      </c>
      <c r="R364" s="3331" t="s">
        <v>18</v>
      </c>
      <c r="S364" s="3331" t="s">
        <v>18</v>
      </c>
      <c r="T364" s="3331" t="s">
        <v>18</v>
      </c>
      <c r="U364" s="3331" t="s">
        <v>18</v>
      </c>
      <c r="V364" s="3331" t="s">
        <v>18</v>
      </c>
      <c r="W364" s="3331" t="s">
        <v>18</v>
      </c>
      <c r="X364" s="3331" t="s">
        <v>18</v>
      </c>
      <c r="Y364" s="3331"/>
      <c r="Z364" s="2089"/>
      <c r="AA364" s="2090"/>
      <c r="AB364" s="2090"/>
      <c r="AC364" s="2094"/>
      <c r="AD364" s="2094"/>
      <c r="AE364" s="2095"/>
      <c r="AF364" s="3324"/>
      <c r="AG364" s="3325"/>
      <c r="AH364" s="3325"/>
      <c r="AI364" s="3324"/>
      <c r="AJ364" s="3325"/>
      <c r="AK364" s="3325"/>
      <c r="AL364" s="3424"/>
      <c r="AM364" s="2738"/>
      <c r="AN364" s="2738"/>
      <c r="AO364" s="2738"/>
      <c r="AP364" s="2738"/>
      <c r="AQ364" s="2738"/>
      <c r="AR364" s="2738"/>
      <c r="AS364" s="2738"/>
      <c r="AT364" s="2738"/>
      <c r="AU364" s="2738"/>
      <c r="AV364" s="2738"/>
      <c r="AW364" s="2738"/>
      <c r="AX364" s="2738"/>
      <c r="AY364" s="2738"/>
      <c r="AZ364" s="2738"/>
      <c r="BA364" s="2738"/>
      <c r="BB364" s="2738"/>
      <c r="BC364" s="2738"/>
      <c r="BD364" s="2738"/>
      <c r="BE364" s="2738"/>
      <c r="BF364" s="2738"/>
    </row>
    <row customHeight="1" ht="11.25">
      <c r="A365" s="2080" t="s">
        <v>905</v>
      </c>
      <c r="B365" s="2080"/>
      <c r="C365" s="2080"/>
      <c r="D365" s="2074"/>
      <c r="E365" s="2084"/>
      <c r="F365" s="2744"/>
      <c r="G365" s="2745"/>
      <c r="H365" s="3333" t="s">
        <v>103</v>
      </c>
      <c r="I365" s="3334"/>
      <c r="J365" s="3303"/>
      <c r="K365" s="3335"/>
      <c r="L365" s="2933"/>
      <c r="M365" s="2934"/>
      <c r="N365" s="3398"/>
      <c r="O365" s="3421"/>
      <c r="P365" s="3329"/>
      <c r="Q365" s="3331"/>
      <c r="R365" s="3331"/>
      <c r="S365" s="3332"/>
      <c r="T365" s="3331"/>
      <c r="U365" s="3331"/>
      <c r="V365" s="3331"/>
      <c r="W365" s="3331"/>
      <c r="X365" s="3331"/>
      <c r="Y365" s="3331"/>
      <c r="Z365" s="2743"/>
      <c r="AA365" s="2709">
        <v>1</v>
      </c>
      <c r="AB365" s="2093" t="s">
        <v>949</v>
      </c>
      <c r="AC365" s="2083">
        <v>225616.46</v>
      </c>
      <c r="AD365" s="2093" t="str">
        <f>AB365</f>
        <v>      Прочие амортизационные отчисления</v>
      </c>
      <c r="AE365" s="2083"/>
      <c r="AF365" s="3324"/>
      <c r="AG365" s="3325"/>
      <c r="AH365" s="3325"/>
      <c r="AI365" s="3324"/>
      <c r="AJ365" s="3325"/>
      <c r="AK365" s="3325"/>
      <c r="AL365" s="3424"/>
      <c r="AM365" s="2738"/>
      <c r="AN365" s="2738"/>
      <c r="AO365" s="2738"/>
      <c r="AP365" s="2738"/>
      <c r="AQ365" s="2738"/>
      <c r="AR365" s="2738"/>
      <c r="AS365" s="2738"/>
      <c r="AT365" s="2738"/>
      <c r="AU365" s="2738"/>
      <c r="AV365" s="2738"/>
      <c r="AW365" s="2738"/>
      <c r="AX365" s="2738"/>
      <c r="AY365" s="2738"/>
      <c r="AZ365" s="2738"/>
      <c r="BA365" s="2738"/>
      <c r="BB365" s="2738"/>
      <c r="BC365" s="2738"/>
      <c r="BD365" s="2738"/>
      <c r="BE365" s="2738"/>
      <c r="BF365" s="2738"/>
    </row>
    <row customHeight="1" ht="11.25">
      <c r="A366" s="2080" t="s">
        <v>905</v>
      </c>
      <c r="B366" s="2080"/>
      <c r="C366" s="2080"/>
      <c r="D366" s="2074"/>
      <c r="E366" s="2084"/>
      <c r="F366" s="2745"/>
      <c r="G366" s="2745"/>
      <c r="H366" s="2745"/>
      <c r="I366" s="2745"/>
      <c r="J366" s="2745"/>
      <c r="K366" s="2745"/>
      <c r="L366" s="2745"/>
      <c r="M366" s="2745"/>
      <c r="N366" s="2745"/>
      <c r="O366" s="2745"/>
      <c r="P366" s="2745"/>
      <c r="Q366" s="2745"/>
      <c r="R366" s="2745"/>
      <c r="S366" s="2745"/>
      <c r="T366" s="2745"/>
      <c r="U366" s="2745"/>
      <c r="V366" s="2745"/>
      <c r="W366" s="2745"/>
      <c r="X366" s="2745"/>
      <c r="Y366" s="2745"/>
      <c r="Z366" s="27024" t="s">
        <v>844</v>
      </c>
      <c r="AA366" s="2729" t="s">
        <v>103</v>
      </c>
      <c r="AB366" s="2093" t="s">
        <v>941</v>
      </c>
      <c r="AC366" s="2083">
        <v>168895.11</v>
      </c>
      <c r="AD366" s="2093" t="str">
        <f>AB366</f>
        <v>  Прочие</v>
      </c>
      <c r="AE366" s="2083"/>
      <c r="AF366" s="2746"/>
      <c r="AG366" s="2674"/>
      <c r="AH366" s="2674"/>
      <c r="AI366" s="2746"/>
      <c r="AJ366" s="2674"/>
      <c r="AK366" s="3423"/>
      <c r="AL366" s="3424"/>
      <c r="AM366" s="2738"/>
      <c r="AN366" s="2738"/>
      <c r="AO366" s="2738"/>
      <c r="AP366" s="2738"/>
      <c r="AQ366" s="2738"/>
      <c r="AR366" s="2738"/>
      <c r="AS366" s="2738"/>
      <c r="AT366" s="2738"/>
      <c r="AU366" s="2738"/>
      <c r="AV366" s="2738"/>
      <c r="AW366" s="2738"/>
      <c r="AX366" s="2738"/>
      <c r="AY366" s="2738"/>
      <c r="AZ366" s="2738"/>
      <c r="BA366" s="2738"/>
      <c r="BB366" s="2738"/>
      <c r="BC366" s="2738"/>
      <c r="BD366" s="2738"/>
      <c r="BE366" s="2738"/>
      <c r="BF366" s="2738"/>
    </row>
    <row customHeight="1" ht="11.25">
      <c r="A367" s="2080" t="s">
        <v>905</v>
      </c>
      <c r="B367" s="2080"/>
      <c r="C367" s="2080"/>
      <c r="D367" s="2074"/>
      <c r="E367" s="2084"/>
      <c r="F367" s="2744"/>
      <c r="G367" s="2745"/>
      <c r="H367" s="3333" t="s">
        <v>103</v>
      </c>
      <c r="I367" s="3334"/>
      <c r="J367" s="3303"/>
      <c r="K367" s="3335"/>
      <c r="L367" s="2933"/>
      <c r="M367" s="2934"/>
      <c r="N367" s="3398"/>
      <c r="O367" s="3421"/>
      <c r="P367" s="3330"/>
      <c r="Q367" s="3331"/>
      <c r="R367" s="3331"/>
      <c r="S367" s="3332"/>
      <c r="T367" s="3331"/>
      <c r="U367" s="3331"/>
      <c r="V367" s="3331"/>
      <c r="W367" s="3331"/>
      <c r="X367" s="3331"/>
      <c r="Y367" s="3331"/>
      <c r="Z367" s="2089"/>
      <c r="AA367" s="2090"/>
      <c r="AB367" s="2155" t="s">
        <v>942</v>
      </c>
      <c r="AC367" s="2094"/>
      <c r="AD367" s="2094"/>
      <c r="AE367" s="2096"/>
      <c r="AF367" s="3324"/>
      <c r="AG367" s="3325"/>
      <c r="AH367" s="3325"/>
      <c r="AI367" s="3324"/>
      <c r="AJ367" s="3325"/>
      <c r="AK367" s="3325"/>
      <c r="AL367" s="3424"/>
      <c r="AM367" s="2738"/>
      <c r="AN367" s="2738"/>
      <c r="AO367" s="2738"/>
      <c r="AP367" s="2738"/>
      <c r="AQ367" s="2738"/>
      <c r="AR367" s="2738"/>
      <c r="AS367" s="2738"/>
      <c r="AT367" s="2738"/>
      <c r="AU367" s="2738"/>
      <c r="AV367" s="2738"/>
      <c r="AW367" s="2738"/>
      <c r="AX367" s="2738"/>
      <c r="AY367" s="2738"/>
      <c r="AZ367" s="2738"/>
      <c r="BA367" s="2738"/>
      <c r="BB367" s="2738"/>
      <c r="BC367" s="2738"/>
      <c r="BD367" s="2738"/>
      <c r="BE367" s="2738"/>
      <c r="BF367" s="2738"/>
    </row>
    <row customHeight="1" ht="11.25">
      <c r="A368" s="2080" t="s">
        <v>905</v>
      </c>
      <c r="B368" s="2080"/>
      <c r="C368" s="2080"/>
      <c r="D368" s="2074"/>
      <c r="E368" s="2084"/>
      <c r="F368" s="2744"/>
      <c r="G368" s="2745"/>
      <c r="H368" s="3333" t="s">
        <v>103</v>
      </c>
      <c r="I368" s="3334"/>
      <c r="J368" s="3303"/>
      <c r="K368" s="3335"/>
      <c r="L368" s="2933"/>
      <c r="M368" s="2934"/>
      <c r="N368" s="2089"/>
      <c r="O368" s="2090"/>
      <c r="P368" s="2082" t="s">
        <v>943</v>
      </c>
      <c r="Q368" s="2090"/>
      <c r="R368" s="2090"/>
      <c r="S368" s="2090"/>
      <c r="T368" s="2090"/>
      <c r="U368" s="2090"/>
      <c r="V368" s="2090"/>
      <c r="W368" s="2090"/>
      <c r="X368" s="2090"/>
      <c r="Y368" s="2090"/>
      <c r="Z368" s="2090"/>
      <c r="AA368" s="2090"/>
      <c r="AB368" s="2090"/>
      <c r="AC368" s="2090"/>
      <c r="AD368" s="2090"/>
      <c r="AE368" s="2097"/>
      <c r="AF368" s="3324"/>
      <c r="AG368" s="3325"/>
      <c r="AH368" s="3325"/>
      <c r="AI368" s="3324"/>
      <c r="AJ368" s="3325"/>
      <c r="AK368" s="3325"/>
      <c r="AL368" s="3424"/>
      <c r="AM368" s="2738"/>
      <c r="AN368" s="2738"/>
      <c r="AO368" s="2738"/>
      <c r="AP368" s="2738"/>
      <c r="AQ368" s="2738"/>
      <c r="AR368" s="2738"/>
      <c r="AS368" s="2738"/>
      <c r="AT368" s="2738"/>
      <c r="AU368" s="2738"/>
      <c r="AV368" s="2738"/>
      <c r="AW368" s="2738"/>
      <c r="AX368" s="2738"/>
      <c r="AY368" s="2738"/>
      <c r="AZ368" s="2738"/>
      <c r="BA368" s="2738"/>
      <c r="BB368" s="2738"/>
      <c r="BC368" s="2738"/>
      <c r="BD368" s="2738"/>
      <c r="BE368" s="2738"/>
      <c r="BF368" s="2738"/>
    </row>
    <row customHeight="1" ht="21.75">
      <c r="A369" s="2080" t="s">
        <v>905</v>
      </c>
      <c r="B369" s="2080" t="s">
        <v>944</v>
      </c>
      <c r="C369" s="2080"/>
      <c r="D369" s="2074"/>
      <c r="E369" s="2084"/>
      <c r="F369" s="2744"/>
      <c r="G369" s="24234" t="s">
        <v>844</v>
      </c>
      <c r="H369" s="3333" t="s">
        <v>87</v>
      </c>
      <c r="I369" s="3334" t="s">
        <v>945</v>
      </c>
      <c r="J369" s="3303" t="s">
        <v>946</v>
      </c>
      <c r="K369" s="3335" t="s">
        <v>984</v>
      </c>
      <c r="L369" s="2933" t="s">
        <v>52</v>
      </c>
      <c r="M369" s="2934"/>
      <c r="N369" s="3422"/>
      <c r="O369" s="2091" t="s">
        <v>367</v>
      </c>
      <c r="P369" s="2092"/>
      <c r="Q369" s="2092"/>
      <c r="R369" s="2092"/>
      <c r="S369" s="2092"/>
      <c r="T369" s="2092"/>
      <c r="U369" s="2092"/>
      <c r="V369" s="2092"/>
      <c r="W369" s="2092"/>
      <c r="X369" s="2092"/>
      <c r="Y369" s="2092"/>
      <c r="Z369" s="2092"/>
      <c r="AA369" s="2092"/>
      <c r="AB369" s="2092"/>
      <c r="AC369" s="2092"/>
      <c r="AD369" s="2092"/>
      <c r="AE369" s="2092"/>
      <c r="AF369" s="3324">
        <v>2</v>
      </c>
      <c r="AG369" s="3325" t="s">
        <v>939</v>
      </c>
      <c r="AH369" s="3325" t="s">
        <v>958</v>
      </c>
      <c r="AI369" s="3324"/>
      <c r="AJ369" s="3325"/>
      <c r="AK369" s="3325"/>
      <c r="AL369" s="3424"/>
      <c r="AM369" s="2738"/>
      <c r="AN369" s="2738"/>
      <c r="AO369" s="2738"/>
      <c r="AP369" s="2738"/>
      <c r="AQ369" s="2738"/>
      <c r="AR369" s="2738"/>
      <c r="AS369" s="2738"/>
      <c r="AT369" s="2738"/>
      <c r="AU369" s="2738"/>
      <c r="AV369" s="2738"/>
      <c r="AW369" s="2738"/>
      <c r="AX369" s="2738"/>
      <c r="AY369" s="2738"/>
      <c r="AZ369" s="2738"/>
      <c r="BA369" s="2738"/>
      <c r="BB369" s="2738"/>
      <c r="BC369" s="2738"/>
      <c r="BD369" s="2738"/>
      <c r="BE369" s="2738"/>
      <c r="BF369" s="2738"/>
    </row>
    <row customHeight="1" ht="11.25">
      <c r="A370" s="2080" t="s">
        <v>905</v>
      </c>
      <c r="B370" s="2080"/>
      <c r="C370" s="2080"/>
      <c r="D370" s="2074"/>
      <c r="E370" s="2084"/>
      <c r="F370" s="2744"/>
      <c r="G370" s="2745"/>
      <c r="H370" s="3333" t="s">
        <v>86</v>
      </c>
      <c r="I370" s="3334"/>
      <c r="J370" s="3303"/>
      <c r="K370" s="3335"/>
      <c r="L370" s="2933"/>
      <c r="M370" s="2934"/>
      <c r="N370" s="3398"/>
      <c r="O370" s="3421">
        <v>1</v>
      </c>
      <c r="P370" s="3328" t="s">
        <v>52</v>
      </c>
      <c r="Q370" s="3331" t="s">
        <v>18</v>
      </c>
      <c r="R370" s="3331" t="s">
        <v>18</v>
      </c>
      <c r="S370" s="3331" t="s">
        <v>18</v>
      </c>
      <c r="T370" s="3331" t="s">
        <v>18</v>
      </c>
      <c r="U370" s="3331" t="s">
        <v>18</v>
      </c>
      <c r="V370" s="3331" t="s">
        <v>18</v>
      </c>
      <c r="W370" s="3331" t="s">
        <v>18</v>
      </c>
      <c r="X370" s="3331" t="s">
        <v>18</v>
      </c>
      <c r="Y370" s="3331"/>
      <c r="Z370" s="2089"/>
      <c r="AA370" s="2090"/>
      <c r="AB370" s="2090"/>
      <c r="AC370" s="2094"/>
      <c r="AD370" s="2094"/>
      <c r="AE370" s="2095"/>
      <c r="AF370" s="3324"/>
      <c r="AG370" s="3325"/>
      <c r="AH370" s="3325"/>
      <c r="AI370" s="3324"/>
      <c r="AJ370" s="3325"/>
      <c r="AK370" s="3325"/>
      <c r="AL370" s="3424"/>
      <c r="AM370" s="2738"/>
      <c r="AN370" s="2738"/>
      <c r="AO370" s="2738"/>
      <c r="AP370" s="2738"/>
      <c r="AQ370" s="2738"/>
      <c r="AR370" s="2738"/>
      <c r="AS370" s="2738"/>
      <c r="AT370" s="2738"/>
      <c r="AU370" s="2738"/>
      <c r="AV370" s="2738"/>
      <c r="AW370" s="2738"/>
      <c r="AX370" s="2738"/>
      <c r="AY370" s="2738"/>
      <c r="AZ370" s="2738"/>
      <c r="BA370" s="2738"/>
      <c r="BB370" s="2738"/>
      <c r="BC370" s="2738"/>
      <c r="BD370" s="2738"/>
      <c r="BE370" s="2738"/>
      <c r="BF370" s="2738"/>
    </row>
    <row customHeight="1" ht="11.25">
      <c r="A371" s="2080" t="s">
        <v>905</v>
      </c>
      <c r="B371" s="2080"/>
      <c r="C371" s="2080"/>
      <c r="D371" s="2074"/>
      <c r="E371" s="2084"/>
      <c r="F371" s="2744"/>
      <c r="G371" s="2745"/>
      <c r="H371" s="3333" t="s">
        <v>86</v>
      </c>
      <c r="I371" s="3334"/>
      <c r="J371" s="3303"/>
      <c r="K371" s="3335"/>
      <c r="L371" s="2933"/>
      <c r="M371" s="2934"/>
      <c r="N371" s="3398"/>
      <c r="O371" s="3421"/>
      <c r="P371" s="3329"/>
      <c r="Q371" s="3331"/>
      <c r="R371" s="3331"/>
      <c r="S371" s="3332"/>
      <c r="T371" s="3331"/>
      <c r="U371" s="3331"/>
      <c r="V371" s="3331"/>
      <c r="W371" s="3331"/>
      <c r="X371" s="3331"/>
      <c r="Y371" s="3331"/>
      <c r="Z371" s="2743"/>
      <c r="AA371" s="2709">
        <v>1</v>
      </c>
      <c r="AB371" s="2093" t="s">
        <v>949</v>
      </c>
      <c r="AC371" s="2083">
        <v>71404.14</v>
      </c>
      <c r="AD371" s="2093" t="str">
        <f>AB371</f>
        <v>      Прочие амортизационные отчисления</v>
      </c>
      <c r="AE371" s="2083"/>
      <c r="AF371" s="3324"/>
      <c r="AG371" s="3325"/>
      <c r="AH371" s="3325"/>
      <c r="AI371" s="3324"/>
      <c r="AJ371" s="3325"/>
      <c r="AK371" s="3325"/>
      <c r="AL371" s="3424"/>
      <c r="AM371" s="2738"/>
      <c r="AN371" s="2738"/>
      <c r="AO371" s="2738"/>
      <c r="AP371" s="2738"/>
      <c r="AQ371" s="2738"/>
      <c r="AR371" s="2738"/>
      <c r="AS371" s="2738"/>
      <c r="AT371" s="2738"/>
      <c r="AU371" s="2738"/>
      <c r="AV371" s="2738"/>
      <c r="AW371" s="2738"/>
      <c r="AX371" s="2738"/>
      <c r="AY371" s="2738"/>
      <c r="AZ371" s="2738"/>
      <c r="BA371" s="2738"/>
      <c r="BB371" s="2738"/>
      <c r="BC371" s="2738"/>
      <c r="BD371" s="2738"/>
      <c r="BE371" s="2738"/>
      <c r="BF371" s="2738"/>
    </row>
    <row customHeight="1" ht="11.25">
      <c r="A372" s="2080" t="s">
        <v>905</v>
      </c>
      <c r="B372" s="2080"/>
      <c r="C372" s="2080"/>
      <c r="D372" s="2074"/>
      <c r="E372" s="2084"/>
      <c r="F372" s="2745"/>
      <c r="G372" s="2745"/>
      <c r="H372" s="2745"/>
      <c r="I372" s="2745"/>
      <c r="J372" s="2745"/>
      <c r="K372" s="2745"/>
      <c r="L372" s="2745"/>
      <c r="M372" s="2745"/>
      <c r="N372" s="2745"/>
      <c r="O372" s="2745"/>
      <c r="P372" s="2745"/>
      <c r="Q372" s="2745"/>
      <c r="R372" s="2745"/>
      <c r="S372" s="2745"/>
      <c r="T372" s="2745"/>
      <c r="U372" s="2745"/>
      <c r="V372" s="2745"/>
      <c r="W372" s="2745"/>
      <c r="X372" s="2745"/>
      <c r="Y372" s="2745"/>
      <c r="Z372" s="27024" t="s">
        <v>844</v>
      </c>
      <c r="AA372" s="2729" t="s">
        <v>103</v>
      </c>
      <c r="AB372" s="2093" t="s">
        <v>941</v>
      </c>
      <c r="AC372" s="2083">
        <v>79436.97</v>
      </c>
      <c r="AD372" s="2093" t="str">
        <f>AB372</f>
        <v>  Прочие</v>
      </c>
      <c r="AE372" s="2083"/>
      <c r="AF372" s="2746"/>
      <c r="AG372" s="2674"/>
      <c r="AH372" s="2674"/>
      <c r="AI372" s="2746"/>
      <c r="AJ372" s="2674"/>
      <c r="AK372" s="3423"/>
      <c r="AL372" s="3424"/>
      <c r="AM372" s="2738"/>
      <c r="AN372" s="2738"/>
      <c r="AO372" s="2738"/>
      <c r="AP372" s="2738"/>
      <c r="AQ372" s="2738"/>
      <c r="AR372" s="2738"/>
      <c r="AS372" s="2738"/>
      <c r="AT372" s="2738"/>
      <c r="AU372" s="2738"/>
      <c r="AV372" s="2738"/>
      <c r="AW372" s="2738"/>
      <c r="AX372" s="2738"/>
      <c r="AY372" s="2738"/>
      <c r="AZ372" s="2738"/>
      <c r="BA372" s="2738"/>
      <c r="BB372" s="2738"/>
      <c r="BC372" s="2738"/>
      <c r="BD372" s="2738"/>
      <c r="BE372" s="2738"/>
      <c r="BF372" s="2738"/>
    </row>
    <row customHeight="1" ht="11.25">
      <c r="A373" s="2080" t="s">
        <v>905</v>
      </c>
      <c r="B373" s="2080"/>
      <c r="C373" s="2080"/>
      <c r="D373" s="2074"/>
      <c r="E373" s="2084"/>
      <c r="F373" s="2744"/>
      <c r="G373" s="2745"/>
      <c r="H373" s="3333" t="s">
        <v>86</v>
      </c>
      <c r="I373" s="3334"/>
      <c r="J373" s="3303"/>
      <c r="K373" s="3335"/>
      <c r="L373" s="2933"/>
      <c r="M373" s="2934"/>
      <c r="N373" s="3398"/>
      <c r="O373" s="3421"/>
      <c r="P373" s="3330"/>
      <c r="Q373" s="3331"/>
      <c r="R373" s="3331"/>
      <c r="S373" s="3332"/>
      <c r="T373" s="3331"/>
      <c r="U373" s="3331"/>
      <c r="V373" s="3331"/>
      <c r="W373" s="3331"/>
      <c r="X373" s="3331"/>
      <c r="Y373" s="3331"/>
      <c r="Z373" s="2089"/>
      <c r="AA373" s="2090"/>
      <c r="AB373" s="2155" t="s">
        <v>942</v>
      </c>
      <c r="AC373" s="2094"/>
      <c r="AD373" s="2094"/>
      <c r="AE373" s="2096"/>
      <c r="AF373" s="3324"/>
      <c r="AG373" s="3325"/>
      <c r="AH373" s="3325"/>
      <c r="AI373" s="3324"/>
      <c r="AJ373" s="3325"/>
      <c r="AK373" s="3325"/>
      <c r="AL373" s="3424"/>
      <c r="AM373" s="2738"/>
      <c r="AN373" s="2738"/>
      <c r="AO373" s="2738"/>
      <c r="AP373" s="2738"/>
      <c r="AQ373" s="2738"/>
      <c r="AR373" s="2738"/>
      <c r="AS373" s="2738"/>
      <c r="AT373" s="2738"/>
      <c r="AU373" s="2738"/>
      <c r="AV373" s="2738"/>
      <c r="AW373" s="2738"/>
      <c r="AX373" s="2738"/>
      <c r="AY373" s="2738"/>
      <c r="AZ373" s="2738"/>
      <c r="BA373" s="2738"/>
      <c r="BB373" s="2738"/>
      <c r="BC373" s="2738"/>
      <c r="BD373" s="2738"/>
      <c r="BE373" s="2738"/>
      <c r="BF373" s="2738"/>
    </row>
    <row customHeight="1" ht="11.25">
      <c r="A374" s="2080" t="s">
        <v>905</v>
      </c>
      <c r="B374" s="2080"/>
      <c r="C374" s="2080"/>
      <c r="D374" s="2074"/>
      <c r="E374" s="2084"/>
      <c r="F374" s="2744"/>
      <c r="G374" s="2745"/>
      <c r="H374" s="3333" t="s">
        <v>86</v>
      </c>
      <c r="I374" s="3334"/>
      <c r="J374" s="3303"/>
      <c r="K374" s="3335"/>
      <c r="L374" s="2933"/>
      <c r="M374" s="2934"/>
      <c r="N374" s="2089"/>
      <c r="O374" s="2090"/>
      <c r="P374" s="2082" t="s">
        <v>943</v>
      </c>
      <c r="Q374" s="2090"/>
      <c r="R374" s="2090"/>
      <c r="S374" s="2090"/>
      <c r="T374" s="2090"/>
      <c r="U374" s="2090"/>
      <c r="V374" s="2090"/>
      <c r="W374" s="2090"/>
      <c r="X374" s="2090"/>
      <c r="Y374" s="2090"/>
      <c r="Z374" s="2090"/>
      <c r="AA374" s="2090"/>
      <c r="AB374" s="2090"/>
      <c r="AC374" s="2090"/>
      <c r="AD374" s="2090"/>
      <c r="AE374" s="2097"/>
      <c r="AF374" s="3324"/>
      <c r="AG374" s="3325"/>
      <c r="AH374" s="3325"/>
      <c r="AI374" s="3324"/>
      <c r="AJ374" s="3325"/>
      <c r="AK374" s="3325"/>
      <c r="AL374" s="3424"/>
      <c r="AM374" s="2738"/>
      <c r="AN374" s="2738"/>
      <c r="AO374" s="2738"/>
      <c r="AP374" s="2738"/>
      <c r="AQ374" s="2738"/>
      <c r="AR374" s="2738"/>
      <c r="AS374" s="2738"/>
      <c r="AT374" s="2738"/>
      <c r="AU374" s="2738"/>
      <c r="AV374" s="2738"/>
      <c r="AW374" s="2738"/>
      <c r="AX374" s="2738"/>
      <c r="AY374" s="2738"/>
      <c r="AZ374" s="2738"/>
      <c r="BA374" s="2738"/>
      <c r="BB374" s="2738"/>
      <c r="BC374" s="2738"/>
      <c r="BD374" s="2738"/>
      <c r="BE374" s="2738"/>
      <c r="BF374" s="2738"/>
    </row>
    <row customHeight="1" ht="22.5">
      <c r="A375" s="2080" t="s">
        <v>905</v>
      </c>
      <c r="B375" s="2080" t="s">
        <v>944</v>
      </c>
      <c r="C375" s="2080"/>
      <c r="D375" s="2074"/>
      <c r="E375" s="2084"/>
      <c r="F375" s="2744"/>
      <c r="G375" s="24234" t="s">
        <v>844</v>
      </c>
      <c r="H375" s="3333" t="s">
        <v>104</v>
      </c>
      <c r="I375" s="3334" t="s">
        <v>945</v>
      </c>
      <c r="J375" s="3303" t="s">
        <v>946</v>
      </c>
      <c r="K375" s="3335" t="s">
        <v>982</v>
      </c>
      <c r="L375" s="2933" t="s">
        <v>52</v>
      </c>
      <c r="M375" s="2934"/>
      <c r="N375" s="3422"/>
      <c r="O375" s="2091" t="s">
        <v>367</v>
      </c>
      <c r="P375" s="2092"/>
      <c r="Q375" s="2092"/>
      <c r="R375" s="2092"/>
      <c r="S375" s="2092"/>
      <c r="T375" s="2092"/>
      <c r="U375" s="2092"/>
      <c r="V375" s="2092"/>
      <c r="W375" s="2092"/>
      <c r="X375" s="2092"/>
      <c r="Y375" s="2092"/>
      <c r="Z375" s="2092"/>
      <c r="AA375" s="2092"/>
      <c r="AB375" s="2092"/>
      <c r="AC375" s="2092"/>
      <c r="AD375" s="2092"/>
      <c r="AE375" s="2092"/>
      <c r="AF375" s="3324">
        <v>3</v>
      </c>
      <c r="AG375" s="3325" t="s">
        <v>939</v>
      </c>
      <c r="AH375" s="3325" t="s">
        <v>958</v>
      </c>
      <c r="AI375" s="3324"/>
      <c r="AJ375" s="3325"/>
      <c r="AK375" s="3325"/>
      <c r="AL375" s="3424"/>
      <c r="AM375" s="2738"/>
      <c r="AN375" s="2738"/>
      <c r="AO375" s="2738"/>
      <c r="AP375" s="2738"/>
      <c r="AQ375" s="2738"/>
      <c r="AR375" s="2738"/>
      <c r="AS375" s="2738"/>
      <c r="AT375" s="2738"/>
      <c r="AU375" s="2738"/>
      <c r="AV375" s="2738"/>
      <c r="AW375" s="2738"/>
      <c r="AX375" s="2738"/>
      <c r="AY375" s="2738"/>
      <c r="AZ375" s="2738"/>
      <c r="BA375" s="2738"/>
      <c r="BB375" s="2738"/>
      <c r="BC375" s="2738"/>
      <c r="BD375" s="2738"/>
      <c r="BE375" s="2738"/>
      <c r="BF375" s="2738"/>
    </row>
    <row customHeight="1" ht="23.25">
      <c r="A376" s="2080" t="s">
        <v>905</v>
      </c>
      <c r="B376" s="2080"/>
      <c r="C376" s="2080"/>
      <c r="D376" s="2074"/>
      <c r="E376" s="2084"/>
      <c r="F376" s="2744"/>
      <c r="G376" s="2745"/>
      <c r="H376" s="3333" t="s">
        <v>87</v>
      </c>
      <c r="I376" s="3334"/>
      <c r="J376" s="3303"/>
      <c r="K376" s="3335"/>
      <c r="L376" s="2933"/>
      <c r="M376" s="2934"/>
      <c r="N376" s="3398"/>
      <c r="O376" s="3421">
        <v>1</v>
      </c>
      <c r="P376" s="3328" t="s">
        <v>52</v>
      </c>
      <c r="Q376" s="3331" t="s">
        <v>18</v>
      </c>
      <c r="R376" s="3331" t="s">
        <v>18</v>
      </c>
      <c r="S376" s="3331" t="s">
        <v>18</v>
      </c>
      <c r="T376" s="3331" t="s">
        <v>18</v>
      </c>
      <c r="U376" s="3331" t="s">
        <v>18</v>
      </c>
      <c r="V376" s="3331" t="s">
        <v>18</v>
      </c>
      <c r="W376" s="3331" t="s">
        <v>18</v>
      </c>
      <c r="X376" s="3331" t="s">
        <v>18</v>
      </c>
      <c r="Y376" s="3331"/>
      <c r="Z376" s="2089"/>
      <c r="AA376" s="2090"/>
      <c r="AB376" s="2090"/>
      <c r="AC376" s="2094"/>
      <c r="AD376" s="2094"/>
      <c r="AE376" s="2095"/>
      <c r="AF376" s="3324"/>
      <c r="AG376" s="3325"/>
      <c r="AH376" s="3325"/>
      <c r="AI376" s="3324"/>
      <c r="AJ376" s="3325"/>
      <c r="AK376" s="3325"/>
      <c r="AL376" s="3424"/>
      <c r="AM376" s="2738"/>
      <c r="AN376" s="2738"/>
      <c r="AO376" s="2738"/>
      <c r="AP376" s="2738"/>
      <c r="AQ376" s="2738"/>
      <c r="AR376" s="2738"/>
      <c r="AS376" s="2738"/>
      <c r="AT376" s="2738"/>
      <c r="AU376" s="2738"/>
      <c r="AV376" s="2738"/>
      <c r="AW376" s="2738"/>
      <c r="AX376" s="2738"/>
      <c r="AY376" s="2738"/>
      <c r="AZ376" s="2738"/>
      <c r="BA376" s="2738"/>
      <c r="BB376" s="2738"/>
      <c r="BC376" s="2738"/>
      <c r="BD376" s="2738"/>
      <c r="BE376" s="2738"/>
      <c r="BF376" s="2738"/>
    </row>
    <row customHeight="1" ht="11.25">
      <c r="A377" s="2080" t="s">
        <v>905</v>
      </c>
      <c r="B377" s="2080"/>
      <c r="C377" s="2080"/>
      <c r="D377" s="2074"/>
      <c r="E377" s="2084"/>
      <c r="F377" s="2744"/>
      <c r="G377" s="2745"/>
      <c r="H377" s="3333" t="s">
        <v>87</v>
      </c>
      <c r="I377" s="3334"/>
      <c r="J377" s="3303"/>
      <c r="K377" s="3335"/>
      <c r="L377" s="2933"/>
      <c r="M377" s="2934"/>
      <c r="N377" s="3398"/>
      <c r="O377" s="3421"/>
      <c r="P377" s="3329"/>
      <c r="Q377" s="3331"/>
      <c r="R377" s="3331"/>
      <c r="S377" s="3332"/>
      <c r="T377" s="3331"/>
      <c r="U377" s="3331"/>
      <c r="V377" s="3331"/>
      <c r="W377" s="3331"/>
      <c r="X377" s="3331"/>
      <c r="Y377" s="3331"/>
      <c r="Z377" s="2743"/>
      <c r="AA377" s="2709">
        <v>1</v>
      </c>
      <c r="AB377" s="2093" t="s">
        <v>949</v>
      </c>
      <c r="AC377" s="2083">
        <v>622728.17</v>
      </c>
      <c r="AD377" s="2093" t="str">
        <f>AB377</f>
        <v>      Прочие амортизационные отчисления</v>
      </c>
      <c r="AE377" s="2083"/>
      <c r="AF377" s="3324"/>
      <c r="AG377" s="3325"/>
      <c r="AH377" s="3325"/>
      <c r="AI377" s="3324"/>
      <c r="AJ377" s="3325"/>
      <c r="AK377" s="3325"/>
      <c r="AL377" s="3424"/>
      <c r="AM377" s="2738"/>
      <c r="AN377" s="2738"/>
      <c r="AO377" s="2738"/>
      <c r="AP377" s="2738"/>
      <c r="AQ377" s="2738"/>
      <c r="AR377" s="2738"/>
      <c r="AS377" s="2738"/>
      <c r="AT377" s="2738"/>
      <c r="AU377" s="2738"/>
      <c r="AV377" s="2738"/>
      <c r="AW377" s="2738"/>
      <c r="AX377" s="2738"/>
      <c r="AY377" s="2738"/>
      <c r="AZ377" s="2738"/>
      <c r="BA377" s="2738"/>
      <c r="BB377" s="2738"/>
      <c r="BC377" s="2738"/>
      <c r="BD377" s="2738"/>
      <c r="BE377" s="2738"/>
      <c r="BF377" s="2738"/>
    </row>
    <row customHeight="1" ht="11.25">
      <c r="A378" s="2080" t="s">
        <v>905</v>
      </c>
      <c r="B378" s="2080"/>
      <c r="C378" s="2080"/>
      <c r="D378" s="2074"/>
      <c r="E378" s="2084"/>
      <c r="F378" s="2745"/>
      <c r="G378" s="2745"/>
      <c r="H378" s="2745"/>
      <c r="I378" s="2745"/>
      <c r="J378" s="2745"/>
      <c r="K378" s="2745"/>
      <c r="L378" s="2745"/>
      <c r="M378" s="2745"/>
      <c r="N378" s="2745"/>
      <c r="O378" s="2745"/>
      <c r="P378" s="2745"/>
      <c r="Q378" s="2745"/>
      <c r="R378" s="2745"/>
      <c r="S378" s="2745"/>
      <c r="T378" s="2745"/>
      <c r="U378" s="2745"/>
      <c r="V378" s="2745"/>
      <c r="W378" s="2745"/>
      <c r="X378" s="2745"/>
      <c r="Y378" s="2745"/>
      <c r="Z378" s="27024" t="s">
        <v>844</v>
      </c>
      <c r="AA378" s="2729" t="s">
        <v>103</v>
      </c>
      <c r="AB378" s="2093" t="s">
        <v>941</v>
      </c>
      <c r="AC378" s="2083">
        <v>692783.87</v>
      </c>
      <c r="AD378" s="2093" t="str">
        <f>AB378</f>
        <v>  Прочие</v>
      </c>
      <c r="AE378" s="2083"/>
      <c r="AF378" s="2746"/>
      <c r="AG378" s="2674"/>
      <c r="AH378" s="2674"/>
      <c r="AI378" s="2746"/>
      <c r="AJ378" s="2674"/>
      <c r="AK378" s="3423"/>
      <c r="AL378" s="3424"/>
      <c r="AM378" s="2738"/>
      <c r="AN378" s="2738"/>
      <c r="AO378" s="2738"/>
      <c r="AP378" s="2738"/>
      <c r="AQ378" s="2738"/>
      <c r="AR378" s="2738"/>
      <c r="AS378" s="2738"/>
      <c r="AT378" s="2738"/>
      <c r="AU378" s="2738"/>
      <c r="AV378" s="2738"/>
      <c r="AW378" s="2738"/>
      <c r="AX378" s="2738"/>
      <c r="AY378" s="2738"/>
      <c r="AZ378" s="2738"/>
      <c r="BA378" s="2738"/>
      <c r="BB378" s="2738"/>
      <c r="BC378" s="2738"/>
      <c r="BD378" s="2738"/>
      <c r="BE378" s="2738"/>
      <c r="BF378" s="2738"/>
    </row>
    <row customHeight="1" ht="11.25">
      <c r="A379" s="2080" t="s">
        <v>905</v>
      </c>
      <c r="B379" s="2080"/>
      <c r="C379" s="2080"/>
      <c r="D379" s="2074"/>
      <c r="E379" s="2084"/>
      <c r="F379" s="2744"/>
      <c r="G379" s="2745"/>
      <c r="H379" s="3333" t="s">
        <v>87</v>
      </c>
      <c r="I379" s="3334"/>
      <c r="J379" s="3303"/>
      <c r="K379" s="3335"/>
      <c r="L379" s="2933"/>
      <c r="M379" s="2934"/>
      <c r="N379" s="3398"/>
      <c r="O379" s="3421"/>
      <c r="P379" s="3330"/>
      <c r="Q379" s="3331"/>
      <c r="R379" s="3331"/>
      <c r="S379" s="3332"/>
      <c r="T379" s="3331"/>
      <c r="U379" s="3331"/>
      <c r="V379" s="3331"/>
      <c r="W379" s="3331"/>
      <c r="X379" s="3331"/>
      <c r="Y379" s="3331"/>
      <c r="Z379" s="2089"/>
      <c r="AA379" s="2090"/>
      <c r="AB379" s="2155" t="s">
        <v>942</v>
      </c>
      <c r="AC379" s="2094"/>
      <c r="AD379" s="2094"/>
      <c r="AE379" s="2096"/>
      <c r="AF379" s="3324"/>
      <c r="AG379" s="3325"/>
      <c r="AH379" s="3325"/>
      <c r="AI379" s="3324"/>
      <c r="AJ379" s="3325"/>
      <c r="AK379" s="3325"/>
      <c r="AL379" s="3424"/>
      <c r="AM379" s="2738"/>
      <c r="AN379" s="2738"/>
      <c r="AO379" s="2738"/>
      <c r="AP379" s="2738"/>
      <c r="AQ379" s="2738"/>
      <c r="AR379" s="2738"/>
      <c r="AS379" s="2738"/>
      <c r="AT379" s="2738"/>
      <c r="AU379" s="2738"/>
      <c r="AV379" s="2738"/>
      <c r="AW379" s="2738"/>
      <c r="AX379" s="2738"/>
      <c r="AY379" s="2738"/>
      <c r="AZ379" s="2738"/>
      <c r="BA379" s="2738"/>
      <c r="BB379" s="2738"/>
      <c r="BC379" s="2738"/>
      <c r="BD379" s="2738"/>
      <c r="BE379" s="2738"/>
      <c r="BF379" s="2738"/>
    </row>
    <row customHeight="1" ht="11.25">
      <c r="A380" s="2080" t="s">
        <v>905</v>
      </c>
      <c r="B380" s="2080"/>
      <c r="C380" s="2080"/>
      <c r="D380" s="2074"/>
      <c r="E380" s="2084"/>
      <c r="F380" s="2744"/>
      <c r="G380" s="2745"/>
      <c r="H380" s="3333" t="s">
        <v>87</v>
      </c>
      <c r="I380" s="3334"/>
      <c r="J380" s="3303"/>
      <c r="K380" s="3335"/>
      <c r="L380" s="2933"/>
      <c r="M380" s="2934"/>
      <c r="N380" s="2089"/>
      <c r="O380" s="2090"/>
      <c r="P380" s="2082" t="s">
        <v>943</v>
      </c>
      <c r="Q380" s="2090"/>
      <c r="R380" s="2090"/>
      <c r="S380" s="2090"/>
      <c r="T380" s="2090"/>
      <c r="U380" s="2090"/>
      <c r="V380" s="2090"/>
      <c r="W380" s="2090"/>
      <c r="X380" s="2090"/>
      <c r="Y380" s="2090"/>
      <c r="Z380" s="2090"/>
      <c r="AA380" s="2090"/>
      <c r="AB380" s="2090"/>
      <c r="AC380" s="2090"/>
      <c r="AD380" s="2090"/>
      <c r="AE380" s="2097"/>
      <c r="AF380" s="3324"/>
      <c r="AG380" s="3325"/>
      <c r="AH380" s="3325"/>
      <c r="AI380" s="3324"/>
      <c r="AJ380" s="3325"/>
      <c r="AK380" s="3325"/>
      <c r="AL380" s="3424"/>
      <c r="AM380" s="2738"/>
      <c r="AN380" s="2738"/>
      <c r="AO380" s="2738"/>
      <c r="AP380" s="2738"/>
      <c r="AQ380" s="2738"/>
      <c r="AR380" s="2738"/>
      <c r="AS380" s="2738"/>
      <c r="AT380" s="2738"/>
      <c r="AU380" s="2738"/>
      <c r="AV380" s="2738"/>
      <c r="AW380" s="2738"/>
      <c r="AX380" s="2738"/>
      <c r="AY380" s="2738"/>
      <c r="AZ380" s="2738"/>
      <c r="BA380" s="2738"/>
      <c r="BB380" s="2738"/>
      <c r="BC380" s="2738"/>
      <c r="BD380" s="2738"/>
      <c r="BE380" s="2738"/>
      <c r="BF380" s="2738"/>
    </row>
    <row customHeight="1" ht="21">
      <c r="A381" s="2080" t="s">
        <v>905</v>
      </c>
      <c r="B381" s="2080" t="s">
        <v>944</v>
      </c>
      <c r="C381" s="2080"/>
      <c r="D381" s="2074"/>
      <c r="E381" s="2084"/>
      <c r="F381" s="2744"/>
      <c r="G381" s="24234" t="s">
        <v>844</v>
      </c>
      <c r="H381" s="3333" t="s">
        <v>88</v>
      </c>
      <c r="I381" s="3334" t="s">
        <v>945</v>
      </c>
      <c r="J381" s="3303" t="s">
        <v>946</v>
      </c>
      <c r="K381" s="3335" t="s">
        <v>971</v>
      </c>
      <c r="L381" s="2933" t="s">
        <v>52</v>
      </c>
      <c r="M381" s="2934"/>
      <c r="N381" s="3422"/>
      <c r="O381" s="2091" t="s">
        <v>367</v>
      </c>
      <c r="P381" s="2092"/>
      <c r="Q381" s="2092"/>
      <c r="R381" s="2092"/>
      <c r="S381" s="2092"/>
      <c r="T381" s="2092"/>
      <c r="U381" s="2092"/>
      <c r="V381" s="2092"/>
      <c r="W381" s="2092"/>
      <c r="X381" s="2092"/>
      <c r="Y381" s="2092"/>
      <c r="Z381" s="2092"/>
      <c r="AA381" s="2092"/>
      <c r="AB381" s="2092"/>
      <c r="AC381" s="2092"/>
      <c r="AD381" s="2092"/>
      <c r="AE381" s="2092"/>
      <c r="AF381" s="3324">
        <v>4</v>
      </c>
      <c r="AG381" s="3325" t="s">
        <v>939</v>
      </c>
      <c r="AH381" s="3325" t="s">
        <v>958</v>
      </c>
      <c r="AI381" s="3324"/>
      <c r="AJ381" s="3325"/>
      <c r="AK381" s="3325"/>
      <c r="AL381" s="3424"/>
      <c r="AM381" s="2738"/>
      <c r="AN381" s="2738"/>
      <c r="AO381" s="2738"/>
      <c r="AP381" s="2738"/>
      <c r="AQ381" s="2738"/>
      <c r="AR381" s="2738"/>
      <c r="AS381" s="2738"/>
      <c r="AT381" s="2738"/>
      <c r="AU381" s="2738"/>
      <c r="AV381" s="2738"/>
      <c r="AW381" s="2738"/>
      <c r="AX381" s="2738"/>
      <c r="AY381" s="2738"/>
      <c r="AZ381" s="2738"/>
      <c r="BA381" s="2738"/>
      <c r="BB381" s="2738"/>
      <c r="BC381" s="2738"/>
      <c r="BD381" s="2738"/>
      <c r="BE381" s="2738"/>
      <c r="BF381" s="2738"/>
    </row>
    <row customHeight="1" ht="16.5">
      <c r="A382" s="2080" t="s">
        <v>905</v>
      </c>
      <c r="B382" s="2080"/>
      <c r="C382" s="2080"/>
      <c r="D382" s="2074"/>
      <c r="E382" s="2084"/>
      <c r="F382" s="2744"/>
      <c r="G382" s="2745"/>
      <c r="H382" s="3333" t="s">
        <v>104</v>
      </c>
      <c r="I382" s="3334"/>
      <c r="J382" s="3303"/>
      <c r="K382" s="3335"/>
      <c r="L382" s="2933"/>
      <c r="M382" s="2934"/>
      <c r="N382" s="3398"/>
      <c r="O382" s="3421">
        <v>1</v>
      </c>
      <c r="P382" s="3328" t="s">
        <v>52</v>
      </c>
      <c r="Q382" s="3331" t="s">
        <v>18</v>
      </c>
      <c r="R382" s="3331" t="s">
        <v>18</v>
      </c>
      <c r="S382" s="3331" t="s">
        <v>18</v>
      </c>
      <c r="T382" s="3331" t="s">
        <v>18</v>
      </c>
      <c r="U382" s="3331" t="s">
        <v>18</v>
      </c>
      <c r="V382" s="3331" t="s">
        <v>18</v>
      </c>
      <c r="W382" s="3331" t="s">
        <v>18</v>
      </c>
      <c r="X382" s="3331" t="s">
        <v>18</v>
      </c>
      <c r="Y382" s="3331"/>
      <c r="Z382" s="2089"/>
      <c r="AA382" s="2090"/>
      <c r="AB382" s="2090"/>
      <c r="AC382" s="2094"/>
      <c r="AD382" s="2094"/>
      <c r="AE382" s="2095"/>
      <c r="AF382" s="3324"/>
      <c r="AG382" s="3325"/>
      <c r="AH382" s="3325"/>
      <c r="AI382" s="3324"/>
      <c r="AJ382" s="3325"/>
      <c r="AK382" s="3325"/>
      <c r="AL382" s="3424"/>
      <c r="AM382" s="2738"/>
      <c r="AN382" s="2738"/>
      <c r="AO382" s="2738"/>
      <c r="AP382" s="2738"/>
      <c r="AQ382" s="2738"/>
      <c r="AR382" s="2738"/>
      <c r="AS382" s="2738"/>
      <c r="AT382" s="2738"/>
      <c r="AU382" s="2738"/>
      <c r="AV382" s="2738"/>
      <c r="AW382" s="2738"/>
      <c r="AX382" s="2738"/>
      <c r="AY382" s="2738"/>
      <c r="AZ382" s="2738"/>
      <c r="BA382" s="2738"/>
      <c r="BB382" s="2738"/>
      <c r="BC382" s="2738"/>
      <c r="BD382" s="2738"/>
      <c r="BE382" s="2738"/>
      <c r="BF382" s="2738"/>
    </row>
    <row customHeight="1" ht="16.5">
      <c r="A383" s="2080" t="s">
        <v>905</v>
      </c>
      <c r="B383" s="2080"/>
      <c r="C383" s="2080"/>
      <c r="D383" s="2074"/>
      <c r="E383" s="2084"/>
      <c r="F383" s="2744"/>
      <c r="G383" s="2745"/>
      <c r="H383" s="3333" t="s">
        <v>104</v>
      </c>
      <c r="I383" s="3334"/>
      <c r="J383" s="3303"/>
      <c r="K383" s="3335"/>
      <c r="L383" s="2933"/>
      <c r="M383" s="2934"/>
      <c r="N383" s="3398"/>
      <c r="O383" s="3421"/>
      <c r="P383" s="3329"/>
      <c r="Q383" s="3331"/>
      <c r="R383" s="3331"/>
      <c r="S383" s="3332"/>
      <c r="T383" s="3331"/>
      <c r="U383" s="3331"/>
      <c r="V383" s="3331"/>
      <c r="W383" s="3331"/>
      <c r="X383" s="3331"/>
      <c r="Y383" s="3331"/>
      <c r="Z383" s="2743"/>
      <c r="AA383" s="2709">
        <v>1</v>
      </c>
      <c r="AB383" s="2093" t="s">
        <v>949</v>
      </c>
      <c r="AC383" s="2083">
        <v>126120.78</v>
      </c>
      <c r="AD383" s="2093" t="str">
        <f>AB383</f>
        <v>      Прочие амортизационные отчисления</v>
      </c>
      <c r="AE383" s="2083"/>
      <c r="AF383" s="3324"/>
      <c r="AG383" s="3325"/>
      <c r="AH383" s="3325"/>
      <c r="AI383" s="3324"/>
      <c r="AJ383" s="3325"/>
      <c r="AK383" s="3325"/>
      <c r="AL383" s="3424"/>
      <c r="AM383" s="2738"/>
      <c r="AN383" s="2738"/>
      <c r="AO383" s="2738"/>
      <c r="AP383" s="2738"/>
      <c r="AQ383" s="2738"/>
      <c r="AR383" s="2738"/>
      <c r="AS383" s="2738"/>
      <c r="AT383" s="2738"/>
      <c r="AU383" s="2738"/>
      <c r="AV383" s="2738"/>
      <c r="AW383" s="2738"/>
      <c r="AX383" s="2738"/>
      <c r="AY383" s="2738"/>
      <c r="AZ383" s="2738"/>
      <c r="BA383" s="2738"/>
      <c r="BB383" s="2738"/>
      <c r="BC383" s="2738"/>
      <c r="BD383" s="2738"/>
      <c r="BE383" s="2738"/>
      <c r="BF383" s="2738"/>
    </row>
    <row customHeight="1" ht="11.25">
      <c r="A384" s="2080" t="s">
        <v>905</v>
      </c>
      <c r="B384" s="2080"/>
      <c r="C384" s="2080"/>
      <c r="D384" s="2074"/>
      <c r="E384" s="2084"/>
      <c r="F384" s="2745"/>
      <c r="G384" s="2745"/>
      <c r="H384" s="2745"/>
      <c r="I384" s="2745"/>
      <c r="J384" s="2745"/>
      <c r="K384" s="2745"/>
      <c r="L384" s="2745"/>
      <c r="M384" s="2745"/>
      <c r="N384" s="2745"/>
      <c r="O384" s="2745"/>
      <c r="P384" s="2745"/>
      <c r="Q384" s="2745"/>
      <c r="R384" s="2745"/>
      <c r="S384" s="2745"/>
      <c r="T384" s="2745"/>
      <c r="U384" s="2745"/>
      <c r="V384" s="2745"/>
      <c r="W384" s="2745"/>
      <c r="X384" s="2745"/>
      <c r="Y384" s="2745"/>
      <c r="Z384" s="27024" t="s">
        <v>844</v>
      </c>
      <c r="AA384" s="2729" t="s">
        <v>103</v>
      </c>
      <c r="AB384" s="2093" t="s">
        <v>941</v>
      </c>
      <c r="AC384" s="2083">
        <v>1138794.42</v>
      </c>
      <c r="AD384" s="2093" t="str">
        <f>AB384</f>
        <v>  Прочие</v>
      </c>
      <c r="AE384" s="2083"/>
      <c r="AF384" s="2746"/>
      <c r="AG384" s="2674"/>
      <c r="AH384" s="2674"/>
      <c r="AI384" s="2746"/>
      <c r="AJ384" s="2674"/>
      <c r="AK384" s="3423"/>
      <c r="AL384" s="3424"/>
      <c r="AM384" s="2738"/>
      <c r="AN384" s="2738"/>
      <c r="AO384" s="2738"/>
      <c r="AP384" s="2738"/>
      <c r="AQ384" s="2738"/>
      <c r="AR384" s="2738"/>
      <c r="AS384" s="2738"/>
      <c r="AT384" s="2738"/>
      <c r="AU384" s="2738"/>
      <c r="AV384" s="2738"/>
      <c r="AW384" s="2738"/>
      <c r="AX384" s="2738"/>
      <c r="AY384" s="2738"/>
      <c r="AZ384" s="2738"/>
      <c r="BA384" s="2738"/>
      <c r="BB384" s="2738"/>
      <c r="BC384" s="2738"/>
      <c r="BD384" s="2738"/>
      <c r="BE384" s="2738"/>
      <c r="BF384" s="2738"/>
    </row>
    <row customHeight="1" ht="11.25">
      <c r="A385" s="2080" t="s">
        <v>905</v>
      </c>
      <c r="B385" s="2080"/>
      <c r="C385" s="2080"/>
      <c r="D385" s="2074"/>
      <c r="E385" s="2084"/>
      <c r="F385" s="2744"/>
      <c r="G385" s="2745"/>
      <c r="H385" s="3333" t="s">
        <v>104</v>
      </c>
      <c r="I385" s="3334"/>
      <c r="J385" s="3303"/>
      <c r="K385" s="3335"/>
      <c r="L385" s="2933"/>
      <c r="M385" s="2934"/>
      <c r="N385" s="3398"/>
      <c r="O385" s="3421"/>
      <c r="P385" s="3330"/>
      <c r="Q385" s="3331"/>
      <c r="R385" s="3331"/>
      <c r="S385" s="3332"/>
      <c r="T385" s="3331"/>
      <c r="U385" s="3331"/>
      <c r="V385" s="3331"/>
      <c r="W385" s="3331"/>
      <c r="X385" s="3331"/>
      <c r="Y385" s="3331"/>
      <c r="Z385" s="2089"/>
      <c r="AA385" s="2090"/>
      <c r="AB385" s="2155" t="s">
        <v>942</v>
      </c>
      <c r="AC385" s="2094"/>
      <c r="AD385" s="2094"/>
      <c r="AE385" s="2096"/>
      <c r="AF385" s="3324"/>
      <c r="AG385" s="3325"/>
      <c r="AH385" s="3325"/>
      <c r="AI385" s="3324"/>
      <c r="AJ385" s="3325"/>
      <c r="AK385" s="3325"/>
      <c r="AL385" s="3424"/>
      <c r="AM385" s="2738"/>
      <c r="AN385" s="2738"/>
      <c r="AO385" s="2738"/>
      <c r="AP385" s="2738"/>
      <c r="AQ385" s="2738"/>
      <c r="AR385" s="2738"/>
      <c r="AS385" s="2738"/>
      <c r="AT385" s="2738"/>
      <c r="AU385" s="2738"/>
      <c r="AV385" s="2738"/>
      <c r="AW385" s="2738"/>
      <c r="AX385" s="2738"/>
      <c r="AY385" s="2738"/>
      <c r="AZ385" s="2738"/>
      <c r="BA385" s="2738"/>
      <c r="BB385" s="2738"/>
      <c r="BC385" s="2738"/>
      <c r="BD385" s="2738"/>
      <c r="BE385" s="2738"/>
      <c r="BF385" s="2738"/>
    </row>
    <row customHeight="1" ht="11.25">
      <c r="A386" s="2080" t="s">
        <v>905</v>
      </c>
      <c r="B386" s="2080"/>
      <c r="C386" s="2080"/>
      <c r="D386" s="2074"/>
      <c r="E386" s="2084"/>
      <c r="F386" s="2744"/>
      <c r="G386" s="2745"/>
      <c r="H386" s="3333" t="s">
        <v>104</v>
      </c>
      <c r="I386" s="3334"/>
      <c r="J386" s="3303"/>
      <c r="K386" s="3335"/>
      <c r="L386" s="2933"/>
      <c r="M386" s="2934"/>
      <c r="N386" s="2089"/>
      <c r="O386" s="2090"/>
      <c r="P386" s="2082" t="s">
        <v>943</v>
      </c>
      <c r="Q386" s="2090"/>
      <c r="R386" s="2090"/>
      <c r="S386" s="2090"/>
      <c r="T386" s="2090"/>
      <c r="U386" s="2090"/>
      <c r="V386" s="2090"/>
      <c r="W386" s="2090"/>
      <c r="X386" s="2090"/>
      <c r="Y386" s="2090"/>
      <c r="Z386" s="2090"/>
      <c r="AA386" s="2090"/>
      <c r="AB386" s="2090"/>
      <c r="AC386" s="2090"/>
      <c r="AD386" s="2090"/>
      <c r="AE386" s="2097"/>
      <c r="AF386" s="3324"/>
      <c r="AG386" s="3325"/>
      <c r="AH386" s="3325"/>
      <c r="AI386" s="3324"/>
      <c r="AJ386" s="3325"/>
      <c r="AK386" s="3325"/>
      <c r="AL386" s="3424"/>
      <c r="AM386" s="2738"/>
      <c r="AN386" s="2738"/>
      <c r="AO386" s="2738"/>
      <c r="AP386" s="2738"/>
      <c r="AQ386" s="2738"/>
      <c r="AR386" s="2738"/>
      <c r="AS386" s="2738"/>
      <c r="AT386" s="2738"/>
      <c r="AU386" s="2738"/>
      <c r="AV386" s="2738"/>
      <c r="AW386" s="2738"/>
      <c r="AX386" s="2738"/>
      <c r="AY386" s="2738"/>
      <c r="AZ386" s="2738"/>
      <c r="BA386" s="2738"/>
      <c r="BB386" s="2738"/>
      <c r="BC386" s="2738"/>
      <c r="BD386" s="2738"/>
      <c r="BE386" s="2738"/>
      <c r="BF386" s="2738"/>
    </row>
    <row customHeight="1" ht="11.25">
      <c r="A387" s="2080" t="s">
        <v>905</v>
      </c>
      <c r="B387" s="2080" t="s">
        <v>944</v>
      </c>
      <c r="C387" s="2080"/>
      <c r="D387" s="2074"/>
      <c r="E387" s="2084"/>
      <c r="F387" s="2744"/>
      <c r="G387" s="24234" t="s">
        <v>844</v>
      </c>
      <c r="H387" s="3333" t="s">
        <v>89</v>
      </c>
      <c r="I387" s="3334" t="s">
        <v>945</v>
      </c>
      <c r="J387" s="3303" t="s">
        <v>946</v>
      </c>
      <c r="K387" s="3335" t="s">
        <v>972</v>
      </c>
      <c r="L387" s="2933" t="s">
        <v>52</v>
      </c>
      <c r="M387" s="2934"/>
      <c r="N387" s="3422"/>
      <c r="O387" s="2091" t="s">
        <v>367</v>
      </c>
      <c r="P387" s="2092"/>
      <c r="Q387" s="2092"/>
      <c r="R387" s="2092"/>
      <c r="S387" s="2092"/>
      <c r="T387" s="2092"/>
      <c r="U387" s="2092"/>
      <c r="V387" s="2092"/>
      <c r="W387" s="2092"/>
      <c r="X387" s="2092"/>
      <c r="Y387" s="2092"/>
      <c r="Z387" s="2092"/>
      <c r="AA387" s="2092"/>
      <c r="AB387" s="2092"/>
      <c r="AC387" s="2092"/>
      <c r="AD387" s="2092"/>
      <c r="AE387" s="2092"/>
      <c r="AF387" s="3324">
        <v>4</v>
      </c>
      <c r="AG387" s="3325" t="s">
        <v>939</v>
      </c>
      <c r="AH387" s="3325" t="s">
        <v>958</v>
      </c>
      <c r="AI387" s="3324"/>
      <c r="AJ387" s="3325"/>
      <c r="AK387" s="3325"/>
      <c r="AL387" s="3424"/>
      <c r="AM387" s="2738"/>
      <c r="AN387" s="2738"/>
      <c r="AO387" s="2738"/>
      <c r="AP387" s="2738"/>
      <c r="AQ387" s="2738"/>
      <c r="AR387" s="2738"/>
      <c r="AS387" s="2738"/>
      <c r="AT387" s="2738"/>
      <c r="AU387" s="2738"/>
      <c r="AV387" s="2738"/>
      <c r="AW387" s="2738"/>
      <c r="AX387" s="2738"/>
      <c r="AY387" s="2738"/>
      <c r="AZ387" s="2738"/>
      <c r="BA387" s="2738"/>
      <c r="BB387" s="2738"/>
      <c r="BC387" s="2738"/>
      <c r="BD387" s="2738"/>
      <c r="BE387" s="2738"/>
      <c r="BF387" s="2738"/>
    </row>
    <row customHeight="1" ht="11.25">
      <c r="A388" s="2080" t="s">
        <v>905</v>
      </c>
      <c r="B388" s="2080"/>
      <c r="C388" s="2080"/>
      <c r="D388" s="2074"/>
      <c r="E388" s="2084"/>
      <c r="F388" s="2744"/>
      <c r="G388" s="2745"/>
      <c r="H388" s="3333" t="s">
        <v>88</v>
      </c>
      <c r="I388" s="3334"/>
      <c r="J388" s="3303"/>
      <c r="K388" s="3335"/>
      <c r="L388" s="2933"/>
      <c r="M388" s="2934"/>
      <c r="N388" s="3398"/>
      <c r="O388" s="3421">
        <v>1</v>
      </c>
      <c r="P388" s="3328" t="s">
        <v>52</v>
      </c>
      <c r="Q388" s="3331" t="s">
        <v>18</v>
      </c>
      <c r="R388" s="3331" t="s">
        <v>18</v>
      </c>
      <c r="S388" s="3331" t="s">
        <v>18</v>
      </c>
      <c r="T388" s="3331" t="s">
        <v>18</v>
      </c>
      <c r="U388" s="3331" t="s">
        <v>18</v>
      </c>
      <c r="V388" s="3331" t="s">
        <v>18</v>
      </c>
      <c r="W388" s="3331" t="s">
        <v>18</v>
      </c>
      <c r="X388" s="3331" t="s">
        <v>18</v>
      </c>
      <c r="Y388" s="3331"/>
      <c r="Z388" s="2089"/>
      <c r="AA388" s="2090"/>
      <c r="AB388" s="2090"/>
      <c r="AC388" s="2094"/>
      <c r="AD388" s="2094"/>
      <c r="AE388" s="2095"/>
      <c r="AF388" s="3324"/>
      <c r="AG388" s="3325"/>
      <c r="AH388" s="3325"/>
      <c r="AI388" s="3324"/>
      <c r="AJ388" s="3325"/>
      <c r="AK388" s="3325"/>
      <c r="AL388" s="3424"/>
      <c r="AM388" s="2738"/>
      <c r="AN388" s="2738"/>
      <c r="AO388" s="2738"/>
      <c r="AP388" s="2738"/>
      <c r="AQ388" s="2738"/>
      <c r="AR388" s="2738"/>
      <c r="AS388" s="2738"/>
      <c r="AT388" s="2738"/>
      <c r="AU388" s="2738"/>
      <c r="AV388" s="2738"/>
      <c r="AW388" s="2738"/>
      <c r="AX388" s="2738"/>
      <c r="AY388" s="2738"/>
      <c r="AZ388" s="2738"/>
      <c r="BA388" s="2738"/>
      <c r="BB388" s="2738"/>
      <c r="BC388" s="2738"/>
      <c r="BD388" s="2738"/>
      <c r="BE388" s="2738"/>
      <c r="BF388" s="2738"/>
    </row>
    <row customHeight="1" ht="11.25">
      <c r="A389" s="2080" t="s">
        <v>905</v>
      </c>
      <c r="B389" s="2080"/>
      <c r="C389" s="2080"/>
      <c r="D389" s="2074"/>
      <c r="E389" s="2084"/>
      <c r="F389" s="2744"/>
      <c r="G389" s="2745"/>
      <c r="H389" s="3333" t="s">
        <v>88</v>
      </c>
      <c r="I389" s="3334"/>
      <c r="J389" s="3303"/>
      <c r="K389" s="3335"/>
      <c r="L389" s="2933"/>
      <c r="M389" s="2934"/>
      <c r="N389" s="3398"/>
      <c r="O389" s="3421"/>
      <c r="P389" s="3329"/>
      <c r="Q389" s="3331"/>
      <c r="R389" s="3331"/>
      <c r="S389" s="3332"/>
      <c r="T389" s="3331"/>
      <c r="U389" s="3331"/>
      <c r="V389" s="3331"/>
      <c r="W389" s="3331"/>
      <c r="X389" s="3331"/>
      <c r="Y389" s="3331"/>
      <c r="Z389" s="2743"/>
      <c r="AA389" s="2709">
        <v>1</v>
      </c>
      <c r="AB389" s="2093" t="s">
        <v>949</v>
      </c>
      <c r="AC389" s="2083">
        <v>201741.76</v>
      </c>
      <c r="AD389" s="2093" t="str">
        <f>AB389</f>
        <v>      Прочие амортизационные отчисления</v>
      </c>
      <c r="AE389" s="2083"/>
      <c r="AF389" s="3324"/>
      <c r="AG389" s="3325"/>
      <c r="AH389" s="3325"/>
      <c r="AI389" s="3324"/>
      <c r="AJ389" s="3325"/>
      <c r="AK389" s="3325"/>
      <c r="AL389" s="3424"/>
      <c r="AM389" s="2738"/>
      <c r="AN389" s="2738"/>
      <c r="AO389" s="2738"/>
      <c r="AP389" s="2738"/>
      <c r="AQ389" s="2738"/>
      <c r="AR389" s="2738"/>
      <c r="AS389" s="2738"/>
      <c r="AT389" s="2738"/>
      <c r="AU389" s="2738"/>
      <c r="AV389" s="2738"/>
      <c r="AW389" s="2738"/>
      <c r="AX389" s="2738"/>
      <c r="AY389" s="2738"/>
      <c r="AZ389" s="2738"/>
      <c r="BA389" s="2738"/>
      <c r="BB389" s="2738"/>
      <c r="BC389" s="2738"/>
      <c r="BD389" s="2738"/>
      <c r="BE389" s="2738"/>
      <c r="BF389" s="2738"/>
    </row>
    <row customHeight="1" ht="11.25">
      <c r="A390" s="2080" t="s">
        <v>905</v>
      </c>
      <c r="B390" s="2080"/>
      <c r="C390" s="2080"/>
      <c r="D390" s="2074"/>
      <c r="E390" s="2084"/>
      <c r="F390" s="2745"/>
      <c r="G390" s="2745"/>
      <c r="H390" s="2745"/>
      <c r="I390" s="2745"/>
      <c r="J390" s="2745"/>
      <c r="K390" s="2745"/>
      <c r="L390" s="2745"/>
      <c r="M390" s="2745"/>
      <c r="N390" s="2745"/>
      <c r="O390" s="2745"/>
      <c r="P390" s="2745"/>
      <c r="Q390" s="2745"/>
      <c r="R390" s="2745"/>
      <c r="S390" s="2745"/>
      <c r="T390" s="2745"/>
      <c r="U390" s="2745"/>
      <c r="V390" s="2745"/>
      <c r="W390" s="2745"/>
      <c r="X390" s="2745"/>
      <c r="Y390" s="2745"/>
      <c r="Z390" s="27024" t="s">
        <v>844</v>
      </c>
      <c r="AA390" s="2729" t="s">
        <v>103</v>
      </c>
      <c r="AB390" s="2093" t="s">
        <v>941</v>
      </c>
      <c r="AC390" s="2083">
        <v>224437.32</v>
      </c>
      <c r="AD390" s="2093" t="str">
        <f>AB390</f>
        <v>  Прочие</v>
      </c>
      <c r="AE390" s="2083"/>
      <c r="AF390" s="2746"/>
      <c r="AG390" s="2674"/>
      <c r="AH390" s="2674"/>
      <c r="AI390" s="2746"/>
      <c r="AJ390" s="2674"/>
      <c r="AK390" s="3423"/>
      <c r="AL390" s="3424"/>
      <c r="AM390" s="2738"/>
      <c r="AN390" s="2738"/>
      <c r="AO390" s="2738"/>
      <c r="AP390" s="2738"/>
      <c r="AQ390" s="2738"/>
      <c r="AR390" s="2738"/>
      <c r="AS390" s="2738"/>
      <c r="AT390" s="2738"/>
      <c r="AU390" s="2738"/>
      <c r="AV390" s="2738"/>
      <c r="AW390" s="2738"/>
      <c r="AX390" s="2738"/>
      <c r="AY390" s="2738"/>
      <c r="AZ390" s="2738"/>
      <c r="BA390" s="2738"/>
      <c r="BB390" s="2738"/>
      <c r="BC390" s="2738"/>
      <c r="BD390" s="2738"/>
      <c r="BE390" s="2738"/>
      <c r="BF390" s="2738"/>
    </row>
    <row customHeight="1" ht="11.25">
      <c r="A391" s="2080" t="s">
        <v>905</v>
      </c>
      <c r="B391" s="2080"/>
      <c r="C391" s="2080"/>
      <c r="D391" s="2074"/>
      <c r="E391" s="2084"/>
      <c r="F391" s="2744"/>
      <c r="G391" s="2745"/>
      <c r="H391" s="3333" t="s">
        <v>88</v>
      </c>
      <c r="I391" s="3334"/>
      <c r="J391" s="3303"/>
      <c r="K391" s="3335"/>
      <c r="L391" s="2933"/>
      <c r="M391" s="2934"/>
      <c r="N391" s="3398"/>
      <c r="O391" s="3421"/>
      <c r="P391" s="3330"/>
      <c r="Q391" s="3331"/>
      <c r="R391" s="3331"/>
      <c r="S391" s="3332"/>
      <c r="T391" s="3331"/>
      <c r="U391" s="3331"/>
      <c r="V391" s="3331"/>
      <c r="W391" s="3331"/>
      <c r="X391" s="3331"/>
      <c r="Y391" s="3331"/>
      <c r="Z391" s="2089"/>
      <c r="AA391" s="2090"/>
      <c r="AB391" s="2155" t="s">
        <v>942</v>
      </c>
      <c r="AC391" s="2094"/>
      <c r="AD391" s="2094"/>
      <c r="AE391" s="2096"/>
      <c r="AF391" s="3324"/>
      <c r="AG391" s="3325"/>
      <c r="AH391" s="3325"/>
      <c r="AI391" s="3324"/>
      <c r="AJ391" s="3325"/>
      <c r="AK391" s="3325"/>
      <c r="AL391" s="3424"/>
      <c r="AM391" s="2738"/>
      <c r="AN391" s="2738"/>
      <c r="AO391" s="2738"/>
      <c r="AP391" s="2738"/>
      <c r="AQ391" s="2738"/>
      <c r="AR391" s="2738"/>
      <c r="AS391" s="2738"/>
      <c r="AT391" s="2738"/>
      <c r="AU391" s="2738"/>
      <c r="AV391" s="2738"/>
      <c r="AW391" s="2738"/>
      <c r="AX391" s="2738"/>
      <c r="AY391" s="2738"/>
      <c r="AZ391" s="2738"/>
      <c r="BA391" s="2738"/>
      <c r="BB391" s="2738"/>
      <c r="BC391" s="2738"/>
      <c r="BD391" s="2738"/>
      <c r="BE391" s="2738"/>
      <c r="BF391" s="2738"/>
    </row>
    <row customHeight="1" ht="11.25">
      <c r="A392" s="2080" t="s">
        <v>905</v>
      </c>
      <c r="B392" s="2080"/>
      <c r="C392" s="2080"/>
      <c r="D392" s="2074"/>
      <c r="E392" s="2084"/>
      <c r="F392" s="2744"/>
      <c r="G392" s="2745"/>
      <c r="H392" s="3333" t="s">
        <v>88</v>
      </c>
      <c r="I392" s="3334"/>
      <c r="J392" s="3303"/>
      <c r="K392" s="3335"/>
      <c r="L392" s="2933"/>
      <c r="M392" s="2934"/>
      <c r="N392" s="2089"/>
      <c r="O392" s="2090"/>
      <c r="P392" s="2082" t="s">
        <v>943</v>
      </c>
      <c r="Q392" s="2090"/>
      <c r="R392" s="2090"/>
      <c r="S392" s="2090"/>
      <c r="T392" s="2090"/>
      <c r="U392" s="2090"/>
      <c r="V392" s="2090"/>
      <c r="W392" s="2090"/>
      <c r="X392" s="2090"/>
      <c r="Y392" s="2090"/>
      <c r="Z392" s="2090"/>
      <c r="AA392" s="2090"/>
      <c r="AB392" s="2090"/>
      <c r="AC392" s="2090"/>
      <c r="AD392" s="2090"/>
      <c r="AE392" s="2097"/>
      <c r="AF392" s="3324"/>
      <c r="AG392" s="3325"/>
      <c r="AH392" s="3325"/>
      <c r="AI392" s="3324"/>
      <c r="AJ392" s="3325"/>
      <c r="AK392" s="3325"/>
      <c r="AL392" s="3424"/>
      <c r="AM392" s="2738"/>
      <c r="AN392" s="2738"/>
      <c r="AO392" s="2738"/>
      <c r="AP392" s="2738"/>
      <c r="AQ392" s="2738"/>
      <c r="AR392" s="2738"/>
      <c r="AS392" s="2738"/>
      <c r="AT392" s="2738"/>
      <c r="AU392" s="2738"/>
      <c r="AV392" s="2738"/>
      <c r="AW392" s="2738"/>
      <c r="AX392" s="2738"/>
      <c r="AY392" s="2738"/>
      <c r="AZ392" s="2738"/>
      <c r="BA392" s="2738"/>
      <c r="BB392" s="2738"/>
      <c r="BC392" s="2738"/>
      <c r="BD392" s="2738"/>
      <c r="BE392" s="2738"/>
      <c r="BF392" s="2738"/>
    </row>
    <row customHeight="1" ht="11.25">
      <c r="A393" s="2080" t="s">
        <v>905</v>
      </c>
      <c r="B393" s="2080" t="s">
        <v>944</v>
      </c>
      <c r="C393" s="2080"/>
      <c r="D393" s="2074"/>
      <c r="E393" s="2084"/>
      <c r="F393" s="2744"/>
      <c r="G393" s="24234" t="s">
        <v>844</v>
      </c>
      <c r="H393" s="3333" t="s">
        <v>105</v>
      </c>
      <c r="I393" s="3334" t="s">
        <v>945</v>
      </c>
      <c r="J393" s="3303" t="s">
        <v>946</v>
      </c>
      <c r="K393" s="3335" t="s">
        <v>974</v>
      </c>
      <c r="L393" s="2933" t="s">
        <v>52</v>
      </c>
      <c r="M393" s="2934"/>
      <c r="N393" s="3422"/>
      <c r="O393" s="2091" t="s">
        <v>367</v>
      </c>
      <c r="P393" s="2092"/>
      <c r="Q393" s="2092"/>
      <c r="R393" s="2092"/>
      <c r="S393" s="2092"/>
      <c r="T393" s="2092"/>
      <c r="U393" s="2092"/>
      <c r="V393" s="2092"/>
      <c r="W393" s="2092"/>
      <c r="X393" s="2092"/>
      <c r="Y393" s="2092"/>
      <c r="Z393" s="2092"/>
      <c r="AA393" s="2092"/>
      <c r="AB393" s="2092"/>
      <c r="AC393" s="2092"/>
      <c r="AD393" s="2092"/>
      <c r="AE393" s="2092"/>
      <c r="AF393" s="3324">
        <v>4</v>
      </c>
      <c r="AG393" s="3325" t="s">
        <v>939</v>
      </c>
      <c r="AH393" s="3325" t="s">
        <v>958</v>
      </c>
      <c r="AI393" s="3324"/>
      <c r="AJ393" s="3325"/>
      <c r="AK393" s="3325"/>
      <c r="AL393" s="3424"/>
      <c r="AM393" s="2738"/>
      <c r="AN393" s="2738"/>
      <c r="AO393" s="2738"/>
      <c r="AP393" s="2738"/>
      <c r="AQ393" s="2738"/>
      <c r="AR393" s="2738"/>
      <c r="AS393" s="2738"/>
      <c r="AT393" s="2738"/>
      <c r="AU393" s="2738"/>
      <c r="AV393" s="2738"/>
      <c r="AW393" s="2738"/>
      <c r="AX393" s="2738"/>
      <c r="AY393" s="2738"/>
      <c r="AZ393" s="2738"/>
      <c r="BA393" s="2738"/>
      <c r="BB393" s="2738"/>
      <c r="BC393" s="2738"/>
      <c r="BD393" s="2738"/>
      <c r="BE393" s="2738"/>
      <c r="BF393" s="2738"/>
    </row>
    <row customHeight="1" ht="11.25">
      <c r="A394" s="2080" t="s">
        <v>905</v>
      </c>
      <c r="B394" s="2080"/>
      <c r="C394" s="2080"/>
      <c r="D394" s="2074"/>
      <c r="E394" s="2084"/>
      <c r="F394" s="2744"/>
      <c r="G394" s="2745"/>
      <c r="H394" s="3333" t="s">
        <v>89</v>
      </c>
      <c r="I394" s="3334"/>
      <c r="J394" s="3303"/>
      <c r="K394" s="3335"/>
      <c r="L394" s="2933"/>
      <c r="M394" s="2934"/>
      <c r="N394" s="3398"/>
      <c r="O394" s="3421">
        <v>1</v>
      </c>
      <c r="P394" s="3328" t="s">
        <v>52</v>
      </c>
      <c r="Q394" s="3331" t="s">
        <v>18</v>
      </c>
      <c r="R394" s="3331" t="s">
        <v>18</v>
      </c>
      <c r="S394" s="3331" t="s">
        <v>18</v>
      </c>
      <c r="T394" s="3331" t="s">
        <v>18</v>
      </c>
      <c r="U394" s="3331" t="s">
        <v>18</v>
      </c>
      <c r="V394" s="3331" t="s">
        <v>18</v>
      </c>
      <c r="W394" s="3331" t="s">
        <v>18</v>
      </c>
      <c r="X394" s="3331" t="s">
        <v>18</v>
      </c>
      <c r="Y394" s="3331"/>
      <c r="Z394" s="2089"/>
      <c r="AA394" s="2090"/>
      <c r="AB394" s="2090"/>
      <c r="AC394" s="2094"/>
      <c r="AD394" s="2094"/>
      <c r="AE394" s="2095"/>
      <c r="AF394" s="3324"/>
      <c r="AG394" s="3325"/>
      <c r="AH394" s="3325"/>
      <c r="AI394" s="3324"/>
      <c r="AJ394" s="3325"/>
      <c r="AK394" s="3325"/>
      <c r="AL394" s="3424"/>
      <c r="AM394" s="2738"/>
      <c r="AN394" s="2738"/>
      <c r="AO394" s="2738"/>
      <c r="AP394" s="2738"/>
      <c r="AQ394" s="2738"/>
      <c r="AR394" s="2738"/>
      <c r="AS394" s="2738"/>
      <c r="AT394" s="2738"/>
      <c r="AU394" s="2738"/>
      <c r="AV394" s="2738"/>
      <c r="AW394" s="2738"/>
      <c r="AX394" s="2738"/>
      <c r="AY394" s="2738"/>
      <c r="AZ394" s="2738"/>
      <c r="BA394" s="2738"/>
      <c r="BB394" s="2738"/>
      <c r="BC394" s="2738"/>
      <c r="BD394" s="2738"/>
      <c r="BE394" s="2738"/>
      <c r="BF394" s="2738"/>
    </row>
    <row customHeight="1" ht="11.25">
      <c r="A395" s="2080" t="s">
        <v>905</v>
      </c>
      <c r="B395" s="2080"/>
      <c r="C395" s="2080"/>
      <c r="D395" s="2074"/>
      <c r="E395" s="2084"/>
      <c r="F395" s="2744"/>
      <c r="G395" s="2745"/>
      <c r="H395" s="3333" t="s">
        <v>89</v>
      </c>
      <c r="I395" s="3334"/>
      <c r="J395" s="3303"/>
      <c r="K395" s="3335"/>
      <c r="L395" s="2933"/>
      <c r="M395" s="2934"/>
      <c r="N395" s="3398"/>
      <c r="O395" s="3421"/>
      <c r="P395" s="3329"/>
      <c r="Q395" s="3331"/>
      <c r="R395" s="3331"/>
      <c r="S395" s="3332"/>
      <c r="T395" s="3331"/>
      <c r="U395" s="3331"/>
      <c r="V395" s="3331"/>
      <c r="W395" s="3331"/>
      <c r="X395" s="3331"/>
      <c r="Y395" s="3331"/>
      <c r="Z395" s="2743"/>
      <c r="AA395" s="2709">
        <v>1</v>
      </c>
      <c r="AB395" s="2093" t="s">
        <v>949</v>
      </c>
      <c r="AC395" s="2083">
        <v>230631.93</v>
      </c>
      <c r="AD395" s="2093" t="str">
        <f>AB395</f>
        <v>      Прочие амортизационные отчисления</v>
      </c>
      <c r="AE395" s="2083"/>
      <c r="AF395" s="3324"/>
      <c r="AG395" s="3325"/>
      <c r="AH395" s="3325"/>
      <c r="AI395" s="3324"/>
      <c r="AJ395" s="3325"/>
      <c r="AK395" s="3325"/>
      <c r="AL395" s="3424"/>
      <c r="AM395" s="2738"/>
      <c r="AN395" s="2738"/>
      <c r="AO395" s="2738"/>
      <c r="AP395" s="2738"/>
      <c r="AQ395" s="2738"/>
      <c r="AR395" s="2738"/>
      <c r="AS395" s="2738"/>
      <c r="AT395" s="2738"/>
      <c r="AU395" s="2738"/>
      <c r="AV395" s="2738"/>
      <c r="AW395" s="2738"/>
      <c r="AX395" s="2738"/>
      <c r="AY395" s="2738"/>
      <c r="AZ395" s="2738"/>
      <c r="BA395" s="2738"/>
      <c r="BB395" s="2738"/>
      <c r="BC395" s="2738"/>
      <c r="BD395" s="2738"/>
      <c r="BE395" s="2738"/>
      <c r="BF395" s="2738"/>
    </row>
    <row customHeight="1" ht="11.25">
      <c r="A396" s="2080" t="s">
        <v>905</v>
      </c>
      <c r="B396" s="2080"/>
      <c r="C396" s="2080"/>
      <c r="D396" s="2074"/>
      <c r="E396" s="2084"/>
      <c r="F396" s="2745"/>
      <c r="G396" s="2745"/>
      <c r="H396" s="2745"/>
      <c r="I396" s="2745"/>
      <c r="J396" s="2745"/>
      <c r="K396" s="2745"/>
      <c r="L396" s="2745"/>
      <c r="M396" s="2745"/>
      <c r="N396" s="2745"/>
      <c r="O396" s="2745"/>
      <c r="P396" s="2745"/>
      <c r="Q396" s="2745"/>
      <c r="R396" s="2745"/>
      <c r="S396" s="2745"/>
      <c r="T396" s="2745"/>
      <c r="U396" s="2745"/>
      <c r="V396" s="2745"/>
      <c r="W396" s="2745"/>
      <c r="X396" s="2745"/>
      <c r="Y396" s="2745"/>
      <c r="Z396" s="27024" t="s">
        <v>844</v>
      </c>
      <c r="AA396" s="2729" t="s">
        <v>103</v>
      </c>
      <c r="AB396" s="2093" t="s">
        <v>941</v>
      </c>
      <c r="AC396" s="2083">
        <v>256577.57</v>
      </c>
      <c r="AD396" s="2093" t="str">
        <f>AB396</f>
        <v>  Прочие</v>
      </c>
      <c r="AE396" s="2083"/>
      <c r="AF396" s="2746"/>
      <c r="AG396" s="2674"/>
      <c r="AH396" s="2674"/>
      <c r="AI396" s="2746"/>
      <c r="AJ396" s="2674"/>
      <c r="AK396" s="3423"/>
      <c r="AL396" s="3424"/>
      <c r="AM396" s="2738"/>
      <c r="AN396" s="2738"/>
      <c r="AO396" s="2738"/>
      <c r="AP396" s="2738"/>
      <c r="AQ396" s="2738"/>
      <c r="AR396" s="2738"/>
      <c r="AS396" s="2738"/>
      <c r="AT396" s="2738"/>
      <c r="AU396" s="2738"/>
      <c r="AV396" s="2738"/>
      <c r="AW396" s="2738"/>
      <c r="AX396" s="2738"/>
      <c r="AY396" s="2738"/>
      <c r="AZ396" s="2738"/>
      <c r="BA396" s="2738"/>
      <c r="BB396" s="2738"/>
      <c r="BC396" s="2738"/>
      <c r="BD396" s="2738"/>
      <c r="BE396" s="2738"/>
      <c r="BF396" s="2738"/>
    </row>
    <row customHeight="1" ht="11.25">
      <c r="A397" s="2080" t="s">
        <v>905</v>
      </c>
      <c r="B397" s="2080"/>
      <c r="C397" s="2080"/>
      <c r="D397" s="2074"/>
      <c r="E397" s="2084"/>
      <c r="F397" s="2744"/>
      <c r="G397" s="2745"/>
      <c r="H397" s="3333" t="s">
        <v>89</v>
      </c>
      <c r="I397" s="3334"/>
      <c r="J397" s="3303"/>
      <c r="K397" s="3335"/>
      <c r="L397" s="2933"/>
      <c r="M397" s="2934"/>
      <c r="N397" s="3398"/>
      <c r="O397" s="3421"/>
      <c r="P397" s="3330"/>
      <c r="Q397" s="3331"/>
      <c r="R397" s="3331"/>
      <c r="S397" s="3332"/>
      <c r="T397" s="3331"/>
      <c r="U397" s="3331"/>
      <c r="V397" s="3331"/>
      <c r="W397" s="3331"/>
      <c r="X397" s="3331"/>
      <c r="Y397" s="3331"/>
      <c r="Z397" s="2089"/>
      <c r="AA397" s="2090"/>
      <c r="AB397" s="2155" t="s">
        <v>942</v>
      </c>
      <c r="AC397" s="2094"/>
      <c r="AD397" s="2094"/>
      <c r="AE397" s="2096"/>
      <c r="AF397" s="3324"/>
      <c r="AG397" s="3325"/>
      <c r="AH397" s="3325"/>
      <c r="AI397" s="3324"/>
      <c r="AJ397" s="3325"/>
      <c r="AK397" s="3325"/>
      <c r="AL397" s="3424"/>
      <c r="AM397" s="2738"/>
      <c r="AN397" s="2738"/>
      <c r="AO397" s="2738"/>
      <c r="AP397" s="2738"/>
      <c r="AQ397" s="2738"/>
      <c r="AR397" s="2738"/>
      <c r="AS397" s="2738"/>
      <c r="AT397" s="2738"/>
      <c r="AU397" s="2738"/>
      <c r="AV397" s="2738"/>
      <c r="AW397" s="2738"/>
      <c r="AX397" s="2738"/>
      <c r="AY397" s="2738"/>
      <c r="AZ397" s="2738"/>
      <c r="BA397" s="2738"/>
      <c r="BB397" s="2738"/>
      <c r="BC397" s="2738"/>
      <c r="BD397" s="2738"/>
      <c r="BE397" s="2738"/>
      <c r="BF397" s="2738"/>
    </row>
    <row customHeight="1" ht="11.25">
      <c r="A398" s="2080" t="s">
        <v>905</v>
      </c>
      <c r="B398" s="2080"/>
      <c r="C398" s="2080"/>
      <c r="D398" s="2074"/>
      <c r="E398" s="2084"/>
      <c r="F398" s="2744"/>
      <c r="G398" s="2745"/>
      <c r="H398" s="3333" t="s">
        <v>89</v>
      </c>
      <c r="I398" s="3334"/>
      <c r="J398" s="3303"/>
      <c r="K398" s="3335"/>
      <c r="L398" s="2933"/>
      <c r="M398" s="2934"/>
      <c r="N398" s="2089"/>
      <c r="O398" s="2090"/>
      <c r="P398" s="2082" t="s">
        <v>943</v>
      </c>
      <c r="Q398" s="2090"/>
      <c r="R398" s="2090"/>
      <c r="S398" s="2090"/>
      <c r="T398" s="2090"/>
      <c r="U398" s="2090"/>
      <c r="V398" s="2090"/>
      <c r="W398" s="2090"/>
      <c r="X398" s="2090"/>
      <c r="Y398" s="2090"/>
      <c r="Z398" s="2090"/>
      <c r="AA398" s="2090"/>
      <c r="AB398" s="2090"/>
      <c r="AC398" s="2090"/>
      <c r="AD398" s="2090"/>
      <c r="AE398" s="2097"/>
      <c r="AF398" s="3324"/>
      <c r="AG398" s="3325"/>
      <c r="AH398" s="3325"/>
      <c r="AI398" s="3324"/>
      <c r="AJ398" s="3325"/>
      <c r="AK398" s="3325"/>
      <c r="AL398" s="3424"/>
      <c r="AM398" s="2738"/>
      <c r="AN398" s="2738"/>
      <c r="AO398" s="2738"/>
      <c r="AP398" s="2738"/>
      <c r="AQ398" s="2738"/>
      <c r="AR398" s="2738"/>
      <c r="AS398" s="2738"/>
      <c r="AT398" s="2738"/>
      <c r="AU398" s="2738"/>
      <c r="AV398" s="2738"/>
      <c r="AW398" s="2738"/>
      <c r="AX398" s="2738"/>
      <c r="AY398" s="2738"/>
      <c r="AZ398" s="2738"/>
      <c r="BA398" s="2738"/>
      <c r="BB398" s="2738"/>
      <c r="BC398" s="2738"/>
      <c r="BD398" s="2738"/>
      <c r="BE398" s="2738"/>
      <c r="BF398" s="2738"/>
    </row>
    <row customHeight="1" ht="24.75">
      <c r="A399" s="2080" t="s">
        <v>905</v>
      </c>
      <c r="B399" s="2080" t="s">
        <v>18</v>
      </c>
      <c r="C399" s="2080"/>
      <c r="D399" s="2074"/>
      <c r="E399" s="2084"/>
      <c r="F399" s="2744"/>
      <c r="G399" s="24234" t="s">
        <v>844</v>
      </c>
      <c r="H399" s="3333" t="s">
        <v>141</v>
      </c>
      <c r="I399" s="3334" t="s">
        <v>956</v>
      </c>
      <c r="J399" s="24235" t="s">
        <v>18</v>
      </c>
      <c r="K399" s="3335" t="s">
        <v>957</v>
      </c>
      <c r="L399" s="2933" t="s">
        <v>52</v>
      </c>
      <c r="M399" s="2934"/>
      <c r="N399" s="3422"/>
      <c r="O399" s="2091" t="s">
        <v>367</v>
      </c>
      <c r="P399" s="2092"/>
      <c r="Q399" s="2092"/>
      <c r="R399" s="2092"/>
      <c r="S399" s="2092"/>
      <c r="T399" s="2092"/>
      <c r="U399" s="2092"/>
      <c r="V399" s="2092"/>
      <c r="W399" s="2092"/>
      <c r="X399" s="2092"/>
      <c r="Y399" s="2092"/>
      <c r="Z399" s="2092"/>
      <c r="AA399" s="2092"/>
      <c r="AB399" s="2092"/>
      <c r="AC399" s="2092"/>
      <c r="AD399" s="2092"/>
      <c r="AE399" s="2092"/>
      <c r="AF399" s="3324">
        <v>11</v>
      </c>
      <c r="AG399" s="3325" t="s">
        <v>939</v>
      </c>
      <c r="AH399" s="3325" t="s">
        <v>958</v>
      </c>
      <c r="AI399" s="3324"/>
      <c r="AJ399" s="3325"/>
      <c r="AK399" s="3325"/>
      <c r="AL399" s="3424"/>
      <c r="AM399" s="2738"/>
      <c r="AN399" s="2738"/>
      <c r="AO399" s="2738"/>
      <c r="AP399" s="2738"/>
      <c r="AQ399" s="2738"/>
      <c r="AR399" s="2738"/>
      <c r="AS399" s="2738"/>
      <c r="AT399" s="2738"/>
      <c r="AU399" s="2738"/>
      <c r="AV399" s="2738"/>
      <c r="AW399" s="2738"/>
      <c r="AX399" s="2738"/>
      <c r="AY399" s="2738"/>
      <c r="AZ399" s="2738"/>
      <c r="BA399" s="2738"/>
      <c r="BB399" s="2738"/>
      <c r="BC399" s="2738"/>
      <c r="BD399" s="2738"/>
      <c r="BE399" s="2738"/>
      <c r="BF399" s="2738"/>
    </row>
    <row customHeight="1" ht="11.25">
      <c r="A400" s="2080" t="s">
        <v>905</v>
      </c>
      <c r="B400" s="2080"/>
      <c r="C400" s="2080"/>
      <c r="D400" s="2074"/>
      <c r="E400" s="2084"/>
      <c r="F400" s="2744"/>
      <c r="G400" s="2745"/>
      <c r="H400" s="3333" t="s">
        <v>105</v>
      </c>
      <c r="I400" s="3334"/>
      <c r="J400" s="24235"/>
      <c r="K400" s="3335"/>
      <c r="L400" s="2933"/>
      <c r="M400" s="2934"/>
      <c r="N400" s="3398"/>
      <c r="O400" s="3421">
        <v>1</v>
      </c>
      <c r="P400" s="3328" t="s">
        <v>52</v>
      </c>
      <c r="Q400" s="3331" t="s">
        <v>18</v>
      </c>
      <c r="R400" s="3331" t="s">
        <v>18</v>
      </c>
      <c r="S400" s="3331" t="s">
        <v>18</v>
      </c>
      <c r="T400" s="3331" t="s">
        <v>18</v>
      </c>
      <c r="U400" s="3331" t="s">
        <v>18</v>
      </c>
      <c r="V400" s="3331" t="s">
        <v>18</v>
      </c>
      <c r="W400" s="3331" t="s">
        <v>18</v>
      </c>
      <c r="X400" s="3331" t="s">
        <v>18</v>
      </c>
      <c r="Y400" s="3331"/>
      <c r="Z400" s="2089"/>
      <c r="AA400" s="2090"/>
      <c r="AB400" s="2090"/>
      <c r="AC400" s="2094"/>
      <c r="AD400" s="2094"/>
      <c r="AE400" s="2095"/>
      <c r="AF400" s="3324"/>
      <c r="AG400" s="3325"/>
      <c r="AH400" s="3325"/>
      <c r="AI400" s="3324"/>
      <c r="AJ400" s="3325"/>
      <c r="AK400" s="3325"/>
      <c r="AL400" s="3424"/>
      <c r="AM400" s="2738"/>
      <c r="AN400" s="2738"/>
      <c r="AO400" s="2738"/>
      <c r="AP400" s="2738"/>
      <c r="AQ400" s="2738"/>
      <c r="AR400" s="2738"/>
      <c r="AS400" s="2738"/>
      <c r="AT400" s="2738"/>
      <c r="AU400" s="2738"/>
      <c r="AV400" s="2738"/>
      <c r="AW400" s="2738"/>
      <c r="AX400" s="2738"/>
      <c r="AY400" s="2738"/>
      <c r="AZ400" s="2738"/>
      <c r="BA400" s="2738"/>
      <c r="BB400" s="2738"/>
      <c r="BC400" s="2738"/>
      <c r="BD400" s="2738"/>
      <c r="BE400" s="2738"/>
      <c r="BF400" s="2738"/>
    </row>
    <row customHeight="1" ht="11.25">
      <c r="A401" s="2080" t="s">
        <v>905</v>
      </c>
      <c r="B401" s="2080"/>
      <c r="C401" s="2080"/>
      <c r="D401" s="2074"/>
      <c r="E401" s="2084"/>
      <c r="F401" s="2744"/>
      <c r="G401" s="2745"/>
      <c r="H401" s="3333" t="s">
        <v>105</v>
      </c>
      <c r="I401" s="3334"/>
      <c r="J401" s="24235"/>
      <c r="K401" s="3335"/>
      <c r="L401" s="2933"/>
      <c r="M401" s="2934"/>
      <c r="N401" s="3398"/>
      <c r="O401" s="3421"/>
      <c r="P401" s="3329"/>
      <c r="Q401" s="3331"/>
      <c r="R401" s="3331"/>
      <c r="S401" s="3332"/>
      <c r="T401" s="3331"/>
      <c r="U401" s="3331"/>
      <c r="V401" s="3331"/>
      <c r="W401" s="3331"/>
      <c r="X401" s="3331"/>
      <c r="Y401" s="3331"/>
      <c r="Z401" s="2743"/>
      <c r="AA401" s="2709">
        <v>1</v>
      </c>
      <c r="AB401" s="2093" t="s">
        <v>949</v>
      </c>
      <c r="AC401" s="2083">
        <v>75361.5</v>
      </c>
      <c r="AD401" s="2093" t="str">
        <f>AB401</f>
        <v>      Прочие амортизационные отчисления</v>
      </c>
      <c r="AE401" s="2083"/>
      <c r="AF401" s="3324"/>
      <c r="AG401" s="3325"/>
      <c r="AH401" s="3325"/>
      <c r="AI401" s="3324"/>
      <c r="AJ401" s="3325"/>
      <c r="AK401" s="3325"/>
      <c r="AL401" s="3424"/>
      <c r="AM401" s="2738"/>
      <c r="AN401" s="2738"/>
      <c r="AO401" s="2738"/>
      <c r="AP401" s="2738"/>
      <c r="AQ401" s="2738"/>
      <c r="AR401" s="2738"/>
      <c r="AS401" s="2738"/>
      <c r="AT401" s="2738"/>
      <c r="AU401" s="2738"/>
      <c r="AV401" s="2738"/>
      <c r="AW401" s="2738"/>
      <c r="AX401" s="2738"/>
      <c r="AY401" s="2738"/>
      <c r="AZ401" s="2738"/>
      <c r="BA401" s="2738"/>
      <c r="BB401" s="2738"/>
      <c r="BC401" s="2738"/>
      <c r="BD401" s="2738"/>
      <c r="BE401" s="2738"/>
      <c r="BF401" s="2738"/>
    </row>
    <row customHeight="1" ht="11.25">
      <c r="A402" s="2080" t="s">
        <v>905</v>
      </c>
      <c r="B402" s="2080"/>
      <c r="C402" s="2080"/>
      <c r="D402" s="2074"/>
      <c r="E402" s="2084"/>
      <c r="F402" s="2745"/>
      <c r="G402" s="2745"/>
      <c r="H402" s="2745"/>
      <c r="I402" s="2745"/>
      <c r="J402" s="2745"/>
      <c r="K402" s="2745"/>
      <c r="L402" s="2745"/>
      <c r="M402" s="2745"/>
      <c r="N402" s="2745"/>
      <c r="O402" s="2745"/>
      <c r="P402" s="2745"/>
      <c r="Q402" s="2745"/>
      <c r="R402" s="2745"/>
      <c r="S402" s="2745"/>
      <c r="T402" s="2745"/>
      <c r="U402" s="2745"/>
      <c r="V402" s="2745"/>
      <c r="W402" s="2745"/>
      <c r="X402" s="2745"/>
      <c r="Y402" s="2745"/>
      <c r="Z402" s="27024" t="s">
        <v>844</v>
      </c>
      <c r="AA402" s="2729" t="s">
        <v>103</v>
      </c>
      <c r="AB402" s="2093" t="s">
        <v>941</v>
      </c>
      <c r="AC402" s="2083">
        <v>83839.53</v>
      </c>
      <c r="AD402" s="2093" t="str">
        <f>AB402</f>
        <v>  Прочие</v>
      </c>
      <c r="AE402" s="2083"/>
      <c r="AF402" s="2746"/>
      <c r="AG402" s="2674"/>
      <c r="AH402" s="2674"/>
      <c r="AI402" s="2746"/>
      <c r="AJ402" s="2674"/>
      <c r="AK402" s="3423"/>
      <c r="AL402" s="3424"/>
      <c r="AM402" s="2738"/>
      <c r="AN402" s="2738"/>
      <c r="AO402" s="2738"/>
      <c r="AP402" s="2738"/>
      <c r="AQ402" s="2738"/>
      <c r="AR402" s="2738"/>
      <c r="AS402" s="2738"/>
      <c r="AT402" s="2738"/>
      <c r="AU402" s="2738"/>
      <c r="AV402" s="2738"/>
      <c r="AW402" s="2738"/>
      <c r="AX402" s="2738"/>
      <c r="AY402" s="2738"/>
      <c r="AZ402" s="2738"/>
      <c r="BA402" s="2738"/>
      <c r="BB402" s="2738"/>
      <c r="BC402" s="2738"/>
      <c r="BD402" s="2738"/>
      <c r="BE402" s="2738"/>
      <c r="BF402" s="2738"/>
    </row>
    <row customHeight="1" ht="11.25">
      <c r="A403" s="2080" t="s">
        <v>905</v>
      </c>
      <c r="B403" s="2080"/>
      <c r="C403" s="2080"/>
      <c r="D403" s="2074"/>
      <c r="E403" s="2084"/>
      <c r="F403" s="2744"/>
      <c r="G403" s="2745"/>
      <c r="H403" s="3333" t="s">
        <v>105</v>
      </c>
      <c r="I403" s="3334"/>
      <c r="J403" s="24235"/>
      <c r="K403" s="3335"/>
      <c r="L403" s="2933"/>
      <c r="M403" s="2934"/>
      <c r="N403" s="3398"/>
      <c r="O403" s="3421"/>
      <c r="P403" s="3330"/>
      <c r="Q403" s="3331"/>
      <c r="R403" s="3331"/>
      <c r="S403" s="3332"/>
      <c r="T403" s="3331"/>
      <c r="U403" s="3331"/>
      <c r="V403" s="3331"/>
      <c r="W403" s="3331"/>
      <c r="X403" s="3331"/>
      <c r="Y403" s="3331"/>
      <c r="Z403" s="2089"/>
      <c r="AA403" s="2090"/>
      <c r="AB403" s="2155" t="s">
        <v>942</v>
      </c>
      <c r="AC403" s="2094"/>
      <c r="AD403" s="2094"/>
      <c r="AE403" s="2096"/>
      <c r="AF403" s="3324"/>
      <c r="AG403" s="3325"/>
      <c r="AH403" s="3325"/>
      <c r="AI403" s="3324"/>
      <c r="AJ403" s="3325"/>
      <c r="AK403" s="3325"/>
      <c r="AL403" s="3424"/>
      <c r="AM403" s="2738"/>
      <c r="AN403" s="2738"/>
      <c r="AO403" s="2738"/>
      <c r="AP403" s="2738"/>
      <c r="AQ403" s="2738"/>
      <c r="AR403" s="2738"/>
      <c r="AS403" s="2738"/>
      <c r="AT403" s="2738"/>
      <c r="AU403" s="2738"/>
      <c r="AV403" s="2738"/>
      <c r="AW403" s="2738"/>
      <c r="AX403" s="2738"/>
      <c r="AY403" s="2738"/>
      <c r="AZ403" s="2738"/>
      <c r="BA403" s="2738"/>
      <c r="BB403" s="2738"/>
      <c r="BC403" s="2738"/>
      <c r="BD403" s="2738"/>
      <c r="BE403" s="2738"/>
      <c r="BF403" s="2738"/>
    </row>
    <row customHeight="1" ht="11.25">
      <c r="A404" s="2080" t="s">
        <v>905</v>
      </c>
      <c r="B404" s="2080"/>
      <c r="C404" s="2080"/>
      <c r="D404" s="2074"/>
      <c r="E404" s="2084"/>
      <c r="F404" s="2744"/>
      <c r="G404" s="2745"/>
      <c r="H404" s="3333" t="s">
        <v>105</v>
      </c>
      <c r="I404" s="3334"/>
      <c r="J404" s="24235"/>
      <c r="K404" s="3335"/>
      <c r="L404" s="2933"/>
      <c r="M404" s="2934"/>
      <c r="N404" s="2089"/>
      <c r="O404" s="2090"/>
      <c r="P404" s="2082" t="s">
        <v>943</v>
      </c>
      <c r="Q404" s="2090"/>
      <c r="R404" s="2090"/>
      <c r="S404" s="2090"/>
      <c r="T404" s="2090"/>
      <c r="U404" s="2090"/>
      <c r="V404" s="2090"/>
      <c r="W404" s="2090"/>
      <c r="X404" s="2090"/>
      <c r="Y404" s="2090"/>
      <c r="Z404" s="2090"/>
      <c r="AA404" s="2090"/>
      <c r="AB404" s="2090"/>
      <c r="AC404" s="2090"/>
      <c r="AD404" s="2090"/>
      <c r="AE404" s="2097"/>
      <c r="AF404" s="3324"/>
      <c r="AG404" s="3325"/>
      <c r="AH404" s="3325"/>
      <c r="AI404" s="3324"/>
      <c r="AJ404" s="3325"/>
      <c r="AK404" s="3325"/>
      <c r="AL404" s="3424"/>
      <c r="AM404" s="2738"/>
      <c r="AN404" s="2738"/>
      <c r="AO404" s="2738"/>
      <c r="AP404" s="2738"/>
      <c r="AQ404" s="2738"/>
      <c r="AR404" s="2738"/>
      <c r="AS404" s="2738"/>
      <c r="AT404" s="2738"/>
      <c r="AU404" s="2738"/>
      <c r="AV404" s="2738"/>
      <c r="AW404" s="2738"/>
      <c r="AX404" s="2738"/>
      <c r="AY404" s="2738"/>
      <c r="AZ404" s="2738"/>
      <c r="BA404" s="2738"/>
      <c r="BB404" s="2738"/>
      <c r="BC404" s="2738"/>
      <c r="BD404" s="2738"/>
      <c r="BE404" s="2738"/>
      <c r="BF404" s="2738"/>
    </row>
    <row customHeight="1" ht="11.25">
      <c r="A405" s="2080" t="s">
        <v>905</v>
      </c>
      <c r="B405" s="2080" t="s">
        <v>18</v>
      </c>
      <c r="C405" s="2080"/>
      <c r="D405" s="2074"/>
      <c r="E405" s="2084"/>
      <c r="F405" s="2744"/>
      <c r="G405" s="24234" t="s">
        <v>844</v>
      </c>
      <c r="H405" s="3333" t="s">
        <v>142</v>
      </c>
      <c r="I405" s="3334" t="s">
        <v>956</v>
      </c>
      <c r="J405" s="24235" t="s">
        <v>18</v>
      </c>
      <c r="K405" s="3335" t="s">
        <v>986</v>
      </c>
      <c r="L405" s="2933" t="s">
        <v>52</v>
      </c>
      <c r="M405" s="2934"/>
      <c r="N405" s="3422"/>
      <c r="O405" s="2091" t="s">
        <v>367</v>
      </c>
      <c r="P405" s="2092"/>
      <c r="Q405" s="2092"/>
      <c r="R405" s="2092"/>
      <c r="S405" s="2092"/>
      <c r="T405" s="2092"/>
      <c r="U405" s="2092"/>
      <c r="V405" s="2092"/>
      <c r="W405" s="2092"/>
      <c r="X405" s="2092"/>
      <c r="Y405" s="2092"/>
      <c r="Z405" s="2092"/>
      <c r="AA405" s="2092"/>
      <c r="AB405" s="2092"/>
      <c r="AC405" s="2092"/>
      <c r="AD405" s="2092"/>
      <c r="AE405" s="2092"/>
      <c r="AF405" s="3324">
        <v>13</v>
      </c>
      <c r="AG405" s="3325" t="s">
        <v>939</v>
      </c>
      <c r="AH405" s="3325" t="s">
        <v>958</v>
      </c>
      <c r="AI405" s="3324"/>
      <c r="AJ405" s="3325"/>
      <c r="AK405" s="3325"/>
      <c r="AL405" s="3424"/>
      <c r="AM405" s="2738"/>
      <c r="AN405" s="2738"/>
      <c r="AO405" s="2738"/>
      <c r="AP405" s="2738"/>
      <c r="AQ405" s="2738"/>
      <c r="AR405" s="2738"/>
      <c r="AS405" s="2738"/>
      <c r="AT405" s="2738"/>
      <c r="AU405" s="2738"/>
      <c r="AV405" s="2738"/>
      <c r="AW405" s="2738"/>
      <c r="AX405" s="2738"/>
      <c r="AY405" s="2738"/>
      <c r="AZ405" s="2738"/>
      <c r="BA405" s="2738"/>
      <c r="BB405" s="2738"/>
      <c r="BC405" s="2738"/>
      <c r="BD405" s="2738"/>
      <c r="BE405" s="2738"/>
      <c r="BF405" s="2738"/>
    </row>
    <row customHeight="1" ht="11.25">
      <c r="A406" s="2080" t="s">
        <v>905</v>
      </c>
      <c r="B406" s="2080"/>
      <c r="C406" s="2080"/>
      <c r="D406" s="2074"/>
      <c r="E406" s="2084"/>
      <c r="F406" s="2744"/>
      <c r="G406" s="2745"/>
      <c r="H406" s="3333" t="s">
        <v>141</v>
      </c>
      <c r="I406" s="3334"/>
      <c r="J406" s="24235"/>
      <c r="K406" s="3335"/>
      <c r="L406" s="2933"/>
      <c r="M406" s="2934"/>
      <c r="N406" s="3398"/>
      <c r="O406" s="3421">
        <v>1</v>
      </c>
      <c r="P406" s="3328" t="s">
        <v>52</v>
      </c>
      <c r="Q406" s="3331" t="s">
        <v>18</v>
      </c>
      <c r="R406" s="3331" t="s">
        <v>18</v>
      </c>
      <c r="S406" s="3331" t="s">
        <v>18</v>
      </c>
      <c r="T406" s="3331" t="s">
        <v>18</v>
      </c>
      <c r="U406" s="3331" t="s">
        <v>18</v>
      </c>
      <c r="V406" s="3331" t="s">
        <v>18</v>
      </c>
      <c r="W406" s="3331" t="s">
        <v>18</v>
      </c>
      <c r="X406" s="3331" t="s">
        <v>18</v>
      </c>
      <c r="Y406" s="3331"/>
      <c r="Z406" s="2089"/>
      <c r="AA406" s="2090"/>
      <c r="AB406" s="2090"/>
      <c r="AC406" s="2094"/>
      <c r="AD406" s="2094"/>
      <c r="AE406" s="2095"/>
      <c r="AF406" s="3324"/>
      <c r="AG406" s="3325"/>
      <c r="AH406" s="3325"/>
      <c r="AI406" s="3324"/>
      <c r="AJ406" s="3325"/>
      <c r="AK406" s="3325"/>
      <c r="AL406" s="3424"/>
      <c r="AM406" s="2738"/>
      <c r="AN406" s="2738"/>
      <c r="AO406" s="2738"/>
      <c r="AP406" s="2738"/>
      <c r="AQ406" s="2738"/>
      <c r="AR406" s="2738"/>
      <c r="AS406" s="2738"/>
      <c r="AT406" s="2738"/>
      <c r="AU406" s="2738"/>
      <c r="AV406" s="2738"/>
      <c r="AW406" s="2738"/>
      <c r="AX406" s="2738"/>
      <c r="AY406" s="2738"/>
      <c r="AZ406" s="2738"/>
      <c r="BA406" s="2738"/>
      <c r="BB406" s="2738"/>
      <c r="BC406" s="2738"/>
      <c r="BD406" s="2738"/>
      <c r="BE406" s="2738"/>
      <c r="BF406" s="2738"/>
    </row>
    <row customHeight="1" ht="11.25">
      <c r="A407" s="2080" t="s">
        <v>905</v>
      </c>
      <c r="B407" s="2080"/>
      <c r="C407" s="2080"/>
      <c r="D407" s="2074"/>
      <c r="E407" s="2084"/>
      <c r="F407" s="2744"/>
      <c r="G407" s="2745"/>
      <c r="H407" s="3333" t="s">
        <v>141</v>
      </c>
      <c r="I407" s="3334"/>
      <c r="J407" s="24235"/>
      <c r="K407" s="3335"/>
      <c r="L407" s="2933"/>
      <c r="M407" s="2934"/>
      <c r="N407" s="3398"/>
      <c r="O407" s="3421"/>
      <c r="P407" s="3329"/>
      <c r="Q407" s="3331"/>
      <c r="R407" s="3331"/>
      <c r="S407" s="3332"/>
      <c r="T407" s="3331"/>
      <c r="U407" s="3331"/>
      <c r="V407" s="3331"/>
      <c r="W407" s="3331"/>
      <c r="X407" s="3331"/>
      <c r="Y407" s="3331"/>
      <c r="Z407" s="2743"/>
      <c r="AA407" s="2709">
        <v>1</v>
      </c>
      <c r="AB407" s="2093" t="s">
        <v>949</v>
      </c>
      <c r="AC407" s="2083">
        <v>153302.46</v>
      </c>
      <c r="AD407" s="2093" t="str">
        <f>AB407</f>
        <v>      Прочие амортизационные отчисления</v>
      </c>
      <c r="AE407" s="2083"/>
      <c r="AF407" s="3324"/>
      <c r="AG407" s="3325"/>
      <c r="AH407" s="3325"/>
      <c r="AI407" s="3324"/>
      <c r="AJ407" s="3325"/>
      <c r="AK407" s="3325"/>
      <c r="AL407" s="3424"/>
      <c r="AM407" s="2738"/>
      <c r="AN407" s="2738"/>
      <c r="AO407" s="2738"/>
      <c r="AP407" s="2738"/>
      <c r="AQ407" s="2738"/>
      <c r="AR407" s="2738"/>
      <c r="AS407" s="2738"/>
      <c r="AT407" s="2738"/>
      <c r="AU407" s="2738"/>
      <c r="AV407" s="2738"/>
      <c r="AW407" s="2738"/>
      <c r="AX407" s="2738"/>
      <c r="AY407" s="2738"/>
      <c r="AZ407" s="2738"/>
      <c r="BA407" s="2738"/>
      <c r="BB407" s="2738"/>
      <c r="BC407" s="2738"/>
      <c r="BD407" s="2738"/>
      <c r="BE407" s="2738"/>
      <c r="BF407" s="2738"/>
    </row>
    <row customHeight="1" ht="11.25">
      <c r="A408" s="2080" t="s">
        <v>905</v>
      </c>
      <c r="B408" s="2080"/>
      <c r="C408" s="2080"/>
      <c r="D408" s="2074"/>
      <c r="E408" s="2084"/>
      <c r="F408" s="2745"/>
      <c r="G408" s="2745"/>
      <c r="H408" s="2745"/>
      <c r="I408" s="2745"/>
      <c r="J408" s="2745"/>
      <c r="K408" s="2745"/>
      <c r="L408" s="2745"/>
      <c r="M408" s="2745"/>
      <c r="N408" s="2745"/>
      <c r="O408" s="2745"/>
      <c r="P408" s="2745"/>
      <c r="Q408" s="2745"/>
      <c r="R408" s="2745"/>
      <c r="S408" s="2745"/>
      <c r="T408" s="2745"/>
      <c r="U408" s="2745"/>
      <c r="V408" s="2745"/>
      <c r="W408" s="2745"/>
      <c r="X408" s="2745"/>
      <c r="Y408" s="2745"/>
      <c r="Z408" s="27024" t="s">
        <v>844</v>
      </c>
      <c r="AA408" s="2729" t="s">
        <v>103</v>
      </c>
      <c r="AB408" s="2093" t="s">
        <v>941</v>
      </c>
      <c r="AC408" s="2083">
        <v>170548.69</v>
      </c>
      <c r="AD408" s="2093" t="str">
        <f>AB408</f>
        <v>  Прочие</v>
      </c>
      <c r="AE408" s="2083"/>
      <c r="AF408" s="2746"/>
      <c r="AG408" s="2674"/>
      <c r="AH408" s="2674"/>
      <c r="AI408" s="2746"/>
      <c r="AJ408" s="2674"/>
      <c r="AK408" s="3423"/>
      <c r="AL408" s="3424"/>
      <c r="AM408" s="2738"/>
      <c r="AN408" s="2738"/>
      <c r="AO408" s="2738"/>
      <c r="AP408" s="2738"/>
      <c r="AQ408" s="2738"/>
      <c r="AR408" s="2738"/>
      <c r="AS408" s="2738"/>
      <c r="AT408" s="2738"/>
      <c r="AU408" s="2738"/>
      <c r="AV408" s="2738"/>
      <c r="AW408" s="2738"/>
      <c r="AX408" s="2738"/>
      <c r="AY408" s="2738"/>
      <c r="AZ408" s="2738"/>
      <c r="BA408" s="2738"/>
      <c r="BB408" s="2738"/>
      <c r="BC408" s="2738"/>
      <c r="BD408" s="2738"/>
      <c r="BE408" s="2738"/>
      <c r="BF408" s="2738"/>
    </row>
    <row customHeight="1" ht="11.25">
      <c r="A409" s="2080" t="s">
        <v>905</v>
      </c>
      <c r="B409" s="2080"/>
      <c r="C409" s="2080"/>
      <c r="D409" s="2074"/>
      <c r="E409" s="2084"/>
      <c r="F409" s="2744"/>
      <c r="G409" s="2745"/>
      <c r="H409" s="3333" t="s">
        <v>141</v>
      </c>
      <c r="I409" s="3334"/>
      <c r="J409" s="24235"/>
      <c r="K409" s="3335"/>
      <c r="L409" s="2933"/>
      <c r="M409" s="2934"/>
      <c r="N409" s="3398"/>
      <c r="O409" s="3421"/>
      <c r="P409" s="3330"/>
      <c r="Q409" s="3331"/>
      <c r="R409" s="3331"/>
      <c r="S409" s="3332"/>
      <c r="T409" s="3331"/>
      <c r="U409" s="3331"/>
      <c r="V409" s="3331"/>
      <c r="W409" s="3331"/>
      <c r="X409" s="3331"/>
      <c r="Y409" s="3331"/>
      <c r="Z409" s="2089"/>
      <c r="AA409" s="2090"/>
      <c r="AB409" s="2155" t="s">
        <v>942</v>
      </c>
      <c r="AC409" s="2094"/>
      <c r="AD409" s="2094"/>
      <c r="AE409" s="2096"/>
      <c r="AF409" s="3324"/>
      <c r="AG409" s="3325"/>
      <c r="AH409" s="3325"/>
      <c r="AI409" s="3324"/>
      <c r="AJ409" s="3325"/>
      <c r="AK409" s="3325"/>
      <c r="AL409" s="3424"/>
      <c r="AM409" s="2738"/>
      <c r="AN409" s="2738"/>
      <c r="AO409" s="2738"/>
      <c r="AP409" s="2738"/>
      <c r="AQ409" s="2738"/>
      <c r="AR409" s="2738"/>
      <c r="AS409" s="2738"/>
      <c r="AT409" s="2738"/>
      <c r="AU409" s="2738"/>
      <c r="AV409" s="2738"/>
      <c r="AW409" s="2738"/>
      <c r="AX409" s="2738"/>
      <c r="AY409" s="2738"/>
      <c r="AZ409" s="2738"/>
      <c r="BA409" s="2738"/>
      <c r="BB409" s="2738"/>
      <c r="BC409" s="2738"/>
      <c r="BD409" s="2738"/>
      <c r="BE409" s="2738"/>
      <c r="BF409" s="2738"/>
    </row>
    <row customHeight="1" ht="11.25">
      <c r="A410" s="2080" t="s">
        <v>905</v>
      </c>
      <c r="B410" s="2080"/>
      <c r="C410" s="2080"/>
      <c r="D410" s="2074"/>
      <c r="E410" s="2084"/>
      <c r="F410" s="2744"/>
      <c r="G410" s="2745"/>
      <c r="H410" s="3333" t="s">
        <v>141</v>
      </c>
      <c r="I410" s="3334"/>
      <c r="J410" s="24235"/>
      <c r="K410" s="3335"/>
      <c r="L410" s="2933"/>
      <c r="M410" s="2934"/>
      <c r="N410" s="2089"/>
      <c r="O410" s="2090"/>
      <c r="P410" s="2082" t="s">
        <v>943</v>
      </c>
      <c r="Q410" s="2090"/>
      <c r="R410" s="2090"/>
      <c r="S410" s="2090"/>
      <c r="T410" s="2090"/>
      <c r="U410" s="2090"/>
      <c r="V410" s="2090"/>
      <c r="W410" s="2090"/>
      <c r="X410" s="2090"/>
      <c r="Y410" s="2090"/>
      <c r="Z410" s="2090"/>
      <c r="AA410" s="2090"/>
      <c r="AB410" s="2090"/>
      <c r="AC410" s="2090"/>
      <c r="AD410" s="2090"/>
      <c r="AE410" s="2097"/>
      <c r="AF410" s="3324"/>
      <c r="AG410" s="3325"/>
      <c r="AH410" s="3325"/>
      <c r="AI410" s="3324"/>
      <c r="AJ410" s="3325"/>
      <c r="AK410" s="3325"/>
      <c r="AL410" s="3424"/>
      <c r="AM410" s="2738"/>
      <c r="AN410" s="2738"/>
      <c r="AO410" s="2738"/>
      <c r="AP410" s="2738"/>
      <c r="AQ410" s="2738"/>
      <c r="AR410" s="2738"/>
      <c r="AS410" s="2738"/>
      <c r="AT410" s="2738"/>
      <c r="AU410" s="2738"/>
      <c r="AV410" s="2738"/>
      <c r="AW410" s="2738"/>
      <c r="AX410" s="2738"/>
      <c r="AY410" s="2738"/>
      <c r="AZ410" s="2738"/>
      <c r="BA410" s="2738"/>
      <c r="BB410" s="2738"/>
      <c r="BC410" s="2738"/>
      <c r="BD410" s="2738"/>
      <c r="BE410" s="2738"/>
      <c r="BF410" s="2738"/>
    </row>
    <row customHeight="1" ht="12">
      <c r="A411" s="2080" t="s">
        <v>905</v>
      </c>
      <c r="B411" s="2080"/>
      <c r="C411" s="2080"/>
      <c r="D411" s="2074"/>
      <c r="E411" s="2084"/>
      <c r="F411" s="3354"/>
      <c r="G411" s="2104"/>
      <c r="H411" s="2104"/>
      <c r="I411" s="3352" t="s">
        <v>965</v>
      </c>
      <c r="J411" s="3352"/>
      <c r="K411" s="3352"/>
      <c r="L411" s="2087"/>
      <c r="M411" s="2087"/>
      <c r="N411" s="2088"/>
      <c r="O411" s="2088"/>
      <c r="P411" s="2088"/>
      <c r="Q411" s="2088"/>
      <c r="R411" s="2088"/>
      <c r="S411" s="2088"/>
      <c r="T411" s="2088"/>
      <c r="U411" s="2088"/>
      <c r="V411" s="2088"/>
      <c r="W411" s="2088"/>
      <c r="X411" s="2088"/>
      <c r="Y411" s="2088"/>
      <c r="Z411" s="2088"/>
      <c r="AA411" s="2088"/>
      <c r="AB411" s="2088"/>
      <c r="AC411" s="2088"/>
      <c r="AD411" s="2088"/>
      <c r="AE411" s="2088"/>
      <c r="AF411" s="2088"/>
      <c r="AG411" s="2087"/>
      <c r="AH411" s="2087"/>
      <c r="AI411" s="2088"/>
      <c r="AJ411" s="2087"/>
      <c r="AK411" s="2088"/>
      <c r="AL411" s="3424"/>
      <c r="AM411" s="2738"/>
      <c r="AN411" s="2738"/>
      <c r="AO411" s="2738"/>
      <c r="AP411" s="2738"/>
      <c r="AQ411" s="2738"/>
      <c r="AR411" s="2738"/>
      <c r="AS411" s="2738"/>
      <c r="AT411" s="2738"/>
      <c r="AU411" s="2738"/>
      <c r="AV411" s="2738"/>
      <c r="AW411" s="2738"/>
      <c r="AX411" s="2738"/>
      <c r="AY411" s="2738"/>
      <c r="AZ411" s="2738"/>
      <c r="BA411" s="2738"/>
      <c r="BB411" s="2738"/>
      <c r="BC411" s="2738"/>
      <c r="BD411" s="2738"/>
      <c r="BE411" s="2738"/>
      <c r="BF411" s="2738"/>
    </row>
    <row customHeight="1" ht="10.5">
      <c r="E412" s="1819"/>
      <c r="F412" s="1830"/>
      <c r="G412" s="1830"/>
      <c r="H412" s="2086"/>
      <c r="I412" s="1830"/>
      <c r="J412" s="1830"/>
      <c r="K412" s="1830"/>
      <c r="L412" s="2045"/>
      <c r="M412" s="2045"/>
      <c r="N412" s="1830"/>
      <c r="O412" s="1830"/>
      <c r="P412" s="1830"/>
      <c r="Q412" s="1830"/>
      <c r="R412" s="1830"/>
      <c r="S412" s="1830"/>
      <c r="T412" s="1830"/>
      <c r="U412" s="1830"/>
      <c r="V412" s="1830"/>
      <c r="W412" s="1830"/>
      <c r="X412" s="1830"/>
      <c r="Y412" s="1830"/>
      <c r="Z412" s="1830"/>
      <c r="AA412" s="1830"/>
      <c r="AB412" s="1830"/>
      <c r="AC412" s="1830"/>
      <c r="AD412" s="2045"/>
      <c r="AE412" s="1830"/>
      <c r="AF412" s="1830"/>
      <c r="AG412" s="1830"/>
      <c r="AH412" s="2063"/>
      <c r="AI412" s="2056"/>
      <c r="AJ412" s="1830"/>
      <c r="AK412" s="1830"/>
      <c r="AL412" s="1819"/>
      <c r="AM412" s="1819"/>
      <c r="AN412" s="1819"/>
      <c r="AO412" s="1819"/>
      <c r="AP412" s="1819"/>
      <c r="AQ412" s="1819"/>
      <c r="AR412" s="1819"/>
      <c r="AS412" s="1819"/>
      <c r="AT412" s="1819"/>
      <c r="AU412" s="1819"/>
      <c r="AV412" s="1819"/>
      <c r="AW412" s="1819"/>
      <c r="AX412" s="1819"/>
      <c r="AY412" s="1819"/>
      <c r="AZ412" s="1819"/>
      <c r="BA412" s="1819"/>
      <c r="BB412" s="1819"/>
      <c r="BC412" s="1819"/>
      <c r="BD412" s="1819"/>
      <c r="BE412" s="1819"/>
      <c r="BF412" s="1819"/>
    </row>
    <row customHeight="1" ht="12.75">
      <c r="E413" s="1819"/>
      <c r="F413" s="1826" t="s">
        <v>987</v>
      </c>
      <c r="G413" s="1826"/>
      <c r="H413" s="2085"/>
      <c r="I413" s="1826"/>
      <c r="J413" s="1826"/>
      <c r="K413" s="1823"/>
      <c r="L413" s="2041"/>
      <c r="M413" s="2041"/>
      <c r="N413" s="1825"/>
      <c r="O413" s="1825"/>
      <c r="P413" s="1825"/>
      <c r="Q413" s="1825"/>
      <c r="R413" s="1825"/>
      <c r="S413" s="1825"/>
      <c r="T413" s="1825"/>
      <c r="U413" s="1825"/>
      <c r="V413" s="1825"/>
      <c r="W413" s="1825"/>
      <c r="X413" s="1825"/>
      <c r="Y413" s="1825"/>
      <c r="Z413" s="1823"/>
      <c r="AA413" s="1823"/>
      <c r="AB413" s="1823"/>
      <c r="AC413" s="1823"/>
      <c r="AD413" s="2041"/>
      <c r="AE413" s="1823"/>
      <c r="AF413" s="1823"/>
      <c r="AG413" s="1823"/>
      <c r="AH413" s="2060"/>
      <c r="AI413" s="2053"/>
      <c r="AJ413" s="1823"/>
      <c r="AK413" s="1823"/>
      <c r="AL413" s="1819"/>
      <c r="AM413" s="1819"/>
      <c r="AN413" s="1819"/>
      <c r="AO413" s="1819"/>
      <c r="AP413" s="1819"/>
      <c r="AQ413" s="1819"/>
      <c r="AR413" s="1819"/>
      <c r="AS413" s="1819"/>
      <c r="AT413" s="1819"/>
      <c r="AU413" s="1819"/>
      <c r="AV413" s="1819"/>
      <c r="AW413" s="1819"/>
      <c r="AX413" s="1819"/>
      <c r="AY413" s="1819"/>
      <c r="AZ413" s="1819"/>
      <c r="BA413" s="1819"/>
      <c r="BB413" s="1819"/>
      <c r="BC413" s="1819"/>
      <c r="BD413" s="1819"/>
      <c r="BE413" s="1819"/>
      <c r="BF413" s="1819"/>
    </row>
    <row r="415" customHeight="1" ht="10.5">
      <c r="E415" s="1819"/>
      <c r="F415" s="3220"/>
      <c r="G415" s="3220"/>
      <c r="H415" s="3220"/>
      <c r="I415" s="3220"/>
      <c r="J415" s="3220"/>
      <c r="K415" s="1823"/>
      <c r="L415" s="2041"/>
      <c r="M415" s="2041"/>
      <c r="N415" s="1825"/>
      <c r="O415" s="1825"/>
      <c r="P415" s="1825"/>
      <c r="Q415" s="1825"/>
      <c r="R415" s="1825"/>
      <c r="S415" s="1825"/>
      <c r="T415" s="1825"/>
      <c r="U415" s="1825"/>
      <c r="V415" s="1825"/>
      <c r="W415" s="1825"/>
      <c r="X415" s="1825"/>
      <c r="Y415" s="1825"/>
      <c r="Z415" s="1823"/>
      <c r="AA415" s="1823"/>
      <c r="AB415" s="1823"/>
      <c r="AC415" s="1823"/>
      <c r="AD415" s="2041"/>
      <c r="AE415" s="1823"/>
      <c r="AF415" s="1823"/>
      <c r="AG415" s="1823"/>
      <c r="AH415" s="2060"/>
      <c r="AI415" s="2053"/>
      <c r="AJ415" s="1823"/>
      <c r="AK415" s="1823"/>
      <c r="AL415" s="1819"/>
      <c r="AM415" s="1819"/>
      <c r="AN415" s="1819"/>
      <c r="AO415" s="1819"/>
      <c r="AP415" s="1819"/>
      <c r="AQ415" s="1819"/>
      <c r="AR415" s="1819"/>
      <c r="AS415" s="1819"/>
      <c r="AT415" s="1819"/>
      <c r="AU415" s="1819"/>
      <c r="AV415" s="1819"/>
      <c r="AW415" s="1819"/>
      <c r="AX415" s="1819"/>
      <c r="AY415" s="1819"/>
      <c r="AZ415" s="1819"/>
      <c r="BA415" s="1819"/>
      <c r="BB415" s="1819"/>
      <c r="BC415" s="1819"/>
      <c r="BD415" s="1819"/>
      <c r="BE415" s="1819"/>
      <c r="BF415" s="1819"/>
    </row>
    <row customHeight="1" ht="10.5">
      <c r="E416" s="1819"/>
      <c r="F416" s="3220"/>
      <c r="G416" s="3220"/>
      <c r="H416" s="3220"/>
      <c r="I416" s="3220"/>
      <c r="J416" s="3220"/>
      <c r="K416" s="1823"/>
      <c r="L416" s="2041"/>
      <c r="M416" s="2041"/>
      <c r="N416" s="1825"/>
      <c r="O416" s="1825"/>
      <c r="P416" s="1825"/>
      <c r="Q416" s="1825"/>
      <c r="R416" s="1825"/>
      <c r="S416" s="1825"/>
      <c r="T416" s="1825"/>
      <c r="U416" s="1825"/>
      <c r="V416" s="1825"/>
      <c r="W416" s="1825"/>
      <c r="X416" s="1825"/>
      <c r="Y416" s="1825"/>
      <c r="Z416" s="1823"/>
      <c r="AA416" s="1823"/>
      <c r="AB416" s="1823"/>
      <c r="AC416" s="1823"/>
      <c r="AD416" s="2041"/>
      <c r="AE416" s="1823"/>
      <c r="AF416" s="1823"/>
      <c r="AG416" s="1823"/>
      <c r="AH416" s="2060"/>
      <c r="AI416" s="2053"/>
      <c r="AJ416" s="1823"/>
      <c r="AK416" s="1823"/>
      <c r="AL416" s="1819"/>
      <c r="AM416" s="1819"/>
      <c r="AN416" s="1819"/>
      <c r="AO416" s="1819"/>
      <c r="AP416" s="1819"/>
      <c r="AQ416" s="1819"/>
      <c r="AR416" s="1819"/>
      <c r="AS416" s="1819"/>
      <c r="AT416" s="1819"/>
      <c r="AU416" s="1819"/>
      <c r="AV416" s="1819"/>
      <c r="AW416" s="1819"/>
      <c r="AX416" s="1819"/>
      <c r="AY416" s="1819"/>
      <c r="AZ416" s="1819"/>
      <c r="BA416" s="1819"/>
      <c r="BB416" s="1819"/>
      <c r="BC416" s="1819"/>
      <c r="BD416" s="1819"/>
      <c r="BE416" s="1819"/>
      <c r="BF416" s="1819"/>
    </row>
    <row customHeight="1" ht="10.5">
      <c r="E417" s="1819"/>
      <c r="F417" s="3220"/>
      <c r="G417" s="3220"/>
      <c r="H417" s="3220"/>
      <c r="I417" s="3220"/>
      <c r="J417" s="3220"/>
      <c r="K417" s="1823"/>
      <c r="L417" s="2041"/>
      <c r="M417" s="2041"/>
      <c r="N417" s="1825"/>
      <c r="O417" s="1825"/>
      <c r="P417" s="1825"/>
      <c r="Q417" s="1825"/>
      <c r="R417" s="1825"/>
      <c r="S417" s="1825"/>
      <c r="T417" s="1825"/>
      <c r="U417" s="1825"/>
      <c r="V417" s="1825"/>
      <c r="W417" s="1825"/>
      <c r="X417" s="1825"/>
      <c r="Y417" s="1825"/>
      <c r="Z417" s="1823"/>
      <c r="AA417" s="1823"/>
      <c r="AB417" s="1823"/>
      <c r="AC417" s="1823"/>
      <c r="AD417" s="2041"/>
      <c r="AE417" s="1823"/>
      <c r="AF417" s="1823"/>
      <c r="AG417" s="1823"/>
      <c r="AH417" s="2060"/>
      <c r="AI417" s="2053"/>
      <c r="AJ417" s="1823"/>
      <c r="AK417" s="1823"/>
      <c r="AL417" s="1819"/>
      <c r="AM417" s="1819"/>
      <c r="AN417" s="1819"/>
      <c r="AO417" s="1819"/>
      <c r="AP417" s="1819"/>
      <c r="AQ417" s="1819"/>
      <c r="AR417" s="1819"/>
      <c r="AS417" s="1819"/>
      <c r="AT417" s="1819"/>
      <c r="AU417" s="1819"/>
      <c r="AV417" s="1819"/>
      <c r="AW417" s="1819"/>
      <c r="AX417" s="1819"/>
      <c r="AY417" s="1819"/>
      <c r="AZ417" s="1819"/>
      <c r="BA417" s="1819"/>
      <c r="BB417" s="1819"/>
      <c r="BC417" s="1819"/>
      <c r="BD417" s="1819"/>
      <c r="BE417" s="1819"/>
      <c r="BF417" s="1819"/>
    </row>
  </sheetData>
  <sheetProtection formatColumns="0" formatRows="0" autoFilter="0" sort="0" insertRows="0" insertColumns="1" deleteRows="0" deleteColumns="0"/>
  <mergeCells count="1688">
    <mergeCell ref="AB9:AE10"/>
    <mergeCell ref="S11:Y11"/>
    <mergeCell ref="N10:Y10"/>
    <mergeCell ref="K9:Y9"/>
    <mergeCell ref="N11:O12"/>
    <mergeCell ref="P11:P12"/>
    <mergeCell ref="Q11:Q12"/>
    <mergeCell ref="F417:J41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16:J416"/>
    <mergeCell ref="F415:J415"/>
    <mergeCell ref="F5:K5"/>
    <mergeCell ref="P16:P18"/>
    <mergeCell ref="Q16:Q18"/>
    <mergeCell ref="R16:R18"/>
    <mergeCell ref="G15:G19"/>
    <mergeCell ref="AJ15:AJ19"/>
    <mergeCell ref="AK15:AK19"/>
    <mergeCell ref="I86:K86"/>
    <mergeCell ref="F15:F86"/>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88:P90"/>
    <mergeCell ref="Q88:Q90"/>
    <mergeCell ref="R88:R90"/>
    <mergeCell ref="G87:G91"/>
    <mergeCell ref="AJ87:AJ91"/>
    <mergeCell ref="AK87:AK91"/>
    <mergeCell ref="I199:K199"/>
    <mergeCell ref="F87:F199"/>
    <mergeCell ref="AF87:AF91"/>
    <mergeCell ref="AG87:AG91"/>
    <mergeCell ref="AH87:AH91"/>
    <mergeCell ref="AI87:AI91"/>
    <mergeCell ref="S88:S90"/>
    <mergeCell ref="T88:T90"/>
    <mergeCell ref="U88:U90"/>
    <mergeCell ref="V88:V90"/>
    <mergeCell ref="W88:W90"/>
    <mergeCell ref="X88:X90"/>
    <mergeCell ref="Y88:Y90"/>
    <mergeCell ref="H87:H91"/>
    <mergeCell ref="I87:I91"/>
    <mergeCell ref="J87:J91"/>
    <mergeCell ref="K87:K91"/>
    <mergeCell ref="L87:L91"/>
    <mergeCell ref="M87:M91"/>
    <mergeCell ref="N88:N90"/>
    <mergeCell ref="O88:O90"/>
    <mergeCell ref="P201:P203"/>
    <mergeCell ref="Q201:Q203"/>
    <mergeCell ref="R201:R203"/>
    <mergeCell ref="G200:G204"/>
    <mergeCell ref="AJ200:AJ204"/>
    <mergeCell ref="AK200:AK204"/>
    <mergeCell ref="I295:K295"/>
    <mergeCell ref="F200:F295"/>
    <mergeCell ref="AF200:AF204"/>
    <mergeCell ref="AG200:AG204"/>
    <mergeCell ref="AH200:AH204"/>
    <mergeCell ref="AI200:AI204"/>
    <mergeCell ref="S201:S203"/>
    <mergeCell ref="T201:T203"/>
    <mergeCell ref="U201:U203"/>
    <mergeCell ref="V201:V203"/>
    <mergeCell ref="W201:W203"/>
    <mergeCell ref="X201:X203"/>
    <mergeCell ref="Y201:Y203"/>
    <mergeCell ref="H200:H204"/>
    <mergeCell ref="I200:I204"/>
    <mergeCell ref="J200:J204"/>
    <mergeCell ref="K200:K204"/>
    <mergeCell ref="L200:L204"/>
    <mergeCell ref="M200:M204"/>
    <mergeCell ref="N201:N203"/>
    <mergeCell ref="O201:O203"/>
    <mergeCell ref="P297:P300"/>
    <mergeCell ref="Q297:Q300"/>
    <mergeCell ref="R297:R300"/>
    <mergeCell ref="G296:G301"/>
    <mergeCell ref="AJ296:AJ301"/>
    <mergeCell ref="AK296:AK301"/>
    <mergeCell ref="I350:K350"/>
    <mergeCell ref="F296:F350"/>
    <mergeCell ref="AF296:AF301"/>
    <mergeCell ref="AG296:AG301"/>
    <mergeCell ref="AH296:AH301"/>
    <mergeCell ref="AI296:AI301"/>
    <mergeCell ref="S297:S300"/>
    <mergeCell ref="T297:T300"/>
    <mergeCell ref="U297:U300"/>
    <mergeCell ref="V297:V300"/>
    <mergeCell ref="W297:W300"/>
    <mergeCell ref="X297:X300"/>
    <mergeCell ref="Y297:Y300"/>
    <mergeCell ref="H296:H301"/>
    <mergeCell ref="I296:I301"/>
    <mergeCell ref="J296:J301"/>
    <mergeCell ref="K296:K301"/>
    <mergeCell ref="L296:L301"/>
    <mergeCell ref="M296:M301"/>
    <mergeCell ref="N297:N300"/>
    <mergeCell ref="O297:O300"/>
    <mergeCell ref="P352:P355"/>
    <mergeCell ref="Q352:Q355"/>
    <mergeCell ref="R352:R355"/>
    <mergeCell ref="G351:G356"/>
    <mergeCell ref="AJ351:AJ356"/>
    <mergeCell ref="AK351:AK356"/>
    <mergeCell ref="I411:K411"/>
    <mergeCell ref="F351:F411"/>
    <mergeCell ref="AF351:AF356"/>
    <mergeCell ref="AG351:AG356"/>
    <mergeCell ref="AH351:AH356"/>
    <mergeCell ref="AI351:AI356"/>
    <mergeCell ref="S352:S355"/>
    <mergeCell ref="T352:T355"/>
    <mergeCell ref="U352:U355"/>
    <mergeCell ref="V352:V355"/>
    <mergeCell ref="W352:W355"/>
    <mergeCell ref="X352:X355"/>
    <mergeCell ref="Y352:Y355"/>
    <mergeCell ref="H351:H356"/>
    <mergeCell ref="I351:I356"/>
    <mergeCell ref="J351:J356"/>
    <mergeCell ref="K351:K356"/>
    <mergeCell ref="L351:L356"/>
    <mergeCell ref="M351:M356"/>
    <mergeCell ref="N352:N355"/>
    <mergeCell ref="O352:O355"/>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G56:G61"/>
    <mergeCell ref="H62:H67"/>
    <mergeCell ref="I62:I67"/>
    <mergeCell ref="J62:J67"/>
    <mergeCell ref="K62:K67"/>
    <mergeCell ref="L62:L67"/>
    <mergeCell ref="M62:M67"/>
    <mergeCell ref="AF62:AF67"/>
    <mergeCell ref="AG62:AG67"/>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G62:G67"/>
    <mergeCell ref="H68:H73"/>
    <mergeCell ref="I68:I73"/>
    <mergeCell ref="J68:J73"/>
    <mergeCell ref="K68:K73"/>
    <mergeCell ref="L68:L73"/>
    <mergeCell ref="M68:M73"/>
    <mergeCell ref="AF68:AF73"/>
    <mergeCell ref="AG68:AG73"/>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G68:G73"/>
    <mergeCell ref="H74:H79"/>
    <mergeCell ref="I74:I79"/>
    <mergeCell ref="J74:J79"/>
    <mergeCell ref="K74:K79"/>
    <mergeCell ref="L74:L79"/>
    <mergeCell ref="M74:M79"/>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80:H85"/>
    <mergeCell ref="I80:I85"/>
    <mergeCell ref="J80:J85"/>
    <mergeCell ref="K80:K85"/>
    <mergeCell ref="L80:L85"/>
    <mergeCell ref="M80:M85"/>
    <mergeCell ref="AF80:AF85"/>
    <mergeCell ref="AG80:AG85"/>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0:H115"/>
    <mergeCell ref="I110:I115"/>
    <mergeCell ref="J110:J115"/>
    <mergeCell ref="K110:K115"/>
    <mergeCell ref="L110:L115"/>
    <mergeCell ref="M110:M115"/>
    <mergeCell ref="AF110:AF115"/>
    <mergeCell ref="AG110:AG115"/>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2:H127"/>
    <mergeCell ref="I122:I127"/>
    <mergeCell ref="J122:J127"/>
    <mergeCell ref="K122:K127"/>
    <mergeCell ref="L122:L127"/>
    <mergeCell ref="M122:M127"/>
    <mergeCell ref="AF122:AF127"/>
    <mergeCell ref="AG122:AG127"/>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39:H144"/>
    <mergeCell ref="I139:I144"/>
    <mergeCell ref="J139:J144"/>
    <mergeCell ref="K139:K144"/>
    <mergeCell ref="L139:L144"/>
    <mergeCell ref="M139:M144"/>
    <mergeCell ref="AF139:AF144"/>
    <mergeCell ref="AG139:AG144"/>
    <mergeCell ref="AH139:AH144"/>
    <mergeCell ref="AI139:AI144"/>
    <mergeCell ref="AJ139:AJ144"/>
    <mergeCell ref="AK139:AK144"/>
    <mergeCell ref="N140:N143"/>
    <mergeCell ref="O140:O143"/>
    <mergeCell ref="P140:P143"/>
    <mergeCell ref="Q140:Q143"/>
    <mergeCell ref="R140:R143"/>
    <mergeCell ref="S140:S143"/>
    <mergeCell ref="T140:T143"/>
    <mergeCell ref="U140:U143"/>
    <mergeCell ref="V140:V143"/>
    <mergeCell ref="W140:W143"/>
    <mergeCell ref="X140:X143"/>
    <mergeCell ref="Y140:Y143"/>
    <mergeCell ref="G139:G144"/>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45:G150"/>
    <mergeCell ref="H151:H156"/>
    <mergeCell ref="I151:I156"/>
    <mergeCell ref="J151:J156"/>
    <mergeCell ref="K151:K156"/>
    <mergeCell ref="L151:L156"/>
    <mergeCell ref="M151:M156"/>
    <mergeCell ref="AF151:AF156"/>
    <mergeCell ref="AG151:AG156"/>
    <mergeCell ref="AH151:AH156"/>
    <mergeCell ref="AI151:AI156"/>
    <mergeCell ref="AJ151:AJ156"/>
    <mergeCell ref="AK151:AK156"/>
    <mergeCell ref="N152:N155"/>
    <mergeCell ref="O152:O155"/>
    <mergeCell ref="P152:P155"/>
    <mergeCell ref="Q152:Q155"/>
    <mergeCell ref="R152:R155"/>
    <mergeCell ref="S152:S155"/>
    <mergeCell ref="T152:T155"/>
    <mergeCell ref="U152:U155"/>
    <mergeCell ref="V152:V155"/>
    <mergeCell ref="W152:W155"/>
    <mergeCell ref="X152:X155"/>
    <mergeCell ref="Y152:Y155"/>
    <mergeCell ref="G151:G156"/>
    <mergeCell ref="H157:H162"/>
    <mergeCell ref="I157:I162"/>
    <mergeCell ref="J157:J162"/>
    <mergeCell ref="K157:K162"/>
    <mergeCell ref="L157:L162"/>
    <mergeCell ref="M157:M162"/>
    <mergeCell ref="AF157:AF162"/>
    <mergeCell ref="AG157:AG162"/>
    <mergeCell ref="AH157:AH162"/>
    <mergeCell ref="AI157:AI162"/>
    <mergeCell ref="AJ157:AJ162"/>
    <mergeCell ref="AK157:AK162"/>
    <mergeCell ref="N158:N161"/>
    <mergeCell ref="O158:O161"/>
    <mergeCell ref="P158:P161"/>
    <mergeCell ref="Q158:Q161"/>
    <mergeCell ref="R158:R161"/>
    <mergeCell ref="S158:S161"/>
    <mergeCell ref="T158:T161"/>
    <mergeCell ref="U158:U161"/>
    <mergeCell ref="V158:V161"/>
    <mergeCell ref="W158:W161"/>
    <mergeCell ref="X158:X161"/>
    <mergeCell ref="Y158:Y161"/>
    <mergeCell ref="G157:G162"/>
    <mergeCell ref="H163:H168"/>
    <mergeCell ref="I163:I168"/>
    <mergeCell ref="J163:J168"/>
    <mergeCell ref="K163:K168"/>
    <mergeCell ref="L163:L168"/>
    <mergeCell ref="M163:M168"/>
    <mergeCell ref="AF163:AF168"/>
    <mergeCell ref="AG163:AG168"/>
    <mergeCell ref="AH163:AH168"/>
    <mergeCell ref="AI163:AI168"/>
    <mergeCell ref="AJ163:AJ168"/>
    <mergeCell ref="AK163:AK168"/>
    <mergeCell ref="N164:N167"/>
    <mergeCell ref="O164:O167"/>
    <mergeCell ref="P164:P167"/>
    <mergeCell ref="Q164:Q167"/>
    <mergeCell ref="R164:R167"/>
    <mergeCell ref="S164:S167"/>
    <mergeCell ref="T164:T167"/>
    <mergeCell ref="U164:U167"/>
    <mergeCell ref="V164:V167"/>
    <mergeCell ref="W164:W167"/>
    <mergeCell ref="X164:X167"/>
    <mergeCell ref="Y164:Y167"/>
    <mergeCell ref="G163:G168"/>
    <mergeCell ref="H169:H174"/>
    <mergeCell ref="I169:I174"/>
    <mergeCell ref="J169:J174"/>
    <mergeCell ref="K169:K174"/>
    <mergeCell ref="L169:L174"/>
    <mergeCell ref="M169:M174"/>
    <mergeCell ref="AF169:AF174"/>
    <mergeCell ref="AG169:AG174"/>
    <mergeCell ref="AH169:AH174"/>
    <mergeCell ref="AI169:AI174"/>
    <mergeCell ref="AJ169:AJ174"/>
    <mergeCell ref="AK169:AK174"/>
    <mergeCell ref="N170:N173"/>
    <mergeCell ref="O170:O173"/>
    <mergeCell ref="P170:P173"/>
    <mergeCell ref="Q170:Q173"/>
    <mergeCell ref="R170:R173"/>
    <mergeCell ref="S170:S173"/>
    <mergeCell ref="T170:T173"/>
    <mergeCell ref="U170:U173"/>
    <mergeCell ref="V170:V173"/>
    <mergeCell ref="W170:W173"/>
    <mergeCell ref="X170:X173"/>
    <mergeCell ref="Y170:Y173"/>
    <mergeCell ref="G169:G174"/>
    <mergeCell ref="H175:H180"/>
    <mergeCell ref="I175:I180"/>
    <mergeCell ref="J175:J180"/>
    <mergeCell ref="K175:K180"/>
    <mergeCell ref="L175:L180"/>
    <mergeCell ref="M175:M180"/>
    <mergeCell ref="AF175:AF180"/>
    <mergeCell ref="AG175:AG180"/>
    <mergeCell ref="AH175:AH180"/>
    <mergeCell ref="AI175:AI180"/>
    <mergeCell ref="AJ175:AJ180"/>
    <mergeCell ref="AK175:AK180"/>
    <mergeCell ref="N176:N179"/>
    <mergeCell ref="O176:O179"/>
    <mergeCell ref="P176:P179"/>
    <mergeCell ref="Q176:Q179"/>
    <mergeCell ref="R176:R179"/>
    <mergeCell ref="S176:S179"/>
    <mergeCell ref="T176:T179"/>
    <mergeCell ref="U176:U179"/>
    <mergeCell ref="V176:V179"/>
    <mergeCell ref="W176:W179"/>
    <mergeCell ref="X176:X179"/>
    <mergeCell ref="Y176:Y179"/>
    <mergeCell ref="G175:G180"/>
    <mergeCell ref="H181:H186"/>
    <mergeCell ref="I181:I186"/>
    <mergeCell ref="J181:J186"/>
    <mergeCell ref="K181:K186"/>
    <mergeCell ref="L181:L186"/>
    <mergeCell ref="M181:M186"/>
    <mergeCell ref="AF181:AF186"/>
    <mergeCell ref="AG181:AG186"/>
    <mergeCell ref="AH181:AH186"/>
    <mergeCell ref="AI181:AI186"/>
    <mergeCell ref="AJ181:AJ186"/>
    <mergeCell ref="AK181:AK186"/>
    <mergeCell ref="N182:N185"/>
    <mergeCell ref="O182:O185"/>
    <mergeCell ref="P182:P185"/>
    <mergeCell ref="Q182:Q185"/>
    <mergeCell ref="R182:R185"/>
    <mergeCell ref="S182:S185"/>
    <mergeCell ref="T182:T185"/>
    <mergeCell ref="U182:U185"/>
    <mergeCell ref="V182:V185"/>
    <mergeCell ref="W182:W185"/>
    <mergeCell ref="X182:X185"/>
    <mergeCell ref="Y182:Y185"/>
    <mergeCell ref="G181:G186"/>
    <mergeCell ref="H187:H192"/>
    <mergeCell ref="I187:I192"/>
    <mergeCell ref="J187:J192"/>
    <mergeCell ref="K187:K192"/>
    <mergeCell ref="L187:L192"/>
    <mergeCell ref="M187:M192"/>
    <mergeCell ref="AF187:AF192"/>
    <mergeCell ref="AG187:AG192"/>
    <mergeCell ref="AH187:AH192"/>
    <mergeCell ref="AI187:AI192"/>
    <mergeCell ref="AJ187:AJ192"/>
    <mergeCell ref="AK187:AK192"/>
    <mergeCell ref="N188:N191"/>
    <mergeCell ref="O188:O191"/>
    <mergeCell ref="P188:P191"/>
    <mergeCell ref="Q188:Q191"/>
    <mergeCell ref="R188:R191"/>
    <mergeCell ref="S188:S191"/>
    <mergeCell ref="T188:T191"/>
    <mergeCell ref="U188:U191"/>
    <mergeCell ref="V188:V191"/>
    <mergeCell ref="W188:W191"/>
    <mergeCell ref="X188:X191"/>
    <mergeCell ref="Y188:Y191"/>
    <mergeCell ref="G187:G192"/>
    <mergeCell ref="H193:H198"/>
    <mergeCell ref="I193:I198"/>
    <mergeCell ref="J193:J198"/>
    <mergeCell ref="K193:K198"/>
    <mergeCell ref="L193:L198"/>
    <mergeCell ref="M193:M198"/>
    <mergeCell ref="AF193:AF198"/>
    <mergeCell ref="AG193:AG198"/>
    <mergeCell ref="AH193:AH198"/>
    <mergeCell ref="AI193:AI198"/>
    <mergeCell ref="AJ193:AJ198"/>
    <mergeCell ref="AK193:AK198"/>
    <mergeCell ref="N194:N197"/>
    <mergeCell ref="O194:O197"/>
    <mergeCell ref="P194:P197"/>
    <mergeCell ref="Q194:Q197"/>
    <mergeCell ref="R194:R197"/>
    <mergeCell ref="S194:S197"/>
    <mergeCell ref="T194:T197"/>
    <mergeCell ref="U194:U197"/>
    <mergeCell ref="V194:V197"/>
    <mergeCell ref="W194:W197"/>
    <mergeCell ref="X194:X197"/>
    <mergeCell ref="Y194:Y197"/>
    <mergeCell ref="G193:G198"/>
    <mergeCell ref="H205:H210"/>
    <mergeCell ref="I205:I210"/>
    <mergeCell ref="J205:J210"/>
    <mergeCell ref="K205:K210"/>
    <mergeCell ref="L205:L210"/>
    <mergeCell ref="M205:M210"/>
    <mergeCell ref="AF205:AF210"/>
    <mergeCell ref="AG205:AG210"/>
    <mergeCell ref="AH205:AH210"/>
    <mergeCell ref="AI205:AI210"/>
    <mergeCell ref="AJ205:AJ210"/>
    <mergeCell ref="AK205:AK210"/>
    <mergeCell ref="N206:N209"/>
    <mergeCell ref="O206:O209"/>
    <mergeCell ref="P206:P209"/>
    <mergeCell ref="Q206:Q209"/>
    <mergeCell ref="R206:R209"/>
    <mergeCell ref="S206:S209"/>
    <mergeCell ref="T206:T209"/>
    <mergeCell ref="U206:U209"/>
    <mergeCell ref="V206:V209"/>
    <mergeCell ref="W206:W209"/>
    <mergeCell ref="X206:X209"/>
    <mergeCell ref="Y206:Y209"/>
    <mergeCell ref="G205:G210"/>
    <mergeCell ref="H211:H216"/>
    <mergeCell ref="I211:I216"/>
    <mergeCell ref="J211:J216"/>
    <mergeCell ref="K211:K216"/>
    <mergeCell ref="L211:L216"/>
    <mergeCell ref="M211:M216"/>
    <mergeCell ref="AF211:AF216"/>
    <mergeCell ref="AG211:AG216"/>
    <mergeCell ref="AH211:AH216"/>
    <mergeCell ref="AI211:AI216"/>
    <mergeCell ref="AJ211:AJ216"/>
    <mergeCell ref="AK211:AK216"/>
    <mergeCell ref="N212:N215"/>
    <mergeCell ref="O212:O215"/>
    <mergeCell ref="P212:P215"/>
    <mergeCell ref="Q212:Q215"/>
    <mergeCell ref="R212:R215"/>
    <mergeCell ref="S212:S215"/>
    <mergeCell ref="T212:T215"/>
    <mergeCell ref="U212:U215"/>
    <mergeCell ref="V212:V215"/>
    <mergeCell ref="W212:W215"/>
    <mergeCell ref="X212:X215"/>
    <mergeCell ref="Y212:Y215"/>
    <mergeCell ref="G211:G216"/>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23:H228"/>
    <mergeCell ref="I223:I228"/>
    <mergeCell ref="J223:J228"/>
    <mergeCell ref="K223:K228"/>
    <mergeCell ref="L223:L228"/>
    <mergeCell ref="M223:M228"/>
    <mergeCell ref="AF223:AF228"/>
    <mergeCell ref="AG223:AG228"/>
    <mergeCell ref="AH223:AH228"/>
    <mergeCell ref="AI223:AI228"/>
    <mergeCell ref="AJ223:AJ228"/>
    <mergeCell ref="AK223:AK228"/>
    <mergeCell ref="N224:N227"/>
    <mergeCell ref="O224:O227"/>
    <mergeCell ref="P224:P227"/>
    <mergeCell ref="Q224:Q227"/>
    <mergeCell ref="R224:R227"/>
    <mergeCell ref="S224:S227"/>
    <mergeCell ref="T224:T227"/>
    <mergeCell ref="U224:U227"/>
    <mergeCell ref="V224:V227"/>
    <mergeCell ref="W224:W227"/>
    <mergeCell ref="X224:X227"/>
    <mergeCell ref="Y224:Y227"/>
    <mergeCell ref="G223:G228"/>
    <mergeCell ref="H229:H234"/>
    <mergeCell ref="I229:I234"/>
    <mergeCell ref="J229:J234"/>
    <mergeCell ref="K229:K234"/>
    <mergeCell ref="L229:L234"/>
    <mergeCell ref="M229:M234"/>
    <mergeCell ref="AF229:AF234"/>
    <mergeCell ref="AG229:AG234"/>
    <mergeCell ref="AH229:AH234"/>
    <mergeCell ref="AI229:AI234"/>
    <mergeCell ref="AJ229:AJ234"/>
    <mergeCell ref="AK229:AK234"/>
    <mergeCell ref="N230:N233"/>
    <mergeCell ref="O230:O233"/>
    <mergeCell ref="P230:P233"/>
    <mergeCell ref="Q230:Q233"/>
    <mergeCell ref="R230:R233"/>
    <mergeCell ref="S230:S233"/>
    <mergeCell ref="T230:T233"/>
    <mergeCell ref="U230:U233"/>
    <mergeCell ref="V230:V233"/>
    <mergeCell ref="W230:W233"/>
    <mergeCell ref="X230:X233"/>
    <mergeCell ref="Y230:Y233"/>
    <mergeCell ref="G229:G234"/>
    <mergeCell ref="H235:H240"/>
    <mergeCell ref="I235:I240"/>
    <mergeCell ref="J235:J240"/>
    <mergeCell ref="K235:K240"/>
    <mergeCell ref="L235:L240"/>
    <mergeCell ref="M235:M240"/>
    <mergeCell ref="AF235:AF240"/>
    <mergeCell ref="AG235:AG240"/>
    <mergeCell ref="AH235:AH240"/>
    <mergeCell ref="AI235:AI240"/>
    <mergeCell ref="AJ235:AJ240"/>
    <mergeCell ref="AK235:AK240"/>
    <mergeCell ref="N236:N239"/>
    <mergeCell ref="O236:O239"/>
    <mergeCell ref="P236:P239"/>
    <mergeCell ref="Q236:Q239"/>
    <mergeCell ref="R236:R239"/>
    <mergeCell ref="S236:S239"/>
    <mergeCell ref="T236:T239"/>
    <mergeCell ref="U236:U239"/>
    <mergeCell ref="V236:V239"/>
    <mergeCell ref="W236:W239"/>
    <mergeCell ref="X236:X239"/>
    <mergeCell ref="Y236:Y239"/>
    <mergeCell ref="G235:G240"/>
    <mergeCell ref="H241:H246"/>
    <mergeCell ref="I241:I246"/>
    <mergeCell ref="J241:J246"/>
    <mergeCell ref="K241:K246"/>
    <mergeCell ref="L241:L246"/>
    <mergeCell ref="M241:M246"/>
    <mergeCell ref="AF241:AF246"/>
    <mergeCell ref="AG241:AG246"/>
    <mergeCell ref="AH241:AH246"/>
    <mergeCell ref="AI241:AI246"/>
    <mergeCell ref="AJ241:AJ246"/>
    <mergeCell ref="AK241:AK246"/>
    <mergeCell ref="N242:N245"/>
    <mergeCell ref="O242:O245"/>
    <mergeCell ref="P242:P245"/>
    <mergeCell ref="Q242:Q245"/>
    <mergeCell ref="R242:R245"/>
    <mergeCell ref="S242:S245"/>
    <mergeCell ref="T242:T245"/>
    <mergeCell ref="U242:U245"/>
    <mergeCell ref="V242:V245"/>
    <mergeCell ref="W242:W245"/>
    <mergeCell ref="X242:X245"/>
    <mergeCell ref="Y242:Y245"/>
    <mergeCell ref="G241:G246"/>
    <mergeCell ref="H247:H252"/>
    <mergeCell ref="I247:I252"/>
    <mergeCell ref="J247:J252"/>
    <mergeCell ref="K247:K252"/>
    <mergeCell ref="L247:L252"/>
    <mergeCell ref="M247:M252"/>
    <mergeCell ref="AF247:AF252"/>
    <mergeCell ref="AG247:AG252"/>
    <mergeCell ref="AH247:AH252"/>
    <mergeCell ref="AI247:AI252"/>
    <mergeCell ref="AJ247:AJ252"/>
    <mergeCell ref="AK247:AK252"/>
    <mergeCell ref="N248:N251"/>
    <mergeCell ref="O248:O251"/>
    <mergeCell ref="P248:P251"/>
    <mergeCell ref="Q248:Q251"/>
    <mergeCell ref="R248:R251"/>
    <mergeCell ref="S248:S251"/>
    <mergeCell ref="T248:T251"/>
    <mergeCell ref="U248:U251"/>
    <mergeCell ref="V248:V251"/>
    <mergeCell ref="W248:W251"/>
    <mergeCell ref="X248:X251"/>
    <mergeCell ref="Y248:Y251"/>
    <mergeCell ref="G247:G252"/>
    <mergeCell ref="H253:H258"/>
    <mergeCell ref="I253:I258"/>
    <mergeCell ref="J253:J258"/>
    <mergeCell ref="K253:K258"/>
    <mergeCell ref="L253:L258"/>
    <mergeCell ref="M253:M258"/>
    <mergeCell ref="AF253:AF258"/>
    <mergeCell ref="AG253:AG258"/>
    <mergeCell ref="AH253:AH258"/>
    <mergeCell ref="AI253:AI258"/>
    <mergeCell ref="AJ253:AJ258"/>
    <mergeCell ref="AK253:AK258"/>
    <mergeCell ref="N254:N257"/>
    <mergeCell ref="O254:O257"/>
    <mergeCell ref="P254:P257"/>
    <mergeCell ref="Q254:Q257"/>
    <mergeCell ref="R254:R257"/>
    <mergeCell ref="S254:S257"/>
    <mergeCell ref="T254:T257"/>
    <mergeCell ref="U254:U257"/>
    <mergeCell ref="V254:V257"/>
    <mergeCell ref="W254:W257"/>
    <mergeCell ref="X254:X257"/>
    <mergeCell ref="Y254:Y257"/>
    <mergeCell ref="G253:G258"/>
    <mergeCell ref="H259:H264"/>
    <mergeCell ref="I259:I264"/>
    <mergeCell ref="J259:J264"/>
    <mergeCell ref="K259:K264"/>
    <mergeCell ref="L259:L264"/>
    <mergeCell ref="M259:M264"/>
    <mergeCell ref="AF259:AF264"/>
    <mergeCell ref="AG259:AG264"/>
    <mergeCell ref="AH259:AH264"/>
    <mergeCell ref="AI259:AI264"/>
    <mergeCell ref="AJ259:AJ264"/>
    <mergeCell ref="AK259:AK264"/>
    <mergeCell ref="N260:N263"/>
    <mergeCell ref="O260:O263"/>
    <mergeCell ref="P260:P263"/>
    <mergeCell ref="Q260:Q263"/>
    <mergeCell ref="R260:R263"/>
    <mergeCell ref="S260:S263"/>
    <mergeCell ref="T260:T263"/>
    <mergeCell ref="U260:U263"/>
    <mergeCell ref="V260:V263"/>
    <mergeCell ref="W260:W263"/>
    <mergeCell ref="X260:X263"/>
    <mergeCell ref="Y260:Y263"/>
    <mergeCell ref="G259:G264"/>
    <mergeCell ref="H265:H270"/>
    <mergeCell ref="I265:I270"/>
    <mergeCell ref="J265:J270"/>
    <mergeCell ref="K265:K270"/>
    <mergeCell ref="L265:L270"/>
    <mergeCell ref="M265:M270"/>
    <mergeCell ref="AF265:AF270"/>
    <mergeCell ref="AG265:AG270"/>
    <mergeCell ref="AH265:AH270"/>
    <mergeCell ref="AI265:AI270"/>
    <mergeCell ref="AJ265:AJ270"/>
    <mergeCell ref="AK265:AK270"/>
    <mergeCell ref="N266:N269"/>
    <mergeCell ref="O266:O269"/>
    <mergeCell ref="P266:P269"/>
    <mergeCell ref="Q266:Q269"/>
    <mergeCell ref="R266:R269"/>
    <mergeCell ref="S266:S269"/>
    <mergeCell ref="T266:T269"/>
    <mergeCell ref="U266:U269"/>
    <mergeCell ref="V266:V269"/>
    <mergeCell ref="W266:W269"/>
    <mergeCell ref="X266:X269"/>
    <mergeCell ref="Y266:Y269"/>
    <mergeCell ref="G265:G270"/>
    <mergeCell ref="H271:H276"/>
    <mergeCell ref="I271:I276"/>
    <mergeCell ref="J271:J276"/>
    <mergeCell ref="K271:K276"/>
    <mergeCell ref="L271:L276"/>
    <mergeCell ref="M271:M276"/>
    <mergeCell ref="AF271:AF276"/>
    <mergeCell ref="AG271:AG276"/>
    <mergeCell ref="AH271:AH276"/>
    <mergeCell ref="AI271:AI276"/>
    <mergeCell ref="AJ271:AJ276"/>
    <mergeCell ref="AK271:AK276"/>
    <mergeCell ref="N272:N275"/>
    <mergeCell ref="O272:O275"/>
    <mergeCell ref="P272:P275"/>
    <mergeCell ref="Q272:Q275"/>
    <mergeCell ref="R272:R275"/>
    <mergeCell ref="S272:S275"/>
    <mergeCell ref="T272:T275"/>
    <mergeCell ref="U272:U275"/>
    <mergeCell ref="V272:V275"/>
    <mergeCell ref="W272:W275"/>
    <mergeCell ref="X272:X275"/>
    <mergeCell ref="Y272:Y275"/>
    <mergeCell ref="G271:G276"/>
    <mergeCell ref="H277:H282"/>
    <mergeCell ref="I277:I282"/>
    <mergeCell ref="J277:J282"/>
    <mergeCell ref="K277:K282"/>
    <mergeCell ref="L277:L282"/>
    <mergeCell ref="M277:M282"/>
    <mergeCell ref="AF277:AF282"/>
    <mergeCell ref="AG277:AG282"/>
    <mergeCell ref="AH277:AH282"/>
    <mergeCell ref="AI277:AI282"/>
    <mergeCell ref="AJ277:AJ282"/>
    <mergeCell ref="AK277:AK282"/>
    <mergeCell ref="N278:N281"/>
    <mergeCell ref="O278:O281"/>
    <mergeCell ref="P278:P281"/>
    <mergeCell ref="Q278:Q281"/>
    <mergeCell ref="R278:R281"/>
    <mergeCell ref="S278:S281"/>
    <mergeCell ref="T278:T281"/>
    <mergeCell ref="U278:U281"/>
    <mergeCell ref="V278:V281"/>
    <mergeCell ref="W278:W281"/>
    <mergeCell ref="X278:X281"/>
    <mergeCell ref="Y278:Y281"/>
    <mergeCell ref="G277:G282"/>
    <mergeCell ref="H283:H288"/>
    <mergeCell ref="I283:I288"/>
    <mergeCell ref="J283:J288"/>
    <mergeCell ref="K283:K288"/>
    <mergeCell ref="L283:L288"/>
    <mergeCell ref="M283:M288"/>
    <mergeCell ref="AF283:AF288"/>
    <mergeCell ref="AG283:AG288"/>
    <mergeCell ref="AH283:AH288"/>
    <mergeCell ref="AI283:AI288"/>
    <mergeCell ref="AJ283:AJ288"/>
    <mergeCell ref="AK283:AK288"/>
    <mergeCell ref="N284:N287"/>
    <mergeCell ref="O284:O287"/>
    <mergeCell ref="P284:P287"/>
    <mergeCell ref="Q284:Q287"/>
    <mergeCell ref="R284:R287"/>
    <mergeCell ref="S284:S287"/>
    <mergeCell ref="T284:T287"/>
    <mergeCell ref="U284:U287"/>
    <mergeCell ref="V284:V287"/>
    <mergeCell ref="W284:W287"/>
    <mergeCell ref="X284:X287"/>
    <mergeCell ref="Y284:Y287"/>
    <mergeCell ref="G283:G288"/>
    <mergeCell ref="H289:H294"/>
    <mergeCell ref="I289:I294"/>
    <mergeCell ref="J289:J294"/>
    <mergeCell ref="K289:K294"/>
    <mergeCell ref="L289:L294"/>
    <mergeCell ref="M289:M294"/>
    <mergeCell ref="AF289:AF294"/>
    <mergeCell ref="AG289:AG294"/>
    <mergeCell ref="AH289:AH294"/>
    <mergeCell ref="AI289:AI294"/>
    <mergeCell ref="AJ289:AJ294"/>
    <mergeCell ref="AK289:AK294"/>
    <mergeCell ref="N290:N293"/>
    <mergeCell ref="O290:O293"/>
    <mergeCell ref="P290:P293"/>
    <mergeCell ref="Q290:Q293"/>
    <mergeCell ref="R290:R293"/>
    <mergeCell ref="S290:S293"/>
    <mergeCell ref="T290:T293"/>
    <mergeCell ref="U290:U293"/>
    <mergeCell ref="V290:V293"/>
    <mergeCell ref="W290:W293"/>
    <mergeCell ref="X290:X293"/>
    <mergeCell ref="Y290:Y293"/>
    <mergeCell ref="G289:G294"/>
    <mergeCell ref="H302:H307"/>
    <mergeCell ref="I302:I307"/>
    <mergeCell ref="J302:J307"/>
    <mergeCell ref="K302:K307"/>
    <mergeCell ref="L302:L307"/>
    <mergeCell ref="M302:M307"/>
    <mergeCell ref="AF302:AF307"/>
    <mergeCell ref="AG302:AG307"/>
    <mergeCell ref="AH302:AH307"/>
    <mergeCell ref="AI302:AI307"/>
    <mergeCell ref="AJ302:AJ307"/>
    <mergeCell ref="AK302:AK307"/>
    <mergeCell ref="N303:N306"/>
    <mergeCell ref="O303:O306"/>
    <mergeCell ref="P303:P306"/>
    <mergeCell ref="Q303:Q306"/>
    <mergeCell ref="R303:R306"/>
    <mergeCell ref="S303:S306"/>
    <mergeCell ref="T303:T306"/>
    <mergeCell ref="U303:U306"/>
    <mergeCell ref="V303:V306"/>
    <mergeCell ref="W303:W306"/>
    <mergeCell ref="X303:X306"/>
    <mergeCell ref="Y303:Y306"/>
    <mergeCell ref="G302:G307"/>
    <mergeCell ref="H308:H313"/>
    <mergeCell ref="I308:I313"/>
    <mergeCell ref="J308:J313"/>
    <mergeCell ref="K308:K313"/>
    <mergeCell ref="L308:L313"/>
    <mergeCell ref="M308:M313"/>
    <mergeCell ref="AF308:AF313"/>
    <mergeCell ref="AG308:AG313"/>
    <mergeCell ref="AH308:AH313"/>
    <mergeCell ref="AI308:AI313"/>
    <mergeCell ref="AJ308:AJ313"/>
    <mergeCell ref="AK308:AK313"/>
    <mergeCell ref="N309:N312"/>
    <mergeCell ref="O309:O312"/>
    <mergeCell ref="P309:P312"/>
    <mergeCell ref="Q309:Q312"/>
    <mergeCell ref="R309:R312"/>
    <mergeCell ref="S309:S312"/>
    <mergeCell ref="T309:T312"/>
    <mergeCell ref="U309:U312"/>
    <mergeCell ref="V309:V312"/>
    <mergeCell ref="W309:W312"/>
    <mergeCell ref="X309:X312"/>
    <mergeCell ref="Y309:Y312"/>
    <mergeCell ref="G308:G313"/>
    <mergeCell ref="H314:H319"/>
    <mergeCell ref="I314:I319"/>
    <mergeCell ref="J314:J319"/>
    <mergeCell ref="K314:K319"/>
    <mergeCell ref="L314:L319"/>
    <mergeCell ref="M314:M319"/>
    <mergeCell ref="AF314:AF319"/>
    <mergeCell ref="AG314:AG319"/>
    <mergeCell ref="AH314:AH319"/>
    <mergeCell ref="AI314:AI319"/>
    <mergeCell ref="AJ314:AJ319"/>
    <mergeCell ref="AK314:AK319"/>
    <mergeCell ref="N315:N318"/>
    <mergeCell ref="O315:O318"/>
    <mergeCell ref="P315:P318"/>
    <mergeCell ref="Q315:Q318"/>
    <mergeCell ref="R315:R318"/>
    <mergeCell ref="S315:S318"/>
    <mergeCell ref="T315:T318"/>
    <mergeCell ref="U315:U318"/>
    <mergeCell ref="V315:V318"/>
    <mergeCell ref="W315:W318"/>
    <mergeCell ref="X315:X318"/>
    <mergeCell ref="Y315:Y318"/>
    <mergeCell ref="G314:G319"/>
    <mergeCell ref="H320:H325"/>
    <mergeCell ref="I320:I325"/>
    <mergeCell ref="J320:J325"/>
    <mergeCell ref="K320:K325"/>
    <mergeCell ref="L320:L325"/>
    <mergeCell ref="M320:M325"/>
    <mergeCell ref="AF320:AF325"/>
    <mergeCell ref="AG320:AG325"/>
    <mergeCell ref="AH320:AH325"/>
    <mergeCell ref="AI320:AI325"/>
    <mergeCell ref="AJ320:AJ325"/>
    <mergeCell ref="AK320:AK325"/>
    <mergeCell ref="N321:N324"/>
    <mergeCell ref="O321:O324"/>
    <mergeCell ref="P321:P324"/>
    <mergeCell ref="Q321:Q324"/>
    <mergeCell ref="R321:R324"/>
    <mergeCell ref="S321:S324"/>
    <mergeCell ref="T321:T324"/>
    <mergeCell ref="U321:U324"/>
    <mergeCell ref="V321:V324"/>
    <mergeCell ref="W321:W324"/>
    <mergeCell ref="X321:X324"/>
    <mergeCell ref="Y321:Y324"/>
    <mergeCell ref="G320:G325"/>
    <mergeCell ref="H326:H331"/>
    <mergeCell ref="I326:I331"/>
    <mergeCell ref="J326:J331"/>
    <mergeCell ref="K326:K331"/>
    <mergeCell ref="L326:L331"/>
    <mergeCell ref="M326:M331"/>
    <mergeCell ref="AF326:AF331"/>
    <mergeCell ref="AG326:AG331"/>
    <mergeCell ref="AH326:AH331"/>
    <mergeCell ref="AI326:AI331"/>
    <mergeCell ref="AJ326:AJ331"/>
    <mergeCell ref="AK326:AK331"/>
    <mergeCell ref="N327:N330"/>
    <mergeCell ref="O327:O330"/>
    <mergeCell ref="P327:P330"/>
    <mergeCell ref="Q327:Q330"/>
    <mergeCell ref="R327:R330"/>
    <mergeCell ref="S327:S330"/>
    <mergeCell ref="T327:T330"/>
    <mergeCell ref="U327:U330"/>
    <mergeCell ref="V327:V330"/>
    <mergeCell ref="W327:W330"/>
    <mergeCell ref="X327:X330"/>
    <mergeCell ref="Y327:Y330"/>
    <mergeCell ref="G326:G331"/>
    <mergeCell ref="H332:H337"/>
    <mergeCell ref="I332:I337"/>
    <mergeCell ref="J332:J337"/>
    <mergeCell ref="K332:K337"/>
    <mergeCell ref="L332:L337"/>
    <mergeCell ref="M332:M337"/>
    <mergeCell ref="AF332:AF337"/>
    <mergeCell ref="AG332:AG337"/>
    <mergeCell ref="AH332:AH337"/>
    <mergeCell ref="AI332:AI337"/>
    <mergeCell ref="AJ332:AJ337"/>
    <mergeCell ref="AK332:AK337"/>
    <mergeCell ref="N333:N336"/>
    <mergeCell ref="O333:O336"/>
    <mergeCell ref="P333:P336"/>
    <mergeCell ref="Q333:Q336"/>
    <mergeCell ref="R333:R336"/>
    <mergeCell ref="S333:S336"/>
    <mergeCell ref="T333:T336"/>
    <mergeCell ref="U333:U336"/>
    <mergeCell ref="V333:V336"/>
    <mergeCell ref="W333:W336"/>
    <mergeCell ref="X333:X336"/>
    <mergeCell ref="Y333:Y336"/>
    <mergeCell ref="G332:G337"/>
    <mergeCell ref="H338:H343"/>
    <mergeCell ref="I338:I343"/>
    <mergeCell ref="J338:J343"/>
    <mergeCell ref="K338:K343"/>
    <mergeCell ref="L338:L343"/>
    <mergeCell ref="M338:M343"/>
    <mergeCell ref="AF338:AF343"/>
    <mergeCell ref="AG338:AG343"/>
    <mergeCell ref="AH338:AH343"/>
    <mergeCell ref="AI338:AI343"/>
    <mergeCell ref="AJ338:AJ343"/>
    <mergeCell ref="AK338:AK343"/>
    <mergeCell ref="N339:N342"/>
    <mergeCell ref="O339:O342"/>
    <mergeCell ref="P339:P342"/>
    <mergeCell ref="Q339:Q342"/>
    <mergeCell ref="R339:R342"/>
    <mergeCell ref="S339:S342"/>
    <mergeCell ref="T339:T342"/>
    <mergeCell ref="U339:U342"/>
    <mergeCell ref="V339:V342"/>
    <mergeCell ref="W339:W342"/>
    <mergeCell ref="X339:X342"/>
    <mergeCell ref="Y339:Y342"/>
    <mergeCell ref="G338:G343"/>
    <mergeCell ref="H344:H349"/>
    <mergeCell ref="I344:I349"/>
    <mergeCell ref="J344:J349"/>
    <mergeCell ref="K344:K349"/>
    <mergeCell ref="L344:L349"/>
    <mergeCell ref="M344:M349"/>
    <mergeCell ref="AF344:AF349"/>
    <mergeCell ref="AG344:AG349"/>
    <mergeCell ref="AH344:AH349"/>
    <mergeCell ref="AI344:AI349"/>
    <mergeCell ref="AJ344:AJ349"/>
    <mergeCell ref="AK344:AK349"/>
    <mergeCell ref="N345:N348"/>
    <mergeCell ref="O345:O348"/>
    <mergeCell ref="P345:P348"/>
    <mergeCell ref="Q345:Q348"/>
    <mergeCell ref="R345:R348"/>
    <mergeCell ref="S345:S348"/>
    <mergeCell ref="T345:T348"/>
    <mergeCell ref="U345:U348"/>
    <mergeCell ref="V345:V348"/>
    <mergeCell ref="W345:W348"/>
    <mergeCell ref="X345:X348"/>
    <mergeCell ref="Y345:Y348"/>
    <mergeCell ref="G344:G349"/>
    <mergeCell ref="H357:H362"/>
    <mergeCell ref="I357:I362"/>
    <mergeCell ref="J357:J362"/>
    <mergeCell ref="K357:K362"/>
    <mergeCell ref="L357:L362"/>
    <mergeCell ref="M357:M362"/>
    <mergeCell ref="AF357:AF362"/>
    <mergeCell ref="AG357:AG362"/>
    <mergeCell ref="AH357:AH362"/>
    <mergeCell ref="AI357:AI362"/>
    <mergeCell ref="AJ357:AJ362"/>
    <mergeCell ref="AK357:AK362"/>
    <mergeCell ref="N358:N361"/>
    <mergeCell ref="O358:O361"/>
    <mergeCell ref="P358:P361"/>
    <mergeCell ref="Q358:Q361"/>
    <mergeCell ref="R358:R361"/>
    <mergeCell ref="S358:S361"/>
    <mergeCell ref="T358:T361"/>
    <mergeCell ref="U358:U361"/>
    <mergeCell ref="V358:V361"/>
    <mergeCell ref="W358:W361"/>
    <mergeCell ref="X358:X361"/>
    <mergeCell ref="Y358:Y361"/>
    <mergeCell ref="G357:G362"/>
    <mergeCell ref="H363:H368"/>
    <mergeCell ref="I363:I368"/>
    <mergeCell ref="J363:J368"/>
    <mergeCell ref="K363:K368"/>
    <mergeCell ref="L363:L368"/>
    <mergeCell ref="M363:M368"/>
    <mergeCell ref="AF363:AF368"/>
    <mergeCell ref="AG363:AG368"/>
    <mergeCell ref="AH363:AH368"/>
    <mergeCell ref="AI363:AI368"/>
    <mergeCell ref="AJ363:AJ368"/>
    <mergeCell ref="AK363:AK368"/>
    <mergeCell ref="N364:N367"/>
    <mergeCell ref="O364:O367"/>
    <mergeCell ref="P364:P367"/>
    <mergeCell ref="Q364:Q367"/>
    <mergeCell ref="R364:R367"/>
    <mergeCell ref="S364:S367"/>
    <mergeCell ref="T364:T367"/>
    <mergeCell ref="U364:U367"/>
    <mergeCell ref="V364:V367"/>
    <mergeCell ref="W364:W367"/>
    <mergeCell ref="X364:X367"/>
    <mergeCell ref="Y364:Y367"/>
    <mergeCell ref="G363:G368"/>
    <mergeCell ref="H369:H374"/>
    <mergeCell ref="I369:I374"/>
    <mergeCell ref="J369:J374"/>
    <mergeCell ref="K369:K374"/>
    <mergeCell ref="L369:L374"/>
    <mergeCell ref="M369:M374"/>
    <mergeCell ref="AF369:AF374"/>
    <mergeCell ref="AG369:AG374"/>
    <mergeCell ref="AH369:AH374"/>
    <mergeCell ref="AI369:AI374"/>
    <mergeCell ref="AJ369:AJ374"/>
    <mergeCell ref="AK369:AK374"/>
    <mergeCell ref="N370:N373"/>
    <mergeCell ref="O370:O373"/>
    <mergeCell ref="P370:P373"/>
    <mergeCell ref="Q370:Q373"/>
    <mergeCell ref="R370:R373"/>
    <mergeCell ref="S370:S373"/>
    <mergeCell ref="T370:T373"/>
    <mergeCell ref="U370:U373"/>
    <mergeCell ref="V370:V373"/>
    <mergeCell ref="W370:W373"/>
    <mergeCell ref="X370:X373"/>
    <mergeCell ref="Y370:Y373"/>
    <mergeCell ref="G369:G374"/>
    <mergeCell ref="H375:H380"/>
    <mergeCell ref="I375:I380"/>
    <mergeCell ref="J375:J380"/>
    <mergeCell ref="K375:K380"/>
    <mergeCell ref="L375:L380"/>
    <mergeCell ref="M375:M380"/>
    <mergeCell ref="AF375:AF380"/>
    <mergeCell ref="AG375:AG380"/>
    <mergeCell ref="AH375:AH380"/>
    <mergeCell ref="AI375:AI380"/>
    <mergeCell ref="AJ375:AJ380"/>
    <mergeCell ref="AK375:AK380"/>
    <mergeCell ref="N376:N379"/>
    <mergeCell ref="O376:O379"/>
    <mergeCell ref="P376:P379"/>
    <mergeCell ref="Q376:Q379"/>
    <mergeCell ref="R376:R379"/>
    <mergeCell ref="S376:S379"/>
    <mergeCell ref="T376:T379"/>
    <mergeCell ref="U376:U379"/>
    <mergeCell ref="V376:V379"/>
    <mergeCell ref="W376:W379"/>
    <mergeCell ref="X376:X379"/>
    <mergeCell ref="Y376:Y379"/>
    <mergeCell ref="G375:G380"/>
    <mergeCell ref="H381:H386"/>
    <mergeCell ref="I381:I386"/>
    <mergeCell ref="J381:J386"/>
    <mergeCell ref="K381:K386"/>
    <mergeCell ref="L381:L386"/>
    <mergeCell ref="M381:M386"/>
    <mergeCell ref="AF381:AF386"/>
    <mergeCell ref="AG381:AG386"/>
    <mergeCell ref="AH381:AH386"/>
    <mergeCell ref="AI381:AI386"/>
    <mergeCell ref="AJ381:AJ386"/>
    <mergeCell ref="AK381:AK386"/>
    <mergeCell ref="N382:N385"/>
    <mergeCell ref="O382:O385"/>
    <mergeCell ref="P382:P385"/>
    <mergeCell ref="Q382:Q385"/>
    <mergeCell ref="R382:R385"/>
    <mergeCell ref="S382:S385"/>
    <mergeCell ref="T382:T385"/>
    <mergeCell ref="U382:U385"/>
    <mergeCell ref="V382:V385"/>
    <mergeCell ref="W382:W385"/>
    <mergeCell ref="X382:X385"/>
    <mergeCell ref="Y382:Y385"/>
    <mergeCell ref="G381:G386"/>
    <mergeCell ref="H387:H392"/>
    <mergeCell ref="I387:I392"/>
    <mergeCell ref="J387:J392"/>
    <mergeCell ref="K387:K392"/>
    <mergeCell ref="L387:L392"/>
    <mergeCell ref="M387:M392"/>
    <mergeCell ref="AF387:AF392"/>
    <mergeCell ref="AG387:AG392"/>
    <mergeCell ref="AH387:AH392"/>
    <mergeCell ref="AI387:AI392"/>
    <mergeCell ref="AJ387:AJ392"/>
    <mergeCell ref="AK387:AK392"/>
    <mergeCell ref="N388:N391"/>
    <mergeCell ref="O388:O391"/>
    <mergeCell ref="P388:P391"/>
    <mergeCell ref="Q388:Q391"/>
    <mergeCell ref="R388:R391"/>
    <mergeCell ref="S388:S391"/>
    <mergeCell ref="T388:T391"/>
    <mergeCell ref="U388:U391"/>
    <mergeCell ref="V388:V391"/>
    <mergeCell ref="W388:W391"/>
    <mergeCell ref="X388:X391"/>
    <mergeCell ref="Y388:Y391"/>
    <mergeCell ref="G387:G392"/>
    <mergeCell ref="H393:H398"/>
    <mergeCell ref="I393:I398"/>
    <mergeCell ref="J393:J398"/>
    <mergeCell ref="K393:K398"/>
    <mergeCell ref="L393:L398"/>
    <mergeCell ref="M393:M398"/>
    <mergeCell ref="AF393:AF398"/>
    <mergeCell ref="AG393:AG398"/>
    <mergeCell ref="AH393:AH398"/>
    <mergeCell ref="AI393:AI398"/>
    <mergeCell ref="AJ393:AJ398"/>
    <mergeCell ref="AK393:AK398"/>
    <mergeCell ref="N394:N397"/>
    <mergeCell ref="O394:O397"/>
    <mergeCell ref="P394:P397"/>
    <mergeCell ref="Q394:Q397"/>
    <mergeCell ref="R394:R397"/>
    <mergeCell ref="S394:S397"/>
    <mergeCell ref="T394:T397"/>
    <mergeCell ref="U394:U397"/>
    <mergeCell ref="V394:V397"/>
    <mergeCell ref="W394:W397"/>
    <mergeCell ref="X394:X397"/>
    <mergeCell ref="Y394:Y397"/>
    <mergeCell ref="G393:G398"/>
    <mergeCell ref="H399:H404"/>
    <mergeCell ref="I399:I404"/>
    <mergeCell ref="J399:J404"/>
    <mergeCell ref="K399:K404"/>
    <mergeCell ref="L399:L404"/>
    <mergeCell ref="M399:M404"/>
    <mergeCell ref="AF399:AF404"/>
    <mergeCell ref="AG399:AG404"/>
    <mergeCell ref="AH399:AH404"/>
    <mergeCell ref="AI399:AI404"/>
    <mergeCell ref="AJ399:AJ404"/>
    <mergeCell ref="AK399:AK404"/>
    <mergeCell ref="N400:N403"/>
    <mergeCell ref="O400:O403"/>
    <mergeCell ref="P400:P403"/>
    <mergeCell ref="Q400:Q403"/>
    <mergeCell ref="R400:R403"/>
    <mergeCell ref="S400:S403"/>
    <mergeCell ref="T400:T403"/>
    <mergeCell ref="U400:U403"/>
    <mergeCell ref="V400:V403"/>
    <mergeCell ref="W400:W403"/>
    <mergeCell ref="X400:X403"/>
    <mergeCell ref="Y400:Y403"/>
    <mergeCell ref="G399:G404"/>
    <mergeCell ref="H405:H410"/>
    <mergeCell ref="I405:I410"/>
    <mergeCell ref="J405:J410"/>
    <mergeCell ref="K405:K410"/>
    <mergeCell ref="L405:L410"/>
    <mergeCell ref="M405:M410"/>
    <mergeCell ref="AF405:AF410"/>
    <mergeCell ref="AG405:AG410"/>
    <mergeCell ref="AH405:AH410"/>
    <mergeCell ref="AI405:AI410"/>
    <mergeCell ref="AJ405:AJ410"/>
    <mergeCell ref="AK405:AK410"/>
    <mergeCell ref="N406:N409"/>
    <mergeCell ref="O406:O409"/>
    <mergeCell ref="P406:P409"/>
    <mergeCell ref="Q406:Q409"/>
    <mergeCell ref="R406:R409"/>
    <mergeCell ref="S406:S409"/>
    <mergeCell ref="T406:T409"/>
    <mergeCell ref="U406:U409"/>
    <mergeCell ref="V406:V409"/>
    <mergeCell ref="W406:W409"/>
    <mergeCell ref="X406:X409"/>
    <mergeCell ref="Y406:Y409"/>
    <mergeCell ref="G405:G410"/>
  </mergeCells>
  <dataValidations count="2084">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decimal" allowBlank="1" showErrorMessage="1" errorTitle="Ошибка" error="Допускается ввод только неотрицательных чисел!" sqref="AE402">
      <formula1>0</formula1>
      <formula2>9.99999999999999E+23</formula2>
    </dataValidation>
    <dataValidation type="decimal" allowBlank="1" showErrorMessage="1" errorTitle="Ошибка" error="Допускается ввод только неотрицательных чисел!" sqref="AC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decimal" allowBlank="1" showErrorMessage="1" errorTitle="Ошибка" error="Допускается ввод только неотрицательных чисел!" sqref="AE354">
      <formula1>0</formula1>
      <formula2>9.99999999999999E+23</formula2>
    </dataValidation>
    <dataValidation type="decimal" allowBlank="1" showErrorMessage="1" errorTitle="Ошибка" error="Допускается ввод только неотрицательных чисел!" sqref="AC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M289">
      <formula1>900</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M283">
      <formula1>900</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M277">
      <formula1>900</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M271">
      <formula1>900</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M265">
      <formula1>900</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M253">
      <formula1>900</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M247">
      <formula1>900</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M241">
      <formula1>900</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M235">
      <formula1>900</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M229">
      <formula1>900</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M205">
      <formula1>900</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textLength" operator="lessThanOrEqual" allowBlank="1" showInputMessage="1" showErrorMessage="1" errorTitle="Ошибка" error="Допускается ввод не более 900 символов!" sqref="M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textLength" operator="lessThanOrEqual" allowBlank="1" showInputMessage="1" showErrorMessage="1" errorTitle="Ошибка" error="Допускается ввод не более 900 символов!" sqref="M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textLength" operator="lessThanOrEqual" allowBlank="1" showInputMessage="1" showErrorMessage="1" errorTitle="Ошибка" error="Допускается ввод не более 900 символов!" sqref="M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textLength" operator="lessThanOrEqual" allowBlank="1" showInputMessage="1" showErrorMessage="1" errorTitle="Ошибка" error="Допускается ввод не более 900 символов!" sqref="M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textLength" operator="lessThanOrEqual" allowBlank="1" showInputMessage="1" showErrorMessage="1" errorTitle="Ошибка" error="Допускается ввод не более 900 символов!" sqref="M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textLength" operator="lessThanOrEqual" allowBlank="1" showInputMessage="1" showErrorMessage="1" errorTitle="Ошибка" error="Допускается ввод не более 900 символов!" sqref="M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textLength" operator="lessThanOrEqual" allowBlank="1" showInputMessage="1" showErrorMessage="1" errorTitle="Ошибка" error="Допускается ввод не более 900 символов!" sqref="M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textLength" operator="lessThanOrEqual" allowBlank="1" showInputMessage="1" showErrorMessage="1" errorTitle="Ошибка" error="Допускается ввод не более 900 символов!" sqref="M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textLength" operator="lessThanOrEqual" allowBlank="1" showInputMessage="1" showErrorMessage="1" errorTitle="Ошибка" error="Допускается ввод не более 900 символов!" sqref="M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textLength" operator="lessThanOrEqual" allowBlank="1" showInputMessage="1" showErrorMessage="1" errorTitle="Ошибка" error="Допускается ввод не более 900 символов!" sqref="M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textLength" operator="lessThanOrEqual" allowBlank="1" showInputMessage="1" showErrorMessage="1" errorTitle="Ошибка" error="Допускается ввод не более 900 символов!" sqref="M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decimal" allowBlank="1" showErrorMessage="1" errorTitle="Ошибка" error="Допускается ввод только неотрицательных чисел!" sqref="AC347">
      <formula1>0</formula1>
      <formula2>9.99999999999999E+23</formula2>
    </dataValidation>
    <dataValidation type="decimal" allowBlank="1" showErrorMessage="1" errorTitle="Ошибка" error="Допускается ввод только неотрицательных чисел!" sqref="AE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textLength" operator="lessThanOrEqual" allowBlank="1" showInputMessage="1" showErrorMessage="1" errorTitle="Ошибка" error="Допускается ввод не более 900 символов!" sqref="M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decimal" allowBlank="1" showErrorMessage="1" errorTitle="Ошибка" error="Допускается ввод только неотрицательных чисел!" sqref="AC359">
      <formula1>0</formula1>
      <formula2>9.99999999999999E+23</formula2>
    </dataValidation>
    <dataValidation type="decimal" allowBlank="1" showErrorMessage="1" errorTitle="Ошибка" error="Допускается ввод только неотрицательных чисел!" sqref="AE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textLength" operator="lessThanOrEqual" allowBlank="1" showInputMessage="1" showErrorMessage="1" errorTitle="Ошибка" error="Допускается ввод не более 900 символов!" sqref="M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textLength" operator="lessThanOrEqual" allowBlank="1" showInputMessage="1" showErrorMessage="1" errorTitle="Ошибка" error="Допускается ввод не более 900 символов!" sqref="M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textLength" operator="lessThanOrEqual" allowBlank="1" showInputMessage="1" showErrorMessage="1" errorTitle="Ошибка" error="Допускается ввод не более 900 символов!" sqref="M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textLength" operator="lessThanOrEqual" allowBlank="1" showInputMessage="1" showErrorMessage="1" errorTitle="Ошибка" error="Допускается ввод не более 900 символов!" sqref="M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textLength" operator="lessThanOrEqual" allowBlank="1" showInputMessage="1" showErrorMessage="1" errorTitle="Ошибка" error="Допускается ввод не более 900 символов!" sqref="M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textLength" operator="lessThanOrEqual" allowBlank="1" showInputMessage="1" showErrorMessage="1" errorTitle="Ошибка" error="Допускается ввод не более 900 символов!" sqref="M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textLength" operator="lessThanOrEqual" allowBlank="1" showInputMessage="1" showErrorMessage="1" errorTitle="Ошибка" error="Допускается ввод не более 900 символов!" sqref="M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143002-0ED5-4397-0884-84969D4917B8}" mc:Ignorable="x14ac xr xr2 xr3">
  <sheetPr>
    <tabColor theme="9" tint="-0.25"/>
  </sheetPr>
  <dimension ref="A1:AC58"/>
  <sheetViews>
    <sheetView topLeftCell="E4" showGridLines="0" zoomScale="85" workbookViewId="0">
      <selection activeCell="P1" sqref="P1:P58"/>
    </sheetView>
  </sheetViews>
  <sheetFormatPr defaultColWidth="9.140625" customHeight="1" defaultRowHeight="10.5"/>
  <cols>
    <col min="1" max="3" style="41028" width="4.140625" hidden="1" customWidth="1"/>
    <col min="4" max="4" style="40129" width="4.140625" hidden="1" customWidth="1"/>
    <col min="5" max="5" style="40633" width="3.7109375" customWidth="1"/>
    <col min="6" max="6" style="40215" width="6.28125" customWidth="1"/>
    <col min="7" max="7" style="40215" width="60.140625" customWidth="1"/>
    <col min="8" max="9" style="40215" width="21.7109375" hidden="1" customWidth="1"/>
    <col min="10" max="10" style="40215" width="0.140625" customWidth="1"/>
    <col min="11" max="16" style="41029" width="21.7109375" hidden="1" customWidth="1"/>
    <col min="17" max="17" style="41029" width="0.140625" customWidth="1"/>
    <col min="18" max="18" style="40215" width="1.7109375" customWidth="1"/>
    <col min="19" max="29" style="40215" width="9.140625"/>
  </cols>
  <sheetData>
    <row s="40129" customFormat="1" customHeight="1" ht="10.5" hidden="1">
      <c r="A1" s="2080"/>
      <c r="B1" s="2080"/>
      <c r="C1" s="2080"/>
      <c r="E1" s="1449"/>
      <c r="K1" s="7542"/>
      <c r="L1" s="7542"/>
      <c r="M1" s="7542"/>
      <c r="N1" s="7542"/>
      <c r="O1" s="7542"/>
      <c r="P1" s="7542"/>
      <c r="Q1" s="7542"/>
    </row>
    <row customHeight="1" ht="10.5" hidden="1">
      <c r="K2" s="7439"/>
      <c r="L2" s="7439"/>
      <c r="M2" s="7439"/>
      <c r="N2" s="7439"/>
      <c r="O2" s="7439"/>
      <c r="P2" s="7439"/>
      <c r="Q2" s="7439"/>
    </row>
    <row s="40986" customFormat="1" customHeight="1" ht="10.5" hidden="1">
      <c r="A3" s="2080"/>
      <c r="B3" s="2080"/>
      <c r="C3" s="2080"/>
      <c r="D3" s="2074"/>
      <c r="E3" s="1274"/>
      <c r="K3" s="7544"/>
      <c r="L3" s="7544"/>
      <c r="M3" s="7544"/>
      <c r="N3" s="7544"/>
      <c r="O3" s="7544"/>
      <c r="P3" s="7544"/>
      <c r="Q3" s="7544"/>
    </row>
    <row customHeight="1" ht="3">
      <c r="K4" s="7439"/>
      <c r="L4" s="7439"/>
      <c r="M4" s="7439"/>
      <c r="N4" s="7439"/>
      <c r="O4" s="7439"/>
      <c r="P4" s="7439"/>
      <c r="Q4" s="7439"/>
    </row>
    <row customHeight="1" ht="25.5">
      <c r="F5" s="307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72"/>
      <c r="H5" s="3072"/>
      <c r="I5" s="3072"/>
      <c r="J5" s="3072"/>
      <c r="K5" s="7545"/>
      <c r="L5" s="7545"/>
      <c r="M5" s="7545"/>
      <c r="N5" s="7545"/>
      <c r="O5" s="7545"/>
      <c r="P5" s="7545"/>
      <c r="Q5" s="7545"/>
    </row>
    <row customHeight="1" ht="10.5">
      <c r="F6" s="3000" t="str">
        <f>IF(org=0,"Не определено",org)</f>
        <v>ПАО "ТГК-1" филиал "Невский"</v>
      </c>
      <c r="G6" s="3000"/>
      <c r="H6" s="3000"/>
      <c r="I6" s="3000"/>
      <c r="J6" s="3000"/>
      <c r="K6" s="7546"/>
      <c r="L6" s="7546"/>
      <c r="M6" s="7546"/>
      <c r="N6" s="7546"/>
      <c r="O6" s="7546"/>
      <c r="P6" s="7546"/>
      <c r="Q6" s="7546"/>
    </row>
    <row customHeight="1" ht="11.25">
      <c r="E7" s="2084"/>
      <c r="F7" s="2141"/>
      <c r="G7" s="2141"/>
      <c r="H7" s="2141"/>
      <c r="I7" s="2141"/>
      <c r="J7" s="2141"/>
      <c r="K7" s="7548" t="s">
        <v>18</v>
      </c>
      <c r="L7" s="7548"/>
      <c r="M7" s="7548" t="s">
        <v>18</v>
      </c>
      <c r="N7" s="7548" t="s">
        <v>18</v>
      </c>
      <c r="O7" s="7548" t="s">
        <v>18</v>
      </c>
      <c r="P7" s="7548" t="s">
        <v>18</v>
      </c>
      <c r="Q7" s="7548"/>
      <c r="R7" s="2071"/>
      <c r="S7" s="2071"/>
      <c r="T7" s="2071"/>
      <c r="U7" s="2071"/>
      <c r="V7" s="2071"/>
      <c r="W7" s="2071"/>
      <c r="X7" s="2071"/>
      <c r="Y7" s="2071"/>
      <c r="Z7" s="2071"/>
      <c r="AA7" s="2071"/>
      <c r="AB7" s="2071"/>
      <c r="AC7" s="2071"/>
    </row>
    <row s="40202" customFormat="1" customHeight="1" ht="5.25">
      <c r="A8" s="2081"/>
      <c r="B8" s="2081"/>
      <c r="C8" s="2081"/>
      <c r="E8" s="2142"/>
      <c r="F8" s="2143"/>
      <c r="G8" s="2143"/>
      <c r="H8" s="2143"/>
      <c r="I8" s="2143"/>
      <c r="J8" s="2143"/>
      <c r="K8" s="7552" t="s">
        <v>905</v>
      </c>
      <c r="L8" s="7552"/>
      <c r="M8" s="7552"/>
      <c r="N8" s="7552"/>
      <c r="O8" s="7552"/>
      <c r="P8" s="7552"/>
      <c r="Q8" s="7552"/>
      <c r="R8" s="2142"/>
      <c r="S8" s="2142"/>
      <c r="T8" s="2142"/>
      <c r="U8" s="2142"/>
      <c r="V8" s="2142"/>
      <c r="W8" s="2142"/>
      <c r="X8" s="2142"/>
      <c r="Y8" s="2142"/>
      <c r="Z8" s="2142"/>
      <c r="AA8" s="2142"/>
      <c r="AB8" s="2142"/>
      <c r="AC8" s="2142"/>
    </row>
    <row customHeight="1" ht="10.5">
      <c r="E9" s="2084"/>
      <c r="F9" s="3232" t="s">
        <v>291</v>
      </c>
      <c r="G9" s="3233"/>
      <c r="H9" s="3233"/>
      <c r="I9" s="3233"/>
      <c r="J9" s="3233"/>
      <c r="K9" s="7555"/>
      <c r="L9" s="7555"/>
      <c r="M9" s="7555"/>
      <c r="N9" s="7555"/>
      <c r="O9" s="7555"/>
      <c r="P9" s="7555"/>
      <c r="Q9" s="7555"/>
      <c r="R9" s="2154"/>
      <c r="S9" s="2071"/>
      <c r="T9" s="2071"/>
      <c r="U9" s="2071"/>
      <c r="V9" s="2071"/>
      <c r="W9" s="2071"/>
      <c r="X9" s="2071"/>
      <c r="Y9" s="2071"/>
      <c r="Z9" s="2071"/>
      <c r="AA9" s="2071"/>
      <c r="AB9" s="2071"/>
      <c r="AC9" s="2071"/>
    </row>
    <row customHeight="1" ht="24">
      <c r="E10" s="2071"/>
      <c r="F10" s="3236" t="s">
        <v>84</v>
      </c>
      <c r="G10" s="3241" t="s">
        <v>988</v>
      </c>
      <c r="H10" s="3239" t="s">
        <v>989</v>
      </c>
      <c r="I10" s="3239"/>
      <c r="J10" s="3239"/>
      <c r="K10" s="7560" t="s">
        <v>989</v>
      </c>
      <c r="L10" s="7560"/>
      <c r="M10" s="7560"/>
      <c r="N10" s="7560"/>
      <c r="O10" s="7560"/>
      <c r="P10" s="7560"/>
      <c r="Q10" s="7560"/>
      <c r="R10" s="2147"/>
      <c r="S10" s="2071"/>
      <c r="T10" s="2071"/>
      <c r="U10" s="2071"/>
      <c r="V10" s="2071"/>
      <c r="W10" s="2071"/>
      <c r="X10" s="2071"/>
      <c r="Y10" s="2071"/>
      <c r="Z10" s="2071"/>
      <c r="AA10" s="2071"/>
      <c r="AB10" s="2071"/>
      <c r="AC10" s="2071"/>
    </row>
    <row customHeight="1" ht="24">
      <c r="E11" s="2071"/>
      <c r="F11" s="3237"/>
      <c r="G11" s="3241"/>
      <c r="H11" s="3240">
        <f>INDEX(IP_MAIN_LIST_NAME_IP,MATCH(H8,IP_MAIN_LIST_IP_ID,0))&amp;" ("&amp;INDEX(IP_MAIN_START_DATE,MATCH(H8,IP_MAIN_LIST_IP_ID,0))&amp;"-"&amp;INDEX(IP_MAIN_END_DATE,MATCH(H8,IP_MAIN_LIST_IP_ID,0))&amp;")"</f>
      </c>
      <c r="I11" s="3240"/>
      <c r="J11" s="3240"/>
      <c r="K11" s="7564" t="str">
        <f>INDEX(IP_MAIN_LIST_NAME_IP,MATCH(K8,IP_MAIN_LIST_IP_ID,0))&amp;" ("&amp;INDEX(IP_MAIN_START_DATE,MATCH(K8,IP_MAIN_LIST_IP_ID,0))&amp;"-"&amp;INDEX(IP_MAIN_END_DATE,MATCH(K8,IP_MAIN_LIST_IP_ID,0))&amp;")"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L11" s="7564"/>
      <c r="M11" s="7564"/>
      <c r="N11" s="7564"/>
      <c r="O11" s="7564"/>
      <c r="P11" s="7564"/>
      <c r="Q11" s="7564"/>
      <c r="R11" s="2147"/>
      <c r="S11" s="2071"/>
      <c r="T11" s="2071"/>
      <c r="U11" s="2071"/>
      <c r="V11" s="2071"/>
      <c r="W11" s="2071"/>
      <c r="X11" s="2071"/>
      <c r="Y11" s="2071"/>
      <c r="Z11" s="2071"/>
      <c r="AA11" s="2071"/>
      <c r="AB11" s="2071"/>
      <c r="AC11" s="2071"/>
    </row>
    <row customHeight="1" ht="10.5">
      <c r="F12" s="3238"/>
      <c r="G12" s="3241"/>
      <c r="H12" s="2140" t="s">
        <v>990</v>
      </c>
      <c r="I12" s="2146"/>
      <c r="J12" s="2140"/>
      <c r="K12" s="7568" t="s">
        <v>990</v>
      </c>
      <c r="L12" s="7569">
        <v>2024</v>
      </c>
      <c r="M12" s="7569">
        <v>2025</v>
      </c>
      <c r="N12" s="7569">
        <v>2026</v>
      </c>
      <c r="O12" s="7569">
        <v>2027</v>
      </c>
      <c r="P12" s="7569">
        <v>2028</v>
      </c>
      <c r="Q12" s="7568"/>
      <c r="R12" s="2148"/>
    </row>
    <row customHeight="1" ht="10.5" hidden="1">
      <c r="F13" s="2140">
        <v>1</v>
      </c>
      <c r="G13" s="2140">
        <v>2</v>
      </c>
      <c r="H13" s="2140">
        <v>3</v>
      </c>
      <c r="I13" s="2140">
        <v>4</v>
      </c>
      <c r="J13" s="2140">
        <v>5</v>
      </c>
      <c r="K13" s="7568">
        <v>3</v>
      </c>
      <c r="L13" s="7568">
        <v>4</v>
      </c>
      <c r="M13" s="7568">
        <v>4</v>
      </c>
      <c r="N13" s="7568">
        <v>4</v>
      </c>
      <c r="O13" s="7568">
        <v>4</v>
      </c>
      <c r="P13" s="7568">
        <v>4</v>
      </c>
      <c r="Q13" s="7568">
        <v>5</v>
      </c>
      <c r="R13" s="2148"/>
    </row>
    <row customHeight="1" ht="11.25">
      <c r="F14" s="2139" t="s">
        <v>991</v>
      </c>
      <c r="G14" s="3234" t="s">
        <v>992</v>
      </c>
      <c r="H14" s="3234"/>
      <c r="I14" s="3234"/>
      <c r="J14" s="3234"/>
      <c r="K14" s="7573"/>
      <c r="L14" s="7573"/>
      <c r="M14" s="7573"/>
      <c r="N14" s="7573"/>
      <c r="O14" s="7573"/>
      <c r="P14" s="7573"/>
      <c r="Q14" s="7573"/>
      <c r="R14" s="2148"/>
    </row>
    <row customHeight="1" ht="11.25">
      <c r="F15" s="2144">
        <v>1</v>
      </c>
      <c r="G15" s="1602" t="s">
        <v>993</v>
      </c>
      <c r="H15" s="2150">
        <f>SUM(I15:J15)</f>
        <v>0</v>
      </c>
      <c r="I15" s="2150">
        <f>SUM(I16:I27)</f>
        <v>0</v>
      </c>
      <c r="J15" s="2139"/>
      <c r="K15" s="7576">
        <f>SUM(L15:Q15)</f>
        <v>0</v>
      </c>
      <c r="L15" s="7576">
        <f>SUM(L16:L27)</f>
        <v>0</v>
      </c>
      <c r="M15" s="7576">
        <f>SUM(M16:M27)</f>
        <v>0</v>
      </c>
      <c r="N15" s="7576">
        <f>SUM(N16:N27)</f>
        <v>0</v>
      </c>
      <c r="O15" s="7576">
        <f>SUM(O16:O27)</f>
        <v>0</v>
      </c>
      <c r="P15" s="7576">
        <f>SUM(P16:P27)</f>
        <v>0</v>
      </c>
      <c r="Q15" s="7560"/>
      <c r="R15" s="2148"/>
    </row>
    <row customHeight="1" ht="22.5">
      <c r="F16" s="2144" t="s">
        <v>994</v>
      </c>
      <c r="G16" s="2151" t="s">
        <v>995</v>
      </c>
      <c r="H16" s="2150">
        <f>SUM(I16:J16)</f>
        <v>0</v>
      </c>
      <c r="I16" s="2149"/>
      <c r="J16" s="2139"/>
      <c r="K16" s="7576">
        <f>SUM(L16:Q16)</f>
        <v>0</v>
      </c>
      <c r="L16" s="7579"/>
      <c r="M16" s="7579"/>
      <c r="N16" s="7579"/>
      <c r="O16" s="7579"/>
      <c r="P16" s="7579"/>
      <c r="Q16" s="7560"/>
      <c r="R16" s="2148"/>
    </row>
    <row customHeight="1" ht="22.5">
      <c r="F17" s="2144" t="s">
        <v>996</v>
      </c>
      <c r="G17" s="2151" t="s">
        <v>997</v>
      </c>
      <c r="H17" s="2150">
        <f>SUM(I17:J17)</f>
        <v>0</v>
      </c>
      <c r="I17" s="2149"/>
      <c r="J17" s="2139"/>
      <c r="K17" s="7576">
        <f>SUM(L17:Q17)</f>
        <v>0</v>
      </c>
      <c r="L17" s="7579"/>
      <c r="M17" s="7579"/>
      <c r="N17" s="7579"/>
      <c r="O17" s="7579"/>
      <c r="P17" s="7579"/>
      <c r="Q17" s="7560"/>
      <c r="R17" s="2148"/>
    </row>
    <row customHeight="1" ht="33.75">
      <c r="F18" s="2144" t="s">
        <v>998</v>
      </c>
      <c r="G18" s="2151" t="s">
        <v>999</v>
      </c>
      <c r="H18" s="2150">
        <f>SUM(I18:J18)</f>
        <v>0</v>
      </c>
      <c r="I18" s="2149"/>
      <c r="J18" s="2139"/>
      <c r="K18" s="7576">
        <f>SUM(L18:Q18)</f>
        <v>0</v>
      </c>
      <c r="L18" s="7579"/>
      <c r="M18" s="7579"/>
      <c r="N18" s="7579"/>
      <c r="O18" s="7579"/>
      <c r="P18" s="7579"/>
      <c r="Q18" s="7560"/>
      <c r="R18" s="2148"/>
    </row>
    <row customHeight="1" ht="33.75">
      <c r="F19" s="2144" t="s">
        <v>1000</v>
      </c>
      <c r="G19" s="2151" t="s">
        <v>1001</v>
      </c>
      <c r="H19" s="2150">
        <f>SUM(I19:J19)</f>
        <v>0</v>
      </c>
      <c r="I19" s="2149"/>
      <c r="J19" s="2139"/>
      <c r="K19" s="7576">
        <f>SUM(L19:Q19)</f>
        <v>0</v>
      </c>
      <c r="L19" s="7579"/>
      <c r="M19" s="7579"/>
      <c r="N19" s="7579"/>
      <c r="O19" s="7579"/>
      <c r="P19" s="7579"/>
      <c r="Q19" s="7560"/>
      <c r="R19" s="2148"/>
    </row>
    <row customHeight="1" ht="45">
      <c r="F20" s="2144" t="s">
        <v>1002</v>
      </c>
      <c r="G20" s="2151" t="s">
        <v>1003</v>
      </c>
      <c r="H20" s="2150">
        <f>SUM(I20:J20)</f>
        <v>0</v>
      </c>
      <c r="I20" s="2149"/>
      <c r="J20" s="2139"/>
      <c r="K20" s="7576">
        <f>SUM(L20:Q20)</f>
        <v>0</v>
      </c>
      <c r="L20" s="7579"/>
      <c r="M20" s="7579"/>
      <c r="N20" s="7579"/>
      <c r="O20" s="7579"/>
      <c r="P20" s="7579"/>
      <c r="Q20" s="7560"/>
      <c r="R20" s="2148"/>
    </row>
    <row customHeight="1" ht="33.75">
      <c r="F21" s="2144" t="s">
        <v>1004</v>
      </c>
      <c r="G21" s="2151" t="s">
        <v>1005</v>
      </c>
      <c r="H21" s="2150">
        <f>SUM(I21:J21)</f>
        <v>0</v>
      </c>
      <c r="I21" s="2149"/>
      <c r="J21" s="2139"/>
      <c r="K21" s="7576">
        <f>SUM(L21:Q21)</f>
        <v>0</v>
      </c>
      <c r="L21" s="7579"/>
      <c r="M21" s="7579"/>
      <c r="N21" s="7579"/>
      <c r="O21" s="7579"/>
      <c r="P21" s="7579"/>
      <c r="Q21" s="7560"/>
      <c r="R21" s="2148"/>
    </row>
    <row customHeight="1" ht="33.75">
      <c r="F22" s="2144" t="s">
        <v>1006</v>
      </c>
      <c r="G22" s="2151" t="s">
        <v>1007</v>
      </c>
      <c r="H22" s="2150">
        <f>SUM(I22:J22)</f>
        <v>0</v>
      </c>
      <c r="I22" s="2149"/>
      <c r="J22" s="2139"/>
      <c r="K22" s="7576">
        <f>SUM(L22:Q22)</f>
        <v>0</v>
      </c>
      <c r="L22" s="7579"/>
      <c r="M22" s="7579"/>
      <c r="N22" s="7579"/>
      <c r="O22" s="7579"/>
      <c r="P22" s="7579"/>
      <c r="Q22" s="7560"/>
      <c r="R22" s="2148"/>
    </row>
    <row customHeight="1" ht="22.5">
      <c r="F23" s="2144" t="s">
        <v>1008</v>
      </c>
      <c r="G23" s="2151" t="s">
        <v>1009</v>
      </c>
      <c r="H23" s="2150">
        <f>SUM(I23:J23)</f>
        <v>0</v>
      </c>
      <c r="I23" s="2149"/>
      <c r="J23" s="2139"/>
      <c r="K23" s="7576">
        <f>SUM(L23:Q23)</f>
        <v>0</v>
      </c>
      <c r="L23" s="7579"/>
      <c r="M23" s="7579"/>
      <c r="N23" s="7579"/>
      <c r="O23" s="7579"/>
      <c r="P23" s="7579"/>
      <c r="Q23" s="7560"/>
      <c r="R23" s="2148"/>
    </row>
    <row customHeight="1" ht="22.5">
      <c r="F24" s="2144" t="s">
        <v>1010</v>
      </c>
      <c r="G24" s="2151" t="s">
        <v>1011</v>
      </c>
      <c r="H24" s="2150">
        <f>SUM(I24:J24)</f>
        <v>0</v>
      </c>
      <c r="I24" s="2149"/>
      <c r="J24" s="2139"/>
      <c r="K24" s="7576">
        <f>SUM(L24:Q24)</f>
        <v>0</v>
      </c>
      <c r="L24" s="7579"/>
      <c r="M24" s="7579"/>
      <c r="N24" s="7579"/>
      <c r="O24" s="7579"/>
      <c r="P24" s="7579"/>
      <c r="Q24" s="7560"/>
      <c r="R24" s="2148"/>
    </row>
    <row customHeight="1" ht="33.75">
      <c r="F25" s="2144" t="s">
        <v>1012</v>
      </c>
      <c r="G25" s="2151" t="s">
        <v>1013</v>
      </c>
      <c r="H25" s="2150">
        <f>SUM(I25:J25)</f>
        <v>0</v>
      </c>
      <c r="I25" s="2149"/>
      <c r="J25" s="2139"/>
      <c r="K25" s="7576">
        <f>SUM(L25:Q25)</f>
        <v>0</v>
      </c>
      <c r="L25" s="7579"/>
      <c r="M25" s="7579"/>
      <c r="N25" s="7579"/>
      <c r="O25" s="7579"/>
      <c r="P25" s="7579"/>
      <c r="Q25" s="7560"/>
      <c r="R25" s="2148"/>
    </row>
    <row customHeight="1" ht="33.75">
      <c r="F26" s="2144" t="s">
        <v>1014</v>
      </c>
      <c r="G26" s="2151" t="s">
        <v>1015</v>
      </c>
      <c r="H26" s="2150">
        <f>SUM(I26:J26)</f>
        <v>0</v>
      </c>
      <c r="I26" s="2149"/>
      <c r="J26" s="2139"/>
      <c r="K26" s="7576">
        <f>SUM(L26:Q26)</f>
        <v>0</v>
      </c>
      <c r="L26" s="7579"/>
      <c r="M26" s="7579"/>
      <c r="N26" s="7579"/>
      <c r="O26" s="7579"/>
      <c r="P26" s="7579"/>
      <c r="Q26" s="7560"/>
      <c r="R26" s="2148"/>
    </row>
    <row customHeight="1" ht="11.25">
      <c r="F27" s="2144" t="s">
        <v>1016</v>
      </c>
      <c r="G27" s="2151" t="s">
        <v>1017</v>
      </c>
      <c r="H27" s="2150">
        <f>SUM(I27:J27)</f>
        <v>0</v>
      </c>
      <c r="I27" s="2149"/>
      <c r="J27" s="2139"/>
      <c r="K27" s="7576">
        <f>SUM(L27:Q27)</f>
        <v>0</v>
      </c>
      <c r="L27" s="7579"/>
      <c r="M27" s="7579"/>
      <c r="N27" s="7579"/>
      <c r="O27" s="7579"/>
      <c r="P27" s="7579"/>
      <c r="Q27" s="7560"/>
      <c r="R27" s="2148"/>
    </row>
    <row customHeight="1" ht="11.25">
      <c r="F28" s="2144">
        <v>2</v>
      </c>
      <c r="G28" s="1602" t="s">
        <v>1018</v>
      </c>
      <c r="H28" s="2150">
        <f>SUM(I28:J28)</f>
        <v>0</v>
      </c>
      <c r="I28" s="2150">
        <f>SUM(I29:I31)</f>
        <v>0</v>
      </c>
      <c r="J28" s="2139"/>
      <c r="K28" s="7576">
        <f>SUM(L28:Q28)</f>
        <v>0</v>
      </c>
      <c r="L28" s="7576">
        <f>SUM(L29:L31)</f>
        <v>0</v>
      </c>
      <c r="M28" s="7576">
        <f>SUM(M29:M31)</f>
        <v>0</v>
      </c>
      <c r="N28" s="7576">
        <f>SUM(N29:N31)</f>
        <v>0</v>
      </c>
      <c r="O28" s="7576">
        <f>SUM(O29:O31)</f>
        <v>0</v>
      </c>
      <c r="P28" s="7576">
        <f>SUM(P29:P31)</f>
        <v>0</v>
      </c>
      <c r="Q28" s="7560"/>
      <c r="R28" s="2148"/>
    </row>
    <row customHeight="1" ht="11.25">
      <c r="F29" s="2144" t="s">
        <v>614</v>
      </c>
      <c r="G29" s="2151" t="s">
        <v>1019</v>
      </c>
      <c r="H29" s="2150">
        <f>SUM(I29:J29)</f>
        <v>0</v>
      </c>
      <c r="I29" s="2149"/>
      <c r="J29" s="2139"/>
      <c r="K29" s="7576">
        <f>SUM(L29:Q29)</f>
        <v>0</v>
      </c>
      <c r="L29" s="7579"/>
      <c r="M29" s="7579"/>
      <c r="N29" s="7579"/>
      <c r="O29" s="7579"/>
      <c r="P29" s="7579"/>
      <c r="Q29" s="7560"/>
      <c r="R29" s="2148"/>
    </row>
    <row customHeight="1" ht="11.25">
      <c r="F30" s="2144" t="s">
        <v>298</v>
      </c>
      <c r="G30" s="2151" t="s">
        <v>1020</v>
      </c>
      <c r="H30" s="2150">
        <f>SUM(I30:J30)</f>
        <v>0</v>
      </c>
      <c r="I30" s="2149"/>
      <c r="J30" s="2139"/>
      <c r="K30" s="7576">
        <f>SUM(L30:Q30)</f>
        <v>0</v>
      </c>
      <c r="L30" s="7579"/>
      <c r="M30" s="7579"/>
      <c r="N30" s="7579"/>
      <c r="O30" s="7579"/>
      <c r="P30" s="7579"/>
      <c r="Q30" s="7560"/>
      <c r="R30" s="2148"/>
    </row>
    <row customHeight="1" ht="11.25">
      <c r="F31" s="2144" t="s">
        <v>301</v>
      </c>
      <c r="G31" s="2151" t="s">
        <v>1021</v>
      </c>
      <c r="H31" s="2150">
        <f>SUM(I31:J31)</f>
        <v>0</v>
      </c>
      <c r="I31" s="2149"/>
      <c r="J31" s="2139"/>
      <c r="K31" s="7576">
        <f>SUM(L31:Q31)</f>
        <v>0</v>
      </c>
      <c r="L31" s="7579"/>
      <c r="M31" s="7579"/>
      <c r="N31" s="7579"/>
      <c r="O31" s="7579"/>
      <c r="P31" s="7579"/>
      <c r="Q31" s="7560"/>
      <c r="R31" s="2148"/>
    </row>
    <row customHeight="1" ht="11.25">
      <c r="F32" s="2144">
        <v>3</v>
      </c>
      <c r="G32" s="1602" t="s">
        <v>1022</v>
      </c>
      <c r="H32" s="2150">
        <f>SUM(I32:J32)</f>
        <v>0</v>
      </c>
      <c r="I32" s="2150">
        <f>SUM(I33:I34)</f>
        <v>0</v>
      </c>
      <c r="J32" s="2139"/>
      <c r="K32" s="7576">
        <f>SUM(L32:Q32)</f>
        <v>0</v>
      </c>
      <c r="L32" s="7576">
        <f>SUM(L33:L34)</f>
        <v>0</v>
      </c>
      <c r="M32" s="7576">
        <f>SUM(M33:M34)</f>
        <v>0</v>
      </c>
      <c r="N32" s="7576">
        <f>SUM(N33:N34)</f>
        <v>0</v>
      </c>
      <c r="O32" s="7576">
        <f>SUM(O33:O34)</f>
        <v>0</v>
      </c>
      <c r="P32" s="7576">
        <f>SUM(P33:P34)</f>
        <v>0</v>
      </c>
      <c r="Q32" s="7560"/>
      <c r="R32" s="2148"/>
    </row>
    <row customHeight="1" ht="33.75">
      <c r="F33" s="2144" t="s">
        <v>315</v>
      </c>
      <c r="G33" s="2151" t="s">
        <v>1023</v>
      </c>
      <c r="H33" s="2150">
        <f>SUM(I33:J33)</f>
        <v>0</v>
      </c>
      <c r="I33" s="2149"/>
      <c r="J33" s="2139"/>
      <c r="K33" s="7576">
        <f>SUM(L33:Q33)</f>
        <v>0</v>
      </c>
      <c r="L33" s="7579"/>
      <c r="M33" s="7579"/>
      <c r="N33" s="7579"/>
      <c r="O33" s="7579"/>
      <c r="P33" s="7579"/>
      <c r="Q33" s="7560"/>
      <c r="R33" s="2148"/>
    </row>
    <row customHeight="1" ht="11.25">
      <c r="F34" s="2144" t="s">
        <v>323</v>
      </c>
      <c r="G34" s="2151" t="s">
        <v>1024</v>
      </c>
      <c r="H34" s="2150">
        <f>SUM(I34:J34)</f>
        <v>0</v>
      </c>
      <c r="I34" s="2149"/>
      <c r="J34" s="2139"/>
      <c r="K34" s="7576">
        <f>SUM(L34:Q34)</f>
        <v>0</v>
      </c>
      <c r="L34" s="7579"/>
      <c r="M34" s="7579"/>
      <c r="N34" s="7579"/>
      <c r="O34" s="7579"/>
      <c r="P34" s="7579"/>
      <c r="Q34" s="7560"/>
      <c r="R34" s="2148"/>
    </row>
    <row customHeight="1" ht="11.25">
      <c r="F35" s="2144">
        <v>4</v>
      </c>
      <c r="G35" s="1602" t="s">
        <v>1025</v>
      </c>
      <c r="H35" s="2150">
        <f>SUM(I35:J35)</f>
        <v>0</v>
      </c>
      <c r="I35" s="2149"/>
      <c r="J35" s="2139"/>
      <c r="K35" s="7576">
        <f>SUM(L35:Q35)</f>
        <v>0</v>
      </c>
      <c r="L35" s="7579"/>
      <c r="M35" s="7579"/>
      <c r="N35" s="7579"/>
      <c r="O35" s="7579"/>
      <c r="P35" s="7579"/>
      <c r="Q35" s="7560"/>
      <c r="R35" s="2148"/>
    </row>
    <row customHeight="1" ht="11.25">
      <c r="F36" s="2144"/>
      <c r="G36" s="1605" t="s">
        <v>1026</v>
      </c>
      <c r="H36" s="2150">
        <f>SUM(I36:J36)</f>
        <v>0</v>
      </c>
      <c r="I36" s="2150">
        <f>SUM(I15,I28,I32,I35)</f>
        <v>0</v>
      </c>
      <c r="J36" s="2139"/>
      <c r="K36" s="7576">
        <f>SUM(L36:Q36)</f>
        <v>0</v>
      </c>
      <c r="L36" s="7576">
        <f>SUM(L15,L28,L32,L35)</f>
        <v>0</v>
      </c>
      <c r="M36" s="7576">
        <f>SUM(M15,M28,M32,M35)</f>
        <v>0</v>
      </c>
      <c r="N36" s="7576">
        <f>SUM(N15,N28,N32,N35)</f>
        <v>0</v>
      </c>
      <c r="O36" s="7576">
        <f>SUM(O15,O28,O32,O35)</f>
        <v>0</v>
      </c>
      <c r="P36" s="7576">
        <f>SUM(P15,P28,P32,P35)</f>
        <v>0</v>
      </c>
      <c r="Q36" s="7560"/>
      <c r="R36" s="2148"/>
    </row>
    <row customHeight="1" ht="27.75">
      <c r="F37" s="2145" t="s">
        <v>1027</v>
      </c>
      <c r="G37" s="3235" t="s">
        <v>1028</v>
      </c>
      <c r="H37" s="3235"/>
      <c r="I37" s="3235"/>
      <c r="J37" s="3235"/>
      <c r="K37" s="7582"/>
      <c r="L37" s="7582"/>
      <c r="M37" s="7582"/>
      <c r="N37" s="7582"/>
      <c r="O37" s="7582"/>
      <c r="P37" s="7582"/>
      <c r="Q37" s="7582"/>
      <c r="R37" s="2148"/>
    </row>
    <row customHeight="1" ht="22.5">
      <c r="F38" s="2144" t="s">
        <v>102</v>
      </c>
      <c r="G38" s="1602" t="s">
        <v>1029</v>
      </c>
      <c r="H38" s="2150">
        <f>SUM(I38:J38)</f>
        <v>0</v>
      </c>
      <c r="I38" s="2150">
        <f>SUM(I39,I44,I47)</f>
        <v>0</v>
      </c>
      <c r="J38" s="2139"/>
      <c r="K38" s="7576">
        <f>SUM(L38:Q38)</f>
        <v>0</v>
      </c>
      <c r="L38" s="7576">
        <f>SUM(L39,L44,L47)</f>
        <v>0</v>
      </c>
      <c r="M38" s="7576">
        <f>SUM(M39,M44,M47)</f>
        <v>0</v>
      </c>
      <c r="N38" s="7576">
        <f>SUM(N39,N44,N47)</f>
        <v>0</v>
      </c>
      <c r="O38" s="7576">
        <f>SUM(O39,O44,O47)</f>
        <v>0</v>
      </c>
      <c r="P38" s="7576">
        <f>SUM(P39,P44,P47)</f>
        <v>0</v>
      </c>
      <c r="Q38" s="7560"/>
      <c r="R38" s="2148"/>
    </row>
    <row customHeight="1" ht="11.25">
      <c r="F39" s="2144" t="s">
        <v>994</v>
      </c>
      <c r="G39" s="2151" t="s">
        <v>993</v>
      </c>
      <c r="H39" s="2150">
        <f>SUM(I39:J39)</f>
        <v>0</v>
      </c>
      <c r="I39" s="2150">
        <f>SUM(I40:I43)</f>
        <v>0</v>
      </c>
      <c r="J39" s="2139"/>
      <c r="K39" s="7576">
        <f>SUM(L39:Q39)</f>
        <v>0</v>
      </c>
      <c r="L39" s="7576">
        <f>SUM(L40:L43)</f>
        <v>0</v>
      </c>
      <c r="M39" s="7576">
        <f>SUM(M40:M43)</f>
        <v>0</v>
      </c>
      <c r="N39" s="7576">
        <f>SUM(N40:N43)</f>
        <v>0</v>
      </c>
      <c r="O39" s="7576">
        <f>SUM(O40:O43)</f>
        <v>0</v>
      </c>
      <c r="P39" s="7576">
        <f>SUM(P40:P43)</f>
        <v>0</v>
      </c>
      <c r="Q39" s="7560"/>
      <c r="R39" s="2148"/>
    </row>
    <row customHeight="1" ht="22.5">
      <c r="F40" s="2144" t="s">
        <v>1030</v>
      </c>
      <c r="G40" s="2152" t="s">
        <v>1031</v>
      </c>
      <c r="H40" s="2150">
        <f>SUM(I40:J40)</f>
        <v>0</v>
      </c>
      <c r="I40" s="2149"/>
      <c r="J40" s="2139"/>
      <c r="K40" s="7576">
        <f>SUM(L40:Q40)</f>
        <v>0</v>
      </c>
      <c r="L40" s="7579"/>
      <c r="M40" s="7579"/>
      <c r="N40" s="7579"/>
      <c r="O40" s="7579"/>
      <c r="P40" s="7579"/>
      <c r="Q40" s="7560"/>
      <c r="R40" s="2148"/>
    </row>
    <row customHeight="1" ht="11.25">
      <c r="F41" s="2144" t="s">
        <v>1032</v>
      </c>
      <c r="G41" s="2152" t="s">
        <v>1033</v>
      </c>
      <c r="H41" s="2150">
        <f>SUM(I41:J41)</f>
        <v>0</v>
      </c>
      <c r="I41" s="2149"/>
      <c r="J41" s="2139"/>
      <c r="K41" s="7576">
        <f>SUM(L41:Q41)</f>
        <v>0</v>
      </c>
      <c r="L41" s="7579"/>
      <c r="M41" s="7579"/>
      <c r="N41" s="7579"/>
      <c r="O41" s="7579"/>
      <c r="P41" s="7579"/>
      <c r="Q41" s="7560"/>
      <c r="R41" s="2148"/>
    </row>
    <row customHeight="1" ht="11.25">
      <c r="F42" s="2144" t="s">
        <v>1034</v>
      </c>
      <c r="G42" s="2152" t="s">
        <v>1035</v>
      </c>
      <c r="H42" s="2150">
        <f>SUM(I42:J42)</f>
        <v>0</v>
      </c>
      <c r="I42" s="2149"/>
      <c r="J42" s="2139"/>
      <c r="K42" s="7576">
        <f>SUM(L42:Q42)</f>
        <v>0</v>
      </c>
      <c r="L42" s="7579"/>
      <c r="M42" s="7579"/>
      <c r="N42" s="7579"/>
      <c r="O42" s="7579"/>
      <c r="P42" s="7579"/>
      <c r="Q42" s="7560"/>
      <c r="R42" s="2148"/>
    </row>
    <row customHeight="1" ht="33.75">
      <c r="F43" s="2144" t="s">
        <v>1036</v>
      </c>
      <c r="G43" s="2152" t="s">
        <v>1037</v>
      </c>
      <c r="H43" s="2150">
        <f>SUM(I43:J43)</f>
        <v>0</v>
      </c>
      <c r="I43" s="2149"/>
      <c r="J43" s="2139"/>
      <c r="K43" s="7576">
        <f>SUM(L43:Q43)</f>
        <v>0</v>
      </c>
      <c r="L43" s="7579"/>
      <c r="M43" s="7579"/>
      <c r="N43" s="7579"/>
      <c r="O43" s="7579"/>
      <c r="P43" s="7579"/>
      <c r="Q43" s="7560"/>
      <c r="R43" s="2148"/>
    </row>
    <row customHeight="1" ht="11.25">
      <c r="F44" s="2144" t="s">
        <v>996</v>
      </c>
      <c r="G44" s="2151" t="s">
        <v>1022</v>
      </c>
      <c r="H44" s="2150">
        <f>SUM(I44:J44)</f>
        <v>0</v>
      </c>
      <c r="I44" s="2150">
        <f>SUM(I45:I46)</f>
        <v>0</v>
      </c>
      <c r="J44" s="2139"/>
      <c r="K44" s="7576">
        <f>SUM(L44:Q44)</f>
        <v>0</v>
      </c>
      <c r="L44" s="7576">
        <f>SUM(L45:L46)</f>
        <v>0</v>
      </c>
      <c r="M44" s="7576">
        <f>SUM(M45:M46)</f>
        <v>0</v>
      </c>
      <c r="N44" s="7576">
        <f>SUM(N45:N46)</f>
        <v>0</v>
      </c>
      <c r="O44" s="7576">
        <f>SUM(O45:O46)</f>
        <v>0</v>
      </c>
      <c r="P44" s="7576">
        <f>SUM(P45:P46)</f>
        <v>0</v>
      </c>
      <c r="Q44" s="7560"/>
      <c r="R44" s="2148"/>
    </row>
    <row customHeight="1" ht="45">
      <c r="F45" s="2144" t="s">
        <v>1038</v>
      </c>
      <c r="G45" s="2152" t="s">
        <v>1023</v>
      </c>
      <c r="H45" s="2150">
        <f>SUM(I45:J45)</f>
        <v>0</v>
      </c>
      <c r="I45" s="2149"/>
      <c r="J45" s="2139"/>
      <c r="K45" s="7576">
        <f>SUM(L45:Q45)</f>
        <v>0</v>
      </c>
      <c r="L45" s="7579"/>
      <c r="M45" s="7579"/>
      <c r="N45" s="7579"/>
      <c r="O45" s="7579"/>
      <c r="P45" s="7579"/>
      <c r="Q45" s="7560"/>
      <c r="R45" s="2148"/>
    </row>
    <row customHeight="1" ht="11.25">
      <c r="F46" s="2144" t="s">
        <v>1039</v>
      </c>
      <c r="G46" s="2152" t="s">
        <v>1024</v>
      </c>
      <c r="H46" s="2150">
        <f>SUM(I46:J46)</f>
        <v>0</v>
      </c>
      <c r="I46" s="2149"/>
      <c r="J46" s="2139"/>
      <c r="K46" s="7576">
        <f>SUM(L46:Q46)</f>
        <v>0</v>
      </c>
      <c r="L46" s="7579"/>
      <c r="M46" s="7579"/>
      <c r="N46" s="7579"/>
      <c r="O46" s="7579"/>
      <c r="P46" s="7579"/>
      <c r="Q46" s="7560"/>
      <c r="R46" s="2148"/>
    </row>
    <row customHeight="1" ht="11.25">
      <c r="F47" s="2144" t="s">
        <v>998</v>
      </c>
      <c r="G47" s="2151" t="s">
        <v>1040</v>
      </c>
      <c r="H47" s="2150">
        <f>SUM(I47:J47)</f>
        <v>0</v>
      </c>
      <c r="I47" s="2149"/>
      <c r="J47" s="2139"/>
      <c r="K47" s="7576">
        <f>SUM(L47:Q47)</f>
        <v>0</v>
      </c>
      <c r="L47" s="7579"/>
      <c r="M47" s="7579"/>
      <c r="N47" s="7579"/>
      <c r="O47" s="7579"/>
      <c r="P47" s="7579"/>
      <c r="Q47" s="7560"/>
      <c r="R47" s="2148"/>
    </row>
    <row customHeight="1" ht="22.5">
      <c r="F48" s="2144" t="s">
        <v>103</v>
      </c>
      <c r="G48" s="1602" t="s">
        <v>1041</v>
      </c>
      <c r="H48" s="2150">
        <f>SUM(I48:J48)</f>
        <v>0</v>
      </c>
      <c r="I48" s="2150">
        <f>SUM(I49,I54,I57)</f>
        <v>0</v>
      </c>
      <c r="J48" s="2139"/>
      <c r="K48" s="7576">
        <f>SUM(L48:Q48)</f>
        <v>0</v>
      </c>
      <c r="L48" s="7576">
        <f>SUM(L49,L54,L57)</f>
        <v>0</v>
      </c>
      <c r="M48" s="7576">
        <f>SUM(M49,M54,M57)</f>
        <v>0</v>
      </c>
      <c r="N48" s="7576">
        <f>SUM(N49,N54,N57)</f>
        <v>0</v>
      </c>
      <c r="O48" s="7576">
        <f>SUM(O49,O54,O57)</f>
        <v>0</v>
      </c>
      <c r="P48" s="7576">
        <f>SUM(P49,P54,P57)</f>
        <v>0</v>
      </c>
      <c r="Q48" s="7560"/>
      <c r="R48" s="2148"/>
    </row>
    <row customHeight="1" ht="11.25">
      <c r="F49" s="2144" t="s">
        <v>614</v>
      </c>
      <c r="G49" s="2151" t="s">
        <v>993</v>
      </c>
      <c r="H49" s="2150">
        <f>SUM(I49:J49)</f>
        <v>0</v>
      </c>
      <c r="I49" s="2150">
        <f>SUM(I50:I53)</f>
        <v>0</v>
      </c>
      <c r="J49" s="2139"/>
      <c r="K49" s="7576">
        <f>SUM(L49:Q49)</f>
        <v>0</v>
      </c>
      <c r="L49" s="7576">
        <f>SUM(L50:L53)</f>
        <v>0</v>
      </c>
      <c r="M49" s="7576">
        <f>SUM(M50:M53)</f>
        <v>0</v>
      </c>
      <c r="N49" s="7576">
        <f>SUM(N50:N53)</f>
        <v>0</v>
      </c>
      <c r="O49" s="7576">
        <f>SUM(O50:O53)</f>
        <v>0</v>
      </c>
      <c r="P49" s="7576">
        <f>SUM(P50:P53)</f>
        <v>0</v>
      </c>
      <c r="Q49" s="7560"/>
      <c r="R49" s="2148"/>
    </row>
    <row customHeight="1" ht="22.5">
      <c r="F50" s="2144" t="s">
        <v>617</v>
      </c>
      <c r="G50" s="2152" t="s">
        <v>1031</v>
      </c>
      <c r="H50" s="2150">
        <f>SUM(I50:J50)</f>
        <v>0</v>
      </c>
      <c r="I50" s="2149"/>
      <c r="J50" s="2139"/>
      <c r="K50" s="7576">
        <f>SUM(L50:Q50)</f>
        <v>0</v>
      </c>
      <c r="L50" s="7579"/>
      <c r="M50" s="7579"/>
      <c r="N50" s="7579"/>
      <c r="O50" s="7579"/>
      <c r="P50" s="7579"/>
      <c r="Q50" s="7560"/>
      <c r="R50" s="2148"/>
    </row>
    <row customHeight="1" ht="11.25">
      <c r="F51" s="2144" t="s">
        <v>620</v>
      </c>
      <c r="G51" s="2152" t="s">
        <v>1033</v>
      </c>
      <c r="H51" s="2150">
        <f>SUM(I51:J51)</f>
        <v>0</v>
      </c>
      <c r="I51" s="2149"/>
      <c r="J51" s="2139"/>
      <c r="K51" s="7576">
        <f>SUM(L51:Q51)</f>
        <v>0</v>
      </c>
      <c r="L51" s="7579"/>
      <c r="M51" s="7579"/>
      <c r="N51" s="7579"/>
      <c r="O51" s="7579"/>
      <c r="P51" s="7579"/>
      <c r="Q51" s="7560"/>
      <c r="R51" s="2148"/>
    </row>
    <row customHeight="1" ht="11.25">
      <c r="F52" s="2144" t="s">
        <v>1042</v>
      </c>
      <c r="G52" s="2152" t="s">
        <v>1035</v>
      </c>
      <c r="H52" s="2150">
        <f>SUM(I52:J52)</f>
        <v>0</v>
      </c>
      <c r="I52" s="2149"/>
      <c r="J52" s="2139"/>
      <c r="K52" s="7576">
        <f>SUM(L52:Q52)</f>
        <v>0</v>
      </c>
      <c r="L52" s="7579"/>
      <c r="M52" s="7579"/>
      <c r="N52" s="7579"/>
      <c r="O52" s="7579"/>
      <c r="P52" s="7579"/>
      <c r="Q52" s="7560"/>
      <c r="R52" s="2148"/>
    </row>
    <row customHeight="1" ht="33.75">
      <c r="F53" s="2144" t="s">
        <v>1043</v>
      </c>
      <c r="G53" s="2152" t="s">
        <v>1037</v>
      </c>
      <c r="H53" s="2150">
        <f>SUM(I53:J53)</f>
        <v>0</v>
      </c>
      <c r="I53" s="2149"/>
      <c r="J53" s="2139"/>
      <c r="K53" s="7576">
        <f>SUM(L53:Q53)</f>
        <v>0</v>
      </c>
      <c r="L53" s="7579"/>
      <c r="M53" s="7579"/>
      <c r="N53" s="7579"/>
      <c r="O53" s="7579"/>
      <c r="P53" s="7579"/>
      <c r="Q53" s="7560"/>
      <c r="R53" s="2148"/>
    </row>
    <row customHeight="1" ht="11.25">
      <c r="F54" s="2144" t="s">
        <v>298</v>
      </c>
      <c r="G54" s="2151" t="s">
        <v>1022</v>
      </c>
      <c r="H54" s="2150">
        <f>SUM(I54:J54)</f>
        <v>0</v>
      </c>
      <c r="I54" s="2150">
        <f>SUM(I55:I56)</f>
        <v>0</v>
      </c>
      <c r="J54" s="2139"/>
      <c r="K54" s="7576">
        <f>SUM(L54:Q54)</f>
        <v>0</v>
      </c>
      <c r="L54" s="7576">
        <f>SUM(L55:L56)</f>
        <v>0</v>
      </c>
      <c r="M54" s="7576">
        <f>SUM(M55:M56)</f>
        <v>0</v>
      </c>
      <c r="N54" s="7576">
        <f>SUM(N55:N56)</f>
        <v>0</v>
      </c>
      <c r="O54" s="7576">
        <f>SUM(O55:O56)</f>
        <v>0</v>
      </c>
      <c r="P54" s="7576">
        <f>SUM(P55:P56)</f>
        <v>0</v>
      </c>
      <c r="Q54" s="7560"/>
      <c r="R54" s="2148"/>
    </row>
    <row customHeight="1" ht="45">
      <c r="F55" s="2144" t="s">
        <v>624</v>
      </c>
      <c r="G55" s="2152" t="s">
        <v>1023</v>
      </c>
      <c r="H55" s="2150">
        <f>SUM(I55:J55)</f>
        <v>0</v>
      </c>
      <c r="I55" s="2149"/>
      <c r="J55" s="2139"/>
      <c r="K55" s="7576">
        <f>SUM(L55:Q55)</f>
        <v>0</v>
      </c>
      <c r="L55" s="7579"/>
      <c r="M55" s="7579"/>
      <c r="N55" s="7579"/>
      <c r="O55" s="7579"/>
      <c r="P55" s="7579"/>
      <c r="Q55" s="7560"/>
      <c r="R55" s="2148"/>
    </row>
    <row customHeight="1" ht="11.25">
      <c r="F56" s="2144" t="s">
        <v>626</v>
      </c>
      <c r="G56" s="2152" t="s">
        <v>1024</v>
      </c>
      <c r="H56" s="2150">
        <f>SUM(I56:J56)</f>
        <v>0</v>
      </c>
      <c r="I56" s="2149"/>
      <c r="J56" s="2139"/>
      <c r="K56" s="7576">
        <f>SUM(L56:Q56)</f>
        <v>0</v>
      </c>
      <c r="L56" s="7579"/>
      <c r="M56" s="7579"/>
      <c r="N56" s="7579"/>
      <c r="O56" s="7579"/>
      <c r="P56" s="7579"/>
      <c r="Q56" s="7560"/>
      <c r="R56" s="2148"/>
    </row>
    <row customHeight="1" ht="11.25">
      <c r="F57" s="2144" t="s">
        <v>301</v>
      </c>
      <c r="G57" s="2151" t="s">
        <v>1040</v>
      </c>
      <c r="H57" s="2150">
        <f>SUM(I57:J57)</f>
        <v>0</v>
      </c>
      <c r="I57" s="2149"/>
      <c r="J57" s="2139"/>
      <c r="K57" s="7576">
        <f>SUM(L57:Q57)</f>
        <v>0</v>
      </c>
      <c r="L57" s="7579"/>
      <c r="M57" s="7579"/>
      <c r="N57" s="7579"/>
      <c r="O57" s="7579"/>
      <c r="P57" s="7579"/>
      <c r="Q57" s="7560"/>
      <c r="R57" s="2148"/>
    </row>
    <row customHeight="1" ht="11.25">
      <c r="F58" s="2144"/>
      <c r="G58" s="2153" t="s">
        <v>1026</v>
      </c>
      <c r="H58" s="2150">
        <f>SUM(I58:J58)</f>
        <v>0</v>
      </c>
      <c r="I58" s="2150">
        <f>SUM(I38,I48)</f>
        <v>0</v>
      </c>
      <c r="J58" s="2139"/>
      <c r="K58" s="7576">
        <f>SUM(L58:Q58)</f>
        <v>0</v>
      </c>
      <c r="L58" s="7576">
        <f>SUM(L38,L48)</f>
        <v>0</v>
      </c>
      <c r="M58" s="7576">
        <f>SUM(M38,M48)</f>
        <v>0</v>
      </c>
      <c r="N58" s="7576">
        <f>SUM(N38,N48)</f>
        <v>0</v>
      </c>
      <c r="O58" s="7576">
        <f>SUM(O38,O48)</f>
        <v>0</v>
      </c>
      <c r="P58" s="7576">
        <f>SUM(P38,P48)</f>
        <v>0</v>
      </c>
      <c r="Q58" s="7560"/>
      <c r="R58" s="2148"/>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Q10"/>
    <mergeCell ref="K11:Q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BA7C4A-0FD2-C8AB-3A61-96CB8656367A}" mc:Ignorable="x14ac xr xr2 xr3">
  <sheetPr>
    <tabColor theme="9" tint="-0.25"/>
  </sheetPr>
  <dimension ref="A1:GB27"/>
  <sheetViews>
    <sheetView topLeftCell="E4" showGridLines="0" zoomScale="90" workbookViewId="0">
      <selection activeCell="S22" sqref="S22"/>
    </sheetView>
  </sheetViews>
  <sheetFormatPr defaultColWidth="9.140625" customHeight="1" defaultRowHeight="12"/>
  <cols>
    <col min="1" max="1" style="41300" width="4.7109375" hidden="1" customWidth="1"/>
    <col min="2" max="2" style="41301" width="4.7109375" hidden="1" customWidth="1"/>
    <col min="3" max="4" style="41300" width="4.7109375" hidden="1" customWidth="1"/>
    <col min="5" max="5" style="41300" width="3.57421875" customWidth="1"/>
    <col min="6" max="6" style="41300" width="6.7109375" customWidth="1"/>
    <col min="7" max="7" style="41300" width="18.7109375" customWidth="1"/>
    <col min="8" max="8" style="41300" width="27.28125" customWidth="1"/>
    <col min="9" max="9" style="41300" width="18.7109375" customWidth="1"/>
    <col min="10" max="14" style="41300" width="0.8515625" hidden="1" customWidth="1"/>
    <col min="15" max="28" style="41300" width="21.7109375" customWidth="1"/>
    <col min="29" max="71" style="41300" width="0.8515625" customWidth="1"/>
    <col min="72" max="79" style="41300" width="21.7109375" hidden="1" customWidth="1"/>
    <col min="80" max="81" style="41300" width="29.140625" hidden="1" customWidth="1"/>
    <col min="82" max="89" style="41300" width="21.7109375" hidden="1" customWidth="1"/>
    <col min="90" max="102" style="41300" width="0.7109375" hidden="1" customWidth="1"/>
    <col min="103" max="114" style="41300" width="21.7109375" hidden="1" customWidth="1"/>
    <col min="115" max="178" style="41300" width="0.7109375" hidden="1" customWidth="1"/>
    <col min="179" max="179" style="41300" width="0.140625" customWidth="1"/>
    <col min="180" max="184" style="41300" width="9.140625"/>
  </cols>
  <sheetData>
    <row s="41030" customFormat="1" customHeight="1" ht="12" hidden="1">
      <c r="B1" s="1835"/>
      <c r="C1" s="1836"/>
      <c r="D1" s="1836"/>
    </row>
    <row s="41030" customFormat="1" customHeight="1" ht="12" hidden="1">
      <c r="B2" s="1835"/>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7"/>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6"/>
      <c r="BA2" s="1836"/>
      <c r="BB2" s="1836"/>
      <c r="BC2" s="1836"/>
      <c r="BD2" s="1836"/>
      <c r="BE2" s="1836"/>
      <c r="BF2" s="1836"/>
      <c r="BG2" s="1836"/>
      <c r="BH2" s="1836"/>
      <c r="BI2" s="1836"/>
      <c r="BJ2" s="1836"/>
      <c r="BK2" s="1836"/>
      <c r="BL2" s="1836"/>
      <c r="BM2" s="1836"/>
      <c r="BN2" s="1836"/>
      <c r="BO2" s="1836"/>
      <c r="BP2" s="1836"/>
      <c r="BQ2" s="1836"/>
      <c r="BR2" s="1836"/>
      <c r="BS2" s="1836"/>
      <c r="BT2" s="1836"/>
      <c r="BU2" s="1836"/>
      <c r="BV2" s="1836"/>
      <c r="BW2" s="1836"/>
      <c r="BX2" s="1836"/>
      <c r="BY2" s="1836"/>
      <c r="BZ2" s="1836"/>
      <c r="CA2" s="1836"/>
      <c r="CB2" s="1836"/>
      <c r="CC2" s="1836"/>
      <c r="CD2" s="1836"/>
      <c r="CE2" s="1836"/>
      <c r="CF2" s="1836"/>
      <c r="CG2" s="1836"/>
      <c r="CH2" s="1836"/>
      <c r="CI2" s="1836"/>
      <c r="CJ2" s="1836"/>
      <c r="CK2" s="1836"/>
      <c r="CL2" s="1836"/>
      <c r="CM2" s="1836"/>
      <c r="CN2" s="1836"/>
      <c r="CO2" s="1836"/>
      <c r="CP2" s="1836"/>
      <c r="CQ2" s="1836"/>
      <c r="CR2" s="1836"/>
      <c r="CS2" s="1836"/>
      <c r="CT2" s="1836"/>
      <c r="CU2" s="1836"/>
      <c r="CV2" s="1836"/>
      <c r="CW2" s="1836"/>
      <c r="CX2" s="1836"/>
      <c r="CY2" s="1836"/>
      <c r="CZ2" s="1836"/>
      <c r="DA2" s="1836"/>
      <c r="DB2" s="1836"/>
      <c r="DC2" s="1836"/>
      <c r="DD2" s="1836"/>
      <c r="DE2" s="1836"/>
      <c r="DF2" s="1836"/>
      <c r="DG2" s="1836"/>
      <c r="DH2" s="1836"/>
      <c r="DI2" s="1836"/>
      <c r="DJ2" s="1836"/>
      <c r="DK2" s="1836"/>
      <c r="DL2" s="1836"/>
      <c r="DM2" s="1836"/>
      <c r="DN2" s="1836"/>
      <c r="DO2" s="1836"/>
      <c r="DP2" s="1836"/>
      <c r="DQ2" s="1836"/>
      <c r="DR2" s="1836"/>
      <c r="DS2" s="1836"/>
      <c r="DT2" s="1836"/>
      <c r="DU2" s="1836"/>
      <c r="DV2" s="1836"/>
      <c r="DW2" s="1836"/>
      <c r="DX2" s="1836"/>
      <c r="DY2" s="1836"/>
      <c r="DZ2" s="1836"/>
      <c r="EA2" s="1836"/>
      <c r="EB2" s="1836"/>
      <c r="EC2" s="1836"/>
      <c r="ED2" s="1836"/>
      <c r="EE2" s="1836"/>
      <c r="EF2" s="1836"/>
      <c r="EG2" s="1836"/>
      <c r="EH2" s="1836"/>
      <c r="EI2" s="1836"/>
      <c r="EJ2" s="1836"/>
      <c r="EK2" s="1836"/>
      <c r="EL2" s="1836"/>
      <c r="EM2" s="1836"/>
      <c r="EN2" s="1836"/>
      <c r="EO2" s="1836"/>
      <c r="EP2" s="1836"/>
      <c r="EQ2" s="1836"/>
      <c r="ER2" s="1836"/>
      <c r="ES2" s="1836"/>
      <c r="ET2" s="1836"/>
      <c r="EU2" s="1836"/>
      <c r="EV2" s="1836"/>
      <c r="EW2" s="1836"/>
      <c r="EX2" s="1836"/>
      <c r="EY2" s="1836"/>
      <c r="EZ2" s="1836"/>
      <c r="FA2" s="1836"/>
      <c r="FB2" s="1836"/>
      <c r="FC2" s="1836"/>
      <c r="FD2" s="1836"/>
      <c r="FE2" s="1836"/>
      <c r="FF2" s="1836"/>
      <c r="FG2" s="1836"/>
      <c r="FH2" s="1836"/>
      <c r="FI2" s="1836"/>
      <c r="FJ2" s="1836"/>
      <c r="FK2" s="1836"/>
      <c r="FL2" s="1836"/>
      <c r="FM2" s="1836"/>
      <c r="FN2" s="1836"/>
      <c r="FO2" s="1836"/>
      <c r="FP2" s="1836"/>
      <c r="FQ2" s="1836"/>
      <c r="FR2" s="1836"/>
      <c r="FS2" s="1836"/>
      <c r="FT2" s="1836"/>
      <c r="FU2" s="1836"/>
      <c r="FV2" s="1836"/>
      <c r="FW2" s="1836"/>
    </row>
    <row s="41030" customFormat="1" customHeight="1" ht="12" hidden="1">
      <c r="B3" s="1835"/>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7"/>
      <c r="AC3" s="1836"/>
      <c r="AD3" s="1836"/>
      <c r="AE3" s="1836"/>
      <c r="AF3" s="1836"/>
      <c r="AG3" s="1836"/>
      <c r="AH3" s="1836"/>
      <c r="AI3" s="1836"/>
      <c r="AJ3" s="1836"/>
      <c r="AK3" s="1836"/>
      <c r="AL3" s="1836"/>
      <c r="AM3" s="1836"/>
      <c r="AN3" s="1836"/>
      <c r="AO3" s="1836"/>
      <c r="AP3" s="1836"/>
      <c r="AQ3" s="1836"/>
      <c r="AR3" s="1836"/>
      <c r="AS3" s="1836"/>
      <c r="AT3" s="1836"/>
      <c r="AU3" s="1836"/>
      <c r="AV3" s="1836"/>
      <c r="AW3" s="1836"/>
      <c r="AX3" s="1836"/>
      <c r="AY3" s="1836"/>
      <c r="AZ3" s="1836"/>
      <c r="BA3" s="1836"/>
      <c r="BB3" s="1836"/>
      <c r="BC3" s="1836"/>
      <c r="BD3" s="1836"/>
      <c r="BE3" s="1836"/>
      <c r="BF3" s="1836"/>
      <c r="BG3" s="1836"/>
      <c r="BH3" s="1836"/>
      <c r="BI3" s="1836"/>
      <c r="BJ3" s="1836"/>
      <c r="BK3" s="1836"/>
      <c r="BL3" s="1836"/>
      <c r="BM3" s="1836"/>
      <c r="BN3" s="1836"/>
      <c r="BO3" s="1836"/>
      <c r="BP3" s="1836"/>
      <c r="BQ3" s="1836"/>
      <c r="BR3" s="1836"/>
      <c r="BS3" s="1836"/>
      <c r="BT3" s="1836"/>
      <c r="BU3" s="1836"/>
      <c r="BV3" s="1836"/>
      <c r="BW3" s="1836"/>
      <c r="BX3" s="1836"/>
      <c r="BY3" s="1836"/>
      <c r="BZ3" s="1836"/>
      <c r="CA3" s="1836"/>
      <c r="CB3" s="1836"/>
      <c r="CC3" s="1836"/>
      <c r="CD3" s="1836"/>
      <c r="CE3" s="1836"/>
      <c r="CF3" s="1836"/>
      <c r="CG3" s="1836"/>
      <c r="CH3" s="1836"/>
      <c r="CI3" s="1836"/>
      <c r="CJ3" s="1836"/>
      <c r="CK3" s="1836"/>
      <c r="CL3" s="1836"/>
      <c r="CM3" s="1836"/>
      <c r="CN3" s="1836"/>
      <c r="CO3" s="1836"/>
      <c r="CP3" s="1836"/>
      <c r="CQ3" s="1836"/>
      <c r="CR3" s="1836"/>
      <c r="CS3" s="1836"/>
      <c r="CT3" s="1836"/>
      <c r="CU3" s="1836"/>
      <c r="CV3" s="1836"/>
      <c r="CW3" s="1836"/>
      <c r="CX3" s="1836"/>
      <c r="CY3" s="1836"/>
      <c r="CZ3" s="1836"/>
      <c r="DA3" s="1836"/>
      <c r="DB3" s="1836"/>
      <c r="DC3" s="1836"/>
      <c r="DD3" s="1836"/>
      <c r="DE3" s="1836"/>
      <c r="DF3" s="1836"/>
      <c r="DG3" s="1836"/>
      <c r="DH3" s="1836"/>
      <c r="DI3" s="1836"/>
      <c r="DJ3" s="1836"/>
      <c r="DK3" s="1836"/>
      <c r="DL3" s="1836"/>
      <c r="DM3" s="1836"/>
      <c r="DN3" s="1836"/>
      <c r="DO3" s="1836"/>
      <c r="DP3" s="1836"/>
      <c r="DQ3" s="1836"/>
      <c r="DR3" s="1836"/>
      <c r="DS3" s="1836"/>
      <c r="DT3" s="1836"/>
      <c r="DU3" s="1836"/>
      <c r="DV3" s="1836"/>
      <c r="DW3" s="1836"/>
      <c r="DX3" s="1836"/>
      <c r="DY3" s="1836"/>
      <c r="DZ3" s="1836"/>
      <c r="EA3" s="1836"/>
      <c r="EB3" s="1836"/>
      <c r="EC3" s="1836"/>
      <c r="ED3" s="1836"/>
      <c r="EE3" s="1836"/>
      <c r="EF3" s="1836"/>
      <c r="EG3" s="1836"/>
      <c r="EH3" s="1836"/>
      <c r="EI3" s="1836"/>
      <c r="EJ3" s="1836"/>
      <c r="EK3" s="1836"/>
      <c r="EL3" s="1836"/>
      <c r="EM3" s="1836"/>
      <c r="EN3" s="1836"/>
      <c r="EO3" s="1836"/>
      <c r="EP3" s="1836"/>
      <c r="EQ3" s="1836"/>
      <c r="ER3" s="1836"/>
      <c r="ES3" s="1836"/>
      <c r="ET3" s="1836"/>
      <c r="EU3" s="1836"/>
      <c r="EV3" s="1836"/>
      <c r="EW3" s="1836"/>
      <c r="EX3" s="1836"/>
      <c r="EY3" s="1836"/>
      <c r="EZ3" s="1836"/>
      <c r="FA3" s="1836"/>
      <c r="FB3" s="1836"/>
      <c r="FC3" s="1836"/>
      <c r="FD3" s="1836"/>
      <c r="FE3" s="1836"/>
      <c r="FF3" s="1836"/>
      <c r="FG3" s="1836"/>
      <c r="FH3" s="1836"/>
      <c r="FI3" s="1836"/>
      <c r="FJ3" s="1836"/>
      <c r="FK3" s="1836"/>
      <c r="FL3" s="1836"/>
      <c r="FM3" s="1836"/>
      <c r="FN3" s="1836"/>
      <c r="FO3" s="1836"/>
      <c r="FP3" s="1836"/>
      <c r="FQ3" s="1836"/>
      <c r="FR3" s="1836"/>
      <c r="FS3" s="1836"/>
      <c r="FT3" s="1836"/>
      <c r="FU3" s="1836"/>
      <c r="FV3" s="1836"/>
      <c r="FW3" s="1836"/>
    </row>
    <row customHeight="1" ht="10.5">
      <c r="B4" s="1839"/>
      <c r="C4" s="1840"/>
      <c r="D4" s="1840"/>
      <c r="E4" s="1840"/>
      <c r="F4" s="1840"/>
      <c r="G4" s="1840"/>
      <c r="H4" s="1841"/>
      <c r="I4" s="1841"/>
      <c r="J4" s="1841"/>
      <c r="K4" s="1841"/>
      <c r="L4" s="1841"/>
      <c r="M4" s="1842"/>
      <c r="N4" s="1842"/>
      <c r="O4" s="1842"/>
      <c r="P4" s="1842"/>
      <c r="Q4" s="1842"/>
      <c r="R4" s="1842"/>
      <c r="S4" s="1842"/>
      <c r="T4" s="1842"/>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c r="BP4" s="1842"/>
      <c r="BQ4" s="1842"/>
      <c r="BR4" s="1842"/>
      <c r="BS4" s="1842"/>
      <c r="BT4" s="1842"/>
      <c r="BU4" s="1842"/>
      <c r="BV4" s="1842"/>
      <c r="BW4" s="1842"/>
      <c r="BX4" s="1842"/>
      <c r="BY4" s="1842"/>
      <c r="BZ4" s="1842"/>
      <c r="CA4" s="1842"/>
      <c r="CB4" s="1842"/>
      <c r="CC4" s="1842"/>
      <c r="CD4" s="1842"/>
      <c r="CE4" s="1842"/>
      <c r="CF4" s="1842"/>
      <c r="CG4" s="1842"/>
      <c r="CH4" s="1842"/>
      <c r="CI4" s="1842"/>
      <c r="CJ4" s="1842"/>
      <c r="CK4" s="1842"/>
      <c r="CL4" s="1842"/>
      <c r="CM4" s="1842"/>
      <c r="CN4" s="1842"/>
      <c r="CO4" s="1842"/>
      <c r="CP4" s="1842"/>
      <c r="CQ4" s="1842"/>
      <c r="CR4" s="1842"/>
      <c r="CS4" s="1842"/>
      <c r="CT4" s="1842"/>
      <c r="CU4" s="1842"/>
      <c r="CV4" s="1842"/>
      <c r="CW4" s="1842"/>
      <c r="CX4" s="1842"/>
      <c r="CY4" s="1842"/>
      <c r="CZ4" s="1842"/>
      <c r="DA4" s="1842"/>
      <c r="DB4" s="1842"/>
      <c r="DC4" s="1842"/>
      <c r="DD4" s="1842"/>
      <c r="DE4" s="1842"/>
      <c r="DF4" s="1842"/>
      <c r="DG4" s="1842"/>
      <c r="DH4" s="1842"/>
      <c r="DI4" s="1842"/>
      <c r="DJ4" s="1842"/>
      <c r="DK4" s="1842"/>
      <c r="DL4" s="1842"/>
      <c r="DM4" s="1842"/>
      <c r="DN4" s="1842"/>
      <c r="DO4" s="1842"/>
      <c r="DP4" s="1842"/>
      <c r="DQ4" s="1842"/>
      <c r="DR4" s="1842"/>
      <c r="DS4" s="1842"/>
      <c r="DT4" s="1842"/>
      <c r="DU4" s="1842"/>
      <c r="DV4" s="1842"/>
      <c r="DW4" s="1842"/>
      <c r="DX4" s="1842"/>
      <c r="DY4" s="1842"/>
      <c r="DZ4" s="1842"/>
      <c r="EA4" s="1842"/>
      <c r="EB4" s="1842"/>
      <c r="EC4" s="1842"/>
      <c r="ED4" s="1842"/>
      <c r="EE4" s="1842"/>
      <c r="EF4" s="1842"/>
      <c r="EG4" s="1842"/>
      <c r="EH4" s="1842"/>
      <c r="EI4" s="1842"/>
      <c r="EJ4" s="1842"/>
      <c r="EK4" s="1842"/>
      <c r="EL4" s="1842"/>
      <c r="EM4" s="1842"/>
      <c r="EN4" s="1842"/>
      <c r="EO4" s="1842"/>
      <c r="EP4" s="1842"/>
      <c r="EQ4" s="1842"/>
      <c r="ER4" s="1842"/>
      <c r="ES4" s="1842"/>
      <c r="ET4" s="1842"/>
      <c r="EU4" s="1842"/>
      <c r="EV4" s="1842"/>
      <c r="EW4" s="1842"/>
      <c r="EX4" s="1842"/>
      <c r="EY4" s="1842"/>
      <c r="EZ4" s="1842"/>
      <c r="FA4" s="1842"/>
      <c r="FB4" s="1842"/>
      <c r="FC4" s="1842"/>
      <c r="FD4" s="1842"/>
      <c r="FE4" s="1842"/>
      <c r="FF4" s="1842"/>
      <c r="FG4" s="1842"/>
      <c r="FH4" s="1842"/>
      <c r="FI4" s="1842"/>
      <c r="FJ4" s="1842"/>
      <c r="FK4" s="1842"/>
      <c r="FL4" s="1842"/>
      <c r="FM4" s="1842"/>
      <c r="FN4" s="1842"/>
      <c r="FO4" s="1842"/>
      <c r="FP4" s="1842"/>
      <c r="FQ4" s="1842"/>
      <c r="FR4" s="1842"/>
      <c r="FS4" s="1842"/>
      <c r="FT4" s="1842"/>
      <c r="FU4" s="1842"/>
      <c r="FV4" s="1842"/>
      <c r="FW4" s="1842"/>
    </row>
    <row s="41038" customFormat="1" customHeight="1" ht="25.5">
      <c r="B5" s="2788"/>
      <c r="E5" s="2790"/>
      <c r="F5" s="324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2024 год</v>
      </c>
      <c r="G5" s="2993"/>
      <c r="H5" s="2993"/>
      <c r="I5" s="2993"/>
      <c r="J5" s="2993"/>
      <c r="K5" s="2993"/>
      <c r="L5" s="2993"/>
      <c r="M5" s="2993"/>
      <c r="N5" s="2993"/>
      <c r="O5" s="2993"/>
      <c r="P5" s="2993"/>
      <c r="Q5" s="2993"/>
      <c r="R5" s="2993"/>
      <c r="S5" s="2993"/>
      <c r="T5" s="2993"/>
      <c r="U5" s="2993"/>
      <c r="V5" s="2993"/>
      <c r="W5" s="2993"/>
      <c r="X5" s="2993"/>
      <c r="Y5" s="2993"/>
      <c r="Z5" s="2993"/>
      <c r="AA5" s="2993"/>
      <c r="AB5" s="2993"/>
      <c r="AC5" s="2993"/>
      <c r="AD5" s="2993"/>
      <c r="AE5" s="2993"/>
      <c r="AF5" s="2993"/>
      <c r="AG5" s="2993"/>
      <c r="AH5" s="2993"/>
      <c r="AI5" s="2993"/>
      <c r="AJ5" s="2993"/>
      <c r="AK5" s="2993"/>
      <c r="AL5" s="2993"/>
      <c r="AM5" s="2993"/>
      <c r="AN5" s="2993"/>
      <c r="AO5" s="2993"/>
      <c r="AP5" s="2993"/>
      <c r="AQ5" s="2993"/>
      <c r="AR5" s="2993"/>
      <c r="AS5" s="2993"/>
      <c r="AT5" s="2993"/>
      <c r="AU5" s="2993"/>
      <c r="AV5" s="2993"/>
      <c r="AW5" s="2993"/>
      <c r="AX5" s="2993"/>
      <c r="AY5" s="2993"/>
      <c r="AZ5" s="2993"/>
      <c r="BA5" s="2993"/>
      <c r="BB5" s="2993"/>
      <c r="BC5" s="2993"/>
      <c r="BD5" s="2993"/>
      <c r="BE5" s="2993"/>
      <c r="BF5" s="2993"/>
      <c r="BG5" s="2993"/>
      <c r="BH5" s="2993"/>
      <c r="BI5" s="2993"/>
      <c r="BJ5" s="2993"/>
      <c r="BK5" s="2993"/>
      <c r="BL5" s="2993"/>
      <c r="BM5" s="2993"/>
      <c r="BN5" s="2993"/>
      <c r="BO5" s="2993"/>
      <c r="BP5" s="2993"/>
      <c r="BQ5" s="2993"/>
      <c r="BR5" s="2993"/>
      <c r="BS5" s="2993"/>
    </row>
    <row s="41042" customFormat="1" customHeight="1" ht="18">
      <c r="B6" s="1856"/>
      <c r="E6" s="1858"/>
      <c r="F6" s="3038" t="str">
        <f>IF(org=0,"Не определено",org)</f>
        <v>ПАО "ТГК-1" филиал "Невский"</v>
      </c>
      <c r="G6" s="3039"/>
      <c r="H6" s="3039"/>
      <c r="I6" s="3039"/>
      <c r="J6" s="3039"/>
      <c r="K6" s="3039"/>
      <c r="L6" s="3039"/>
      <c r="M6" s="3039"/>
      <c r="N6" s="3039"/>
      <c r="O6" s="3039"/>
      <c r="P6" s="3039"/>
      <c r="Q6" s="3039"/>
      <c r="R6" s="3039"/>
      <c r="S6" s="3039"/>
      <c r="T6" s="3039"/>
      <c r="U6" s="3039"/>
      <c r="V6" s="3039"/>
      <c r="W6" s="3039"/>
      <c r="X6" s="3039"/>
      <c r="Y6" s="3039"/>
      <c r="Z6" s="3039"/>
      <c r="AA6" s="3039"/>
      <c r="AB6" s="3039"/>
      <c r="AC6" s="3039"/>
      <c r="AD6" s="3039"/>
      <c r="AE6" s="3039"/>
      <c r="AF6" s="3039"/>
      <c r="AG6" s="3039"/>
      <c r="AH6" s="3039"/>
      <c r="AI6" s="3039"/>
      <c r="AJ6" s="3039"/>
      <c r="AK6" s="3039"/>
      <c r="AL6" s="3039"/>
      <c r="AM6" s="3039"/>
      <c r="AN6" s="3039"/>
      <c r="AO6" s="3039"/>
      <c r="AP6" s="3039"/>
      <c r="AQ6" s="3039"/>
      <c r="AR6" s="3039"/>
      <c r="AS6" s="3039"/>
      <c r="AT6" s="3039"/>
      <c r="AU6" s="3039"/>
      <c r="AV6" s="3039"/>
      <c r="AW6" s="3039"/>
      <c r="AX6" s="3039"/>
      <c r="AY6" s="3039"/>
      <c r="AZ6" s="3039"/>
      <c r="BA6" s="3039"/>
      <c r="BB6" s="3039"/>
      <c r="BC6" s="3039"/>
      <c r="BD6" s="3039"/>
      <c r="BE6" s="3039"/>
      <c r="BF6" s="3039"/>
      <c r="BG6" s="3039"/>
      <c r="BH6" s="3039"/>
      <c r="BI6" s="3039"/>
      <c r="BJ6" s="3039"/>
      <c r="BK6" s="3039"/>
      <c r="BL6" s="3039"/>
      <c r="BM6" s="3039"/>
      <c r="BN6" s="3039"/>
      <c r="BO6" s="3039"/>
      <c r="BP6" s="3039"/>
      <c r="BQ6" s="3039"/>
      <c r="BR6" s="3039"/>
      <c r="BS6" s="3039"/>
    </row>
    <row s="41045" customFormat="1" customHeight="1" ht="10.5">
      <c r="B7" s="1844"/>
      <c r="E7" s="1845"/>
      <c r="F7" s="1845"/>
      <c r="G7" s="1847"/>
      <c r="H7" s="1841"/>
      <c r="I7" s="1841"/>
      <c r="J7" s="1841"/>
      <c r="K7" s="1841"/>
      <c r="L7" s="1841"/>
      <c r="M7" s="1845"/>
      <c r="N7" s="1845"/>
      <c r="O7" s="1845"/>
      <c r="P7" s="1845"/>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c r="AP7" s="1845"/>
      <c r="AQ7" s="1845"/>
      <c r="AR7" s="1845"/>
      <c r="AS7" s="1845"/>
      <c r="AT7" s="1845"/>
      <c r="AU7" s="1845"/>
      <c r="AV7" s="1845"/>
      <c r="AW7" s="1845"/>
      <c r="AX7" s="1845"/>
      <c r="AY7" s="1845"/>
      <c r="AZ7" s="1845"/>
      <c r="BA7" s="1845"/>
      <c r="BB7" s="1845"/>
      <c r="BC7" s="1845"/>
      <c r="BD7" s="1845"/>
      <c r="BE7" s="1845"/>
      <c r="BF7" s="1845"/>
      <c r="BG7" s="1845"/>
      <c r="BH7" s="1845"/>
      <c r="BI7" s="1845"/>
      <c r="BJ7" s="1845"/>
      <c r="BK7" s="1845"/>
      <c r="BL7" s="1845"/>
      <c r="BM7" s="1845"/>
      <c r="BN7" s="1845"/>
      <c r="BO7" s="1845"/>
      <c r="BP7" s="1845"/>
      <c r="BQ7" s="1845"/>
      <c r="BR7" s="1845"/>
      <c r="BS7" s="1845"/>
      <c r="BT7" s="1845"/>
      <c r="BU7" s="1845"/>
      <c r="BV7" s="1845"/>
      <c r="BW7" s="1845"/>
      <c r="BX7" s="1845"/>
      <c r="BY7" s="1845"/>
      <c r="BZ7" s="1845"/>
      <c r="CA7" s="1845"/>
      <c r="CB7" s="1845"/>
      <c r="CC7" s="1845"/>
      <c r="CD7" s="1845"/>
      <c r="CE7" s="1845"/>
      <c r="CF7" s="1845"/>
      <c r="CG7" s="1845"/>
      <c r="CH7" s="1845"/>
      <c r="CI7" s="1845"/>
      <c r="CJ7" s="1845"/>
      <c r="CK7" s="1845"/>
      <c r="CL7" s="1845"/>
      <c r="CM7" s="1845"/>
      <c r="CN7" s="1845"/>
      <c r="CO7" s="1845"/>
      <c r="CP7" s="1845"/>
      <c r="CQ7" s="1845"/>
      <c r="CR7" s="1845"/>
      <c r="CS7" s="1845"/>
      <c r="CT7" s="1845"/>
      <c r="CU7" s="1845"/>
      <c r="CV7" s="1845"/>
      <c r="CW7" s="1845"/>
      <c r="CX7" s="1845"/>
      <c r="CY7" s="1845"/>
      <c r="CZ7" s="1845"/>
      <c r="DA7" s="1845"/>
      <c r="DB7" s="1845"/>
      <c r="DC7" s="1845"/>
      <c r="DD7" s="1845"/>
      <c r="DE7" s="1845"/>
      <c r="DF7" s="1845"/>
      <c r="DG7" s="1845"/>
      <c r="DH7" s="1845"/>
      <c r="DI7" s="1845"/>
      <c r="DJ7" s="1845"/>
      <c r="DK7" s="1845"/>
      <c r="DL7" s="1845"/>
      <c r="DM7" s="1845"/>
      <c r="DN7" s="1845"/>
      <c r="DO7" s="1845"/>
      <c r="DP7" s="1845"/>
      <c r="DQ7" s="1845"/>
      <c r="DR7" s="1845"/>
      <c r="DS7" s="1845"/>
      <c r="DT7" s="1845"/>
      <c r="DU7" s="1845"/>
      <c r="DV7" s="1845"/>
      <c r="DW7" s="1845"/>
      <c r="DX7" s="1845"/>
      <c r="DY7" s="1845"/>
      <c r="DZ7" s="1845"/>
      <c r="EA7" s="1845"/>
      <c r="EB7" s="1845"/>
      <c r="EC7" s="1845"/>
      <c r="ED7" s="1845"/>
      <c r="EE7" s="1845"/>
      <c r="EF7" s="1845"/>
      <c r="EG7" s="1845"/>
      <c r="EH7" s="1845"/>
      <c r="EI7" s="1845"/>
      <c r="EJ7" s="1845"/>
      <c r="EK7" s="1845"/>
      <c r="EL7" s="1845"/>
      <c r="EM7" s="1845"/>
      <c r="EN7" s="1845"/>
      <c r="EO7" s="1845"/>
      <c r="EP7" s="1845"/>
      <c r="EQ7" s="1845"/>
      <c r="ER7" s="1845"/>
      <c r="ES7" s="1845"/>
      <c r="ET7" s="1845"/>
      <c r="EU7" s="1845"/>
      <c r="EV7" s="1845"/>
      <c r="EW7" s="1845"/>
      <c r="EX7" s="1845"/>
      <c r="EY7" s="1845"/>
      <c r="EZ7" s="1845"/>
      <c r="FA7" s="1845"/>
      <c r="FB7" s="1845"/>
      <c r="FC7" s="1845"/>
      <c r="FD7" s="1845"/>
      <c r="FE7" s="1845"/>
      <c r="FF7" s="1845"/>
      <c r="FG7" s="1845"/>
      <c r="FH7" s="1845"/>
      <c r="FI7" s="1845"/>
      <c r="FJ7" s="1845"/>
      <c r="FK7" s="1845"/>
      <c r="FL7" s="1845"/>
      <c r="FM7" s="1845"/>
      <c r="FN7" s="1845"/>
      <c r="FO7" s="1845"/>
      <c r="FP7" s="1845"/>
      <c r="FQ7" s="1845"/>
      <c r="FR7" s="1845"/>
      <c r="FS7" s="1845"/>
      <c r="FT7" s="1845"/>
      <c r="FU7" s="1845"/>
      <c r="FV7" s="1845"/>
      <c r="FW7" s="1845"/>
    </row>
    <row s="41049" customFormat="1" customHeight="1" ht="11.25" hidden="1">
      <c r="B8" s="1846"/>
      <c r="F8" s="1969"/>
      <c r="G8" s="1675"/>
      <c r="H8" s="1272"/>
      <c r="I8" s="1272"/>
      <c r="J8" s="1272"/>
      <c r="K8" s="1272"/>
      <c r="L8" s="1272"/>
      <c r="M8" s="1969"/>
      <c r="N8" s="1969"/>
      <c r="O8" s="3266" t="s">
        <v>1044</v>
      </c>
      <c r="P8" s="3267"/>
      <c r="Q8" s="3267"/>
      <c r="R8" s="3267"/>
      <c r="S8" s="3267"/>
      <c r="T8" s="3267"/>
      <c r="U8" s="3267"/>
      <c r="V8" s="3267"/>
      <c r="W8" s="3267"/>
      <c r="X8" s="3267"/>
      <c r="Y8" s="3267"/>
      <c r="Z8" s="3267"/>
      <c r="AA8" s="3267"/>
      <c r="AB8" s="3267"/>
      <c r="AC8" s="3267"/>
      <c r="AD8" s="3267"/>
      <c r="AE8" s="3267"/>
      <c r="AF8" s="3267"/>
      <c r="AG8" s="3267"/>
      <c r="AH8" s="3267"/>
      <c r="AI8" s="3267"/>
      <c r="AJ8" s="3267"/>
      <c r="AK8" s="3267"/>
      <c r="AL8" s="3267"/>
      <c r="AM8" s="3267"/>
      <c r="AN8" s="3267"/>
      <c r="AO8" s="3267"/>
      <c r="AP8" s="3267"/>
      <c r="AQ8" s="3267"/>
      <c r="AR8" s="3267"/>
      <c r="AS8" s="3267"/>
      <c r="AT8" s="3267"/>
      <c r="AU8" s="3267"/>
      <c r="AV8" s="3267"/>
      <c r="AW8" s="3267"/>
      <c r="AX8" s="3267"/>
      <c r="AY8" s="3267"/>
      <c r="AZ8" s="3267"/>
      <c r="BA8" s="3267"/>
      <c r="BB8" s="3267"/>
      <c r="BC8" s="3267"/>
      <c r="BD8" s="3267"/>
      <c r="BE8" s="3267"/>
      <c r="BF8" s="3267"/>
      <c r="BG8" s="3267"/>
      <c r="BH8" s="3267"/>
      <c r="BI8" s="3267"/>
      <c r="BJ8" s="3267"/>
      <c r="BK8" s="3267"/>
      <c r="BL8" s="3267"/>
      <c r="BM8" s="3267"/>
      <c r="BN8" s="3267"/>
      <c r="BO8" s="3267"/>
      <c r="BP8" s="3267"/>
      <c r="BQ8" s="3267"/>
      <c r="BR8" s="3267"/>
      <c r="BS8" s="3268"/>
      <c r="BT8" s="3255"/>
      <c r="BU8" s="3256"/>
      <c r="BV8" s="3256"/>
      <c r="BW8" s="3256"/>
      <c r="BX8" s="3256"/>
      <c r="BY8" s="3256"/>
      <c r="BZ8" s="3256"/>
      <c r="CA8" s="3256"/>
      <c r="CB8" s="3256"/>
      <c r="CC8" s="3256"/>
      <c r="CD8" s="3256"/>
      <c r="CE8" s="3256"/>
      <c r="CF8" s="3256"/>
      <c r="CG8" s="3256"/>
      <c r="CH8" s="3256"/>
      <c r="CI8" s="3256"/>
      <c r="CJ8" s="3256"/>
      <c r="CK8" s="3256"/>
      <c r="CL8" s="3256"/>
      <c r="CM8" s="3256"/>
      <c r="CN8" s="3256"/>
      <c r="CO8" s="3256"/>
      <c r="CP8" s="3256"/>
      <c r="CQ8" s="3256"/>
      <c r="CR8" s="3256"/>
      <c r="CS8" s="3256"/>
      <c r="CT8" s="3256"/>
      <c r="CU8" s="3256"/>
      <c r="CV8" s="3256"/>
      <c r="CW8" s="3256"/>
      <c r="CX8" s="3257"/>
      <c r="CY8" s="3258"/>
      <c r="CZ8" s="3259"/>
      <c r="DA8" s="3259"/>
      <c r="DB8" s="3259"/>
      <c r="DC8" s="3259"/>
      <c r="DD8" s="3259"/>
      <c r="DE8" s="3259"/>
      <c r="DF8" s="3259"/>
      <c r="DG8" s="3259"/>
      <c r="DH8" s="3259"/>
      <c r="DI8" s="3259"/>
      <c r="DJ8" s="3259"/>
      <c r="DK8" s="3259"/>
      <c r="DL8" s="3259"/>
      <c r="DM8" s="3259"/>
      <c r="DN8" s="3259"/>
      <c r="DO8" s="3259"/>
      <c r="DP8" s="3259"/>
      <c r="DQ8" s="3259"/>
      <c r="DR8" s="3259"/>
      <c r="DS8" s="3259"/>
      <c r="DT8" s="3259"/>
      <c r="DU8" s="3259"/>
      <c r="DV8" s="3259"/>
      <c r="DW8" s="3259"/>
      <c r="DX8" s="3260"/>
      <c r="DY8" s="3261" t="s">
        <v>1045</v>
      </c>
      <c r="DZ8" s="3262"/>
      <c r="EA8" s="3262"/>
      <c r="EB8" s="3262"/>
      <c r="EC8" s="3262"/>
      <c r="ED8" s="3262"/>
      <c r="EE8" s="3262"/>
      <c r="EF8" s="3262"/>
      <c r="EG8" s="3262"/>
      <c r="EH8" s="3262"/>
      <c r="EI8" s="3262"/>
      <c r="EJ8" s="3262"/>
      <c r="EK8" s="3262"/>
      <c r="EL8" s="3262"/>
      <c r="EM8" s="3262"/>
      <c r="EN8" s="3262"/>
      <c r="EO8" s="3262"/>
      <c r="EP8" s="3262"/>
      <c r="EQ8" s="3262"/>
      <c r="ER8" s="3262"/>
      <c r="ES8" s="3262"/>
      <c r="ET8" s="3262"/>
      <c r="EU8" s="3262"/>
      <c r="EV8" s="3262"/>
      <c r="EW8" s="3262"/>
      <c r="EX8" s="3262"/>
      <c r="EY8" s="3262"/>
      <c r="EZ8" s="3262"/>
      <c r="FA8" s="3262"/>
      <c r="FB8" s="3262"/>
      <c r="FC8" s="3262"/>
      <c r="FD8" s="3262"/>
      <c r="FE8" s="3262"/>
      <c r="FF8" s="3262"/>
      <c r="FG8" s="3262"/>
      <c r="FH8" s="3262"/>
      <c r="FI8" s="3262"/>
      <c r="FJ8" s="3262"/>
      <c r="FK8" s="3262"/>
      <c r="FL8" s="3262"/>
      <c r="FM8" s="3262"/>
      <c r="FN8" s="3262"/>
      <c r="FO8" s="3262"/>
      <c r="FP8" s="3262"/>
      <c r="FQ8" s="3262"/>
      <c r="FR8" s="3262"/>
      <c r="FS8" s="3262"/>
      <c r="FT8" s="3262"/>
      <c r="FU8" s="3262"/>
      <c r="FV8" s="3262"/>
      <c r="FW8" s="3263"/>
      <c r="FX8" s="1969"/>
    </row>
    <row s="41049" customFormat="1" customHeight="1" ht="11.25" hidden="1">
      <c r="B9" s="1846"/>
      <c r="F9" s="1969"/>
      <c r="G9" s="1675"/>
      <c r="H9" s="1272"/>
      <c r="I9" s="1272"/>
      <c r="J9" s="1272"/>
      <c r="K9" s="1272"/>
      <c r="L9" s="1272"/>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c r="AT9" s="1969"/>
      <c r="AU9" s="1969"/>
      <c r="AV9" s="1969"/>
      <c r="AW9" s="1969"/>
      <c r="AX9" s="1969"/>
      <c r="AY9" s="1969"/>
      <c r="AZ9" s="1969"/>
      <c r="BA9" s="1969"/>
      <c r="BB9" s="1969"/>
      <c r="BC9" s="1969"/>
      <c r="BD9" s="1969"/>
      <c r="BE9" s="1969"/>
      <c r="BF9" s="1969"/>
      <c r="BG9" s="1969"/>
      <c r="BH9" s="1969"/>
      <c r="BI9" s="1969"/>
      <c r="BJ9" s="1969"/>
      <c r="BK9" s="1969"/>
      <c r="BL9" s="1969"/>
      <c r="BM9" s="1969"/>
      <c r="BN9" s="1969"/>
      <c r="BO9" s="1969"/>
      <c r="BP9" s="1969"/>
      <c r="BQ9" s="1969"/>
      <c r="BR9" s="1969"/>
      <c r="BS9" s="1969"/>
      <c r="BT9" s="1969"/>
      <c r="BU9" s="1969"/>
      <c r="BV9" s="1969"/>
      <c r="BW9" s="1969"/>
      <c r="BX9" s="1969"/>
      <c r="BY9" s="1969"/>
      <c r="BZ9" s="1969"/>
      <c r="CA9" s="1969"/>
      <c r="CB9" s="1969"/>
      <c r="CC9" s="1969"/>
      <c r="CD9" s="1969"/>
      <c r="CE9" s="1969"/>
      <c r="CF9" s="1969"/>
      <c r="CG9" s="1969"/>
      <c r="CH9" s="1969"/>
      <c r="CI9" s="1969"/>
      <c r="CJ9" s="1969"/>
      <c r="CK9" s="1969"/>
      <c r="CL9" s="1969"/>
      <c r="CM9" s="1969"/>
      <c r="CN9" s="1969"/>
      <c r="CO9" s="1969"/>
      <c r="CP9" s="1969"/>
      <c r="CQ9" s="1969"/>
      <c r="CR9" s="1969"/>
      <c r="CS9" s="1969"/>
      <c r="CT9" s="1969"/>
      <c r="CU9" s="1969"/>
      <c r="CV9" s="1969"/>
      <c r="CW9" s="1969"/>
      <c r="CX9" s="1969"/>
      <c r="CY9" s="1969"/>
      <c r="CZ9" s="1969"/>
      <c r="DA9" s="1969"/>
      <c r="DB9" s="1969"/>
      <c r="DC9" s="1969"/>
      <c r="DD9" s="1969"/>
      <c r="DE9" s="1969"/>
      <c r="DF9" s="1969"/>
      <c r="DG9" s="1969"/>
      <c r="DH9" s="1969"/>
      <c r="DI9" s="1969"/>
      <c r="DJ9" s="1969"/>
      <c r="DK9" s="1969"/>
      <c r="DL9" s="1969"/>
      <c r="DM9" s="1969"/>
      <c r="DN9" s="1969"/>
      <c r="DO9" s="1969"/>
      <c r="DP9" s="1969"/>
      <c r="DQ9" s="1969"/>
      <c r="DR9" s="1969"/>
      <c r="DS9" s="1969"/>
      <c r="DT9" s="1969"/>
      <c r="DU9" s="1969"/>
      <c r="DV9" s="1969"/>
      <c r="DW9" s="1969"/>
      <c r="DX9" s="1969"/>
      <c r="DY9" s="1969"/>
      <c r="DZ9" s="1969"/>
      <c r="EA9" s="1969"/>
      <c r="EB9" s="1969"/>
      <c r="EC9" s="1969"/>
      <c r="ED9" s="1969"/>
      <c r="EE9" s="1969"/>
      <c r="EF9" s="1969"/>
      <c r="EG9" s="1969"/>
      <c r="EH9" s="1969"/>
      <c r="EI9" s="1969"/>
      <c r="EJ9" s="1969"/>
      <c r="EK9" s="1969"/>
      <c r="EL9" s="1969"/>
      <c r="EM9" s="1969"/>
      <c r="EN9" s="1969"/>
      <c r="EO9" s="1969"/>
      <c r="EP9" s="1969"/>
      <c r="EQ9" s="1969"/>
      <c r="ER9" s="1969"/>
      <c r="ES9" s="1969"/>
      <c r="ET9" s="1969"/>
      <c r="EU9" s="1969"/>
      <c r="EV9" s="1969"/>
      <c r="EW9" s="1969"/>
      <c r="EX9" s="1969"/>
      <c r="EY9" s="1969"/>
      <c r="EZ9" s="1969"/>
      <c r="FA9" s="1969"/>
      <c r="FB9" s="1969"/>
      <c r="FC9" s="1969"/>
      <c r="FD9" s="1969"/>
      <c r="FE9" s="1969"/>
      <c r="FF9" s="1969"/>
      <c r="FG9" s="1969"/>
      <c r="FH9" s="1969"/>
      <c r="FI9" s="1969"/>
      <c r="FJ9" s="1969"/>
      <c r="FK9" s="1969"/>
      <c r="FL9" s="1969"/>
      <c r="FM9" s="1969"/>
      <c r="FN9" s="1969"/>
      <c r="FO9" s="1969"/>
      <c r="FP9" s="1969"/>
      <c r="FQ9" s="1969"/>
      <c r="FR9" s="1969"/>
      <c r="FS9" s="1969"/>
      <c r="FT9" s="1969"/>
      <c r="FU9" s="1969"/>
      <c r="FV9" s="1969"/>
      <c r="FW9" s="3264"/>
      <c r="FX9" s="1969"/>
    </row>
    <row s="41049" customFormat="1" customHeight="1" ht="11.25">
      <c r="B10" s="1846"/>
      <c r="F10" s="3242" t="s">
        <v>291</v>
      </c>
      <c r="G10" s="3243"/>
      <c r="H10" s="3243"/>
      <c r="I10" s="3243"/>
      <c r="J10" s="3243"/>
      <c r="K10" s="3243"/>
      <c r="L10" s="3243"/>
      <c r="M10" s="3243"/>
      <c r="N10" s="3243"/>
      <c r="O10" s="3243"/>
      <c r="P10" s="3243"/>
      <c r="Q10" s="3243"/>
      <c r="R10" s="3243"/>
      <c r="S10" s="3243"/>
      <c r="T10" s="3243"/>
      <c r="U10" s="3243"/>
      <c r="V10" s="3243"/>
      <c r="W10" s="3243"/>
      <c r="X10" s="3243"/>
      <c r="Y10" s="3243"/>
      <c r="Z10" s="3243"/>
      <c r="AA10" s="3243"/>
      <c r="AB10" s="3243"/>
      <c r="AC10" s="3243"/>
      <c r="AD10" s="3243"/>
      <c r="AE10" s="3243"/>
      <c r="AF10" s="3243"/>
      <c r="AG10" s="3243"/>
      <c r="AH10" s="3243"/>
      <c r="AI10" s="3243"/>
      <c r="AJ10" s="3243"/>
      <c r="AK10" s="3243"/>
      <c r="AL10" s="3243"/>
      <c r="AM10" s="3243"/>
      <c r="AN10" s="3243"/>
      <c r="AO10" s="3243"/>
      <c r="AP10" s="3243"/>
      <c r="AQ10" s="3243"/>
      <c r="AR10" s="3243"/>
      <c r="AS10" s="3243"/>
      <c r="AT10" s="3243"/>
      <c r="AU10" s="3243"/>
      <c r="AV10" s="3243"/>
      <c r="AW10" s="3243"/>
      <c r="AX10" s="3243"/>
      <c r="AY10" s="3243"/>
      <c r="AZ10" s="3243"/>
      <c r="BA10" s="3243"/>
      <c r="BB10" s="3243"/>
      <c r="BC10" s="3243"/>
      <c r="BD10" s="3243"/>
      <c r="BE10" s="3243"/>
      <c r="BF10" s="3243"/>
      <c r="BG10" s="3243"/>
      <c r="BH10" s="3243"/>
      <c r="BI10" s="3243"/>
      <c r="BJ10" s="3243"/>
      <c r="BK10" s="3243"/>
      <c r="BL10" s="3243"/>
      <c r="BM10" s="3243"/>
      <c r="BN10" s="3243"/>
      <c r="BO10" s="3243"/>
      <c r="BP10" s="3243"/>
      <c r="BQ10" s="3243"/>
      <c r="BR10" s="3243"/>
      <c r="BS10" s="3243"/>
      <c r="BT10" s="3243"/>
      <c r="BU10" s="3243"/>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3243"/>
      <c r="CS10" s="3243"/>
      <c r="CT10" s="3243"/>
      <c r="CU10" s="3243"/>
      <c r="CV10" s="3243"/>
      <c r="CW10" s="3243"/>
      <c r="CX10" s="3243"/>
      <c r="CY10" s="3243"/>
      <c r="CZ10" s="3243"/>
      <c r="DA10" s="3243"/>
      <c r="DB10" s="3243"/>
      <c r="DC10" s="3243"/>
      <c r="DD10" s="3243"/>
      <c r="DE10" s="3243"/>
      <c r="DF10" s="3243"/>
      <c r="DG10" s="3243"/>
      <c r="DH10" s="3243"/>
      <c r="DI10" s="3243"/>
      <c r="DJ10" s="3243"/>
      <c r="DK10" s="3243"/>
      <c r="DL10" s="3243"/>
      <c r="DM10" s="3243"/>
      <c r="DN10" s="3243"/>
      <c r="DO10" s="3243"/>
      <c r="DP10" s="3243"/>
      <c r="DQ10" s="3243"/>
      <c r="DR10" s="3243"/>
      <c r="DS10" s="3243"/>
      <c r="DT10" s="3243"/>
      <c r="DU10" s="3243"/>
      <c r="DV10" s="3243"/>
      <c r="DW10" s="3243"/>
      <c r="DX10" s="3243"/>
      <c r="DY10" s="3243"/>
      <c r="DZ10" s="3243"/>
      <c r="EA10" s="3243"/>
      <c r="EB10" s="3243"/>
      <c r="EC10" s="3243"/>
      <c r="ED10" s="3243"/>
      <c r="EE10" s="3243"/>
      <c r="EF10" s="3243"/>
      <c r="EG10" s="3243"/>
      <c r="EH10" s="3243"/>
      <c r="EI10" s="3243"/>
      <c r="EJ10" s="3243"/>
      <c r="EK10" s="3243"/>
      <c r="EL10" s="3243"/>
      <c r="EM10" s="3243"/>
      <c r="EN10" s="3243"/>
      <c r="EO10" s="3243"/>
      <c r="EP10" s="3243"/>
      <c r="EQ10" s="3243"/>
      <c r="ER10" s="3243"/>
      <c r="ES10" s="3243"/>
      <c r="ET10" s="3243"/>
      <c r="EU10" s="3243"/>
      <c r="EV10" s="3243"/>
      <c r="EW10" s="3243"/>
      <c r="EX10" s="3243"/>
      <c r="EY10" s="3243"/>
      <c r="EZ10" s="3243"/>
      <c r="FA10" s="3243"/>
      <c r="FB10" s="3243"/>
      <c r="FC10" s="3243"/>
      <c r="FD10" s="3243"/>
      <c r="FE10" s="3243"/>
      <c r="FF10" s="3243"/>
      <c r="FG10" s="3243"/>
      <c r="FH10" s="3243"/>
      <c r="FI10" s="3243"/>
      <c r="FJ10" s="3243"/>
      <c r="FK10" s="3243"/>
      <c r="FL10" s="3243"/>
      <c r="FM10" s="3243"/>
      <c r="FN10" s="3243"/>
      <c r="FO10" s="3243"/>
      <c r="FP10" s="3243"/>
      <c r="FQ10" s="3243"/>
      <c r="FR10" s="3243"/>
      <c r="FS10" s="3243"/>
      <c r="FT10" s="3243"/>
      <c r="FU10" s="3243"/>
      <c r="FV10" s="3244"/>
      <c r="FW10" s="3264"/>
      <c r="FX10" s="1969"/>
    </row>
    <row customHeight="1" ht="12">
      <c r="E11" s="1849"/>
      <c r="F11" s="3029" t="s">
        <v>84</v>
      </c>
      <c r="G11" s="3029" t="s">
        <v>1046</v>
      </c>
      <c r="H11" s="3253" t="s">
        <v>1047</v>
      </c>
      <c r="I11" s="3253" t="s">
        <v>1048</v>
      </c>
      <c r="J11" s="3254"/>
      <c r="K11" s="3254"/>
      <c r="L11" s="3254"/>
      <c r="M11" s="3254"/>
      <c r="N11" s="3254"/>
      <c r="O11" s="3033" t="s">
        <v>1049</v>
      </c>
      <c r="P11" s="3033"/>
      <c r="Q11" s="3033"/>
      <c r="R11" s="3033"/>
      <c r="S11" s="3033"/>
      <c r="T11" s="3033"/>
      <c r="U11" s="3033"/>
      <c r="V11" s="3033"/>
      <c r="W11" s="3033"/>
      <c r="X11" s="3033"/>
      <c r="Y11" s="3033"/>
      <c r="Z11" s="3033"/>
      <c r="AA11" s="3033"/>
      <c r="AB11" s="3033"/>
      <c r="AC11" s="3249"/>
      <c r="AD11" s="3249"/>
      <c r="AE11" s="3249"/>
      <c r="AF11" s="3249"/>
      <c r="AG11" s="3249"/>
      <c r="AH11" s="3249"/>
      <c r="AI11" s="3249"/>
      <c r="AJ11" s="3249"/>
      <c r="AK11" s="3249"/>
      <c r="AL11" s="3249"/>
      <c r="AM11" s="3249"/>
      <c r="AN11" s="3249"/>
      <c r="AO11" s="3249"/>
      <c r="AP11" s="3249"/>
      <c r="AQ11" s="3249"/>
      <c r="AR11" s="3249"/>
      <c r="AS11" s="3249"/>
      <c r="AT11" s="3249"/>
      <c r="AU11" s="3249"/>
      <c r="AV11" s="3249"/>
      <c r="AW11" s="3249"/>
      <c r="AX11" s="3249"/>
      <c r="AY11" s="3249"/>
      <c r="AZ11" s="3249"/>
      <c r="BA11" s="3249"/>
      <c r="BB11" s="3249"/>
      <c r="BC11" s="3249"/>
      <c r="BD11" s="3249"/>
      <c r="BE11" s="3249"/>
      <c r="BF11" s="3249"/>
      <c r="BG11" s="3249"/>
      <c r="BH11" s="3249"/>
      <c r="BI11" s="3249"/>
      <c r="BJ11" s="3249"/>
      <c r="BK11" s="3249"/>
      <c r="BL11" s="3249"/>
      <c r="BM11" s="3249"/>
      <c r="BN11" s="3249"/>
      <c r="BO11" s="3249"/>
      <c r="BP11" s="3249"/>
      <c r="BQ11" s="3249"/>
      <c r="BR11" s="3249"/>
      <c r="BS11" s="3269"/>
      <c r="BT11" s="3246" t="s">
        <v>1049</v>
      </c>
      <c r="BU11" s="3247"/>
      <c r="BV11" s="3247"/>
      <c r="BW11" s="3247"/>
      <c r="BX11" s="3247"/>
      <c r="BY11" s="3247"/>
      <c r="BZ11" s="3247"/>
      <c r="CA11" s="3247"/>
      <c r="CB11" s="3247"/>
      <c r="CC11" s="3247"/>
      <c r="CD11" s="3247"/>
      <c r="CE11" s="3247"/>
      <c r="CF11" s="3247"/>
      <c r="CG11" s="3247"/>
      <c r="CH11" s="3247"/>
      <c r="CI11" s="3247"/>
      <c r="CJ11" s="3247"/>
      <c r="CK11" s="3248"/>
      <c r="CL11" s="3252"/>
      <c r="CM11" s="3249"/>
      <c r="CN11" s="3249"/>
      <c r="CO11" s="3249"/>
      <c r="CP11" s="3249"/>
      <c r="CQ11" s="3249"/>
      <c r="CR11" s="3249"/>
      <c r="CS11" s="3249"/>
      <c r="CT11" s="3249"/>
      <c r="CU11" s="3249"/>
      <c r="CV11" s="3249"/>
      <c r="CW11" s="3249"/>
      <c r="CX11" s="3269"/>
      <c r="CY11" s="3246" t="s">
        <v>1049</v>
      </c>
      <c r="CZ11" s="3247"/>
      <c r="DA11" s="3247"/>
      <c r="DB11" s="3247"/>
      <c r="DC11" s="3247"/>
      <c r="DD11" s="3247"/>
      <c r="DE11" s="3247"/>
      <c r="DF11" s="3247"/>
      <c r="DG11" s="3247"/>
      <c r="DH11" s="3247"/>
      <c r="DI11" s="3247"/>
      <c r="DJ11" s="3248"/>
      <c r="DK11" s="3252"/>
      <c r="DL11" s="3249"/>
      <c r="DM11" s="3249"/>
      <c r="DN11" s="3249"/>
      <c r="DO11" s="3249"/>
      <c r="DP11" s="3249"/>
      <c r="DQ11" s="3249"/>
      <c r="DR11" s="3249"/>
      <c r="DS11" s="3249"/>
      <c r="DT11" s="3249"/>
      <c r="DU11" s="3249"/>
      <c r="DV11" s="3249"/>
      <c r="DW11" s="3249"/>
      <c r="DX11" s="3249"/>
      <c r="DY11" s="3249"/>
      <c r="DZ11" s="3249"/>
      <c r="EA11" s="3249"/>
      <c r="EB11" s="3249"/>
      <c r="EC11" s="3249"/>
      <c r="ED11" s="3249"/>
      <c r="EE11" s="3249"/>
      <c r="EF11" s="3249"/>
      <c r="EG11" s="3249"/>
      <c r="EH11" s="3249"/>
      <c r="EI11" s="3249"/>
      <c r="EJ11" s="3249"/>
      <c r="EK11" s="3249"/>
      <c r="EL11" s="3249"/>
      <c r="EM11" s="3249"/>
      <c r="EN11" s="3249"/>
      <c r="EO11" s="3249"/>
      <c r="EP11" s="3249"/>
      <c r="EQ11" s="3249"/>
      <c r="ER11" s="3249"/>
      <c r="ES11" s="3249"/>
      <c r="ET11" s="3249"/>
      <c r="EU11" s="3249"/>
      <c r="EV11" s="3249"/>
      <c r="EW11" s="3249"/>
      <c r="EX11" s="3249"/>
      <c r="EY11" s="3249"/>
      <c r="EZ11" s="3249"/>
      <c r="FA11" s="3249"/>
      <c r="FB11" s="3249"/>
      <c r="FC11" s="3249"/>
      <c r="FD11" s="3249"/>
      <c r="FE11" s="3249"/>
      <c r="FF11" s="3249"/>
      <c r="FG11" s="3249"/>
      <c r="FH11" s="3249"/>
      <c r="FI11" s="3249"/>
      <c r="FJ11" s="3249"/>
      <c r="FK11" s="3249"/>
      <c r="FL11" s="3249"/>
      <c r="FM11" s="3249"/>
      <c r="FN11" s="3249"/>
      <c r="FO11" s="3249"/>
      <c r="FP11" s="3249"/>
      <c r="FQ11" s="3249"/>
      <c r="FR11" s="3249"/>
      <c r="FS11" s="3249"/>
      <c r="FT11" s="3249"/>
      <c r="FU11" s="3249"/>
      <c r="FV11" s="3249"/>
      <c r="FW11" s="3264"/>
      <c r="FX11" s="1674"/>
    </row>
    <row customHeight="1" ht="12">
      <c r="D12" s="1850"/>
      <c r="E12" s="1849"/>
      <c r="F12" s="3029"/>
      <c r="G12" s="3029"/>
      <c r="H12" s="3253"/>
      <c r="I12" s="3253"/>
      <c r="J12" s="3254"/>
      <c r="K12" s="3254"/>
      <c r="L12" s="3254"/>
      <c r="M12" s="3254"/>
      <c r="N12" s="3254"/>
      <c r="O12" s="3033" t="s">
        <v>1050</v>
      </c>
      <c r="P12" s="3033"/>
      <c r="Q12" s="3033"/>
      <c r="R12" s="3033"/>
      <c r="S12" s="3033" t="s">
        <v>1051</v>
      </c>
      <c r="T12" s="3033"/>
      <c r="U12" s="3033"/>
      <c r="V12" s="3033"/>
      <c r="W12" s="3033"/>
      <c r="X12" s="3033"/>
      <c r="Y12" s="3033"/>
      <c r="Z12" s="3033"/>
      <c r="AA12" s="3033"/>
      <c r="AB12" s="3033"/>
      <c r="AC12" s="3249"/>
      <c r="AD12" s="3249"/>
      <c r="AE12" s="3249"/>
      <c r="AF12" s="3249"/>
      <c r="AG12" s="3249"/>
      <c r="AH12" s="3249"/>
      <c r="AI12" s="3249"/>
      <c r="AJ12" s="3249"/>
      <c r="AK12" s="3249"/>
      <c r="AL12" s="3249"/>
      <c r="AM12" s="3249"/>
      <c r="AN12" s="3249"/>
      <c r="AO12" s="3249"/>
      <c r="AP12" s="3249"/>
      <c r="AQ12" s="3249"/>
      <c r="AR12" s="3249"/>
      <c r="AS12" s="3249"/>
      <c r="AT12" s="3249"/>
      <c r="AU12" s="3249"/>
      <c r="AV12" s="3249"/>
      <c r="AW12" s="3249"/>
      <c r="AX12" s="3249"/>
      <c r="AY12" s="3249"/>
      <c r="AZ12" s="3249"/>
      <c r="BA12" s="3249"/>
      <c r="BB12" s="3249"/>
      <c r="BC12" s="3249"/>
      <c r="BD12" s="3249"/>
      <c r="BE12" s="3249"/>
      <c r="BF12" s="3249"/>
      <c r="BG12" s="3249"/>
      <c r="BH12" s="3249"/>
      <c r="BI12" s="3249"/>
      <c r="BJ12" s="3249"/>
      <c r="BK12" s="3249"/>
      <c r="BL12" s="3249"/>
      <c r="BM12" s="3249"/>
      <c r="BN12" s="3249"/>
      <c r="BO12" s="3249"/>
      <c r="BP12" s="3249"/>
      <c r="BQ12" s="3249"/>
      <c r="BR12" s="3249"/>
      <c r="BS12" s="3269"/>
      <c r="BT12" s="3246" t="s">
        <v>1052</v>
      </c>
      <c r="BU12" s="3247"/>
      <c r="BV12" s="3247"/>
      <c r="BW12" s="3248"/>
      <c r="BX12" s="3246" t="s">
        <v>1053</v>
      </c>
      <c r="BY12" s="3247"/>
      <c r="BZ12" s="3247"/>
      <c r="CA12" s="3248"/>
      <c r="CB12" s="3246" t="s">
        <v>1054</v>
      </c>
      <c r="CC12" s="3248"/>
      <c r="CD12" s="3246" t="s">
        <v>1055</v>
      </c>
      <c r="CE12" s="3247"/>
      <c r="CF12" s="3247"/>
      <c r="CG12" s="3247"/>
      <c r="CH12" s="3247"/>
      <c r="CI12" s="3247"/>
      <c r="CJ12" s="3247"/>
      <c r="CK12" s="3248"/>
      <c r="CL12" s="3252"/>
      <c r="CM12" s="3249"/>
      <c r="CN12" s="3249"/>
      <c r="CO12" s="3249"/>
      <c r="CP12" s="3249"/>
      <c r="CQ12" s="3249"/>
      <c r="CR12" s="3249"/>
      <c r="CS12" s="3249"/>
      <c r="CT12" s="3249"/>
      <c r="CU12" s="3249"/>
      <c r="CV12" s="3249"/>
      <c r="CW12" s="3249"/>
      <c r="CX12" s="3269"/>
      <c r="CY12" s="3246" t="s">
        <v>1056</v>
      </c>
      <c r="CZ12" s="3247"/>
      <c r="DA12" s="3247"/>
      <c r="DB12" s="3247"/>
      <c r="DC12" s="3247"/>
      <c r="DD12" s="3248"/>
      <c r="DE12" s="3246" t="s">
        <v>1057</v>
      </c>
      <c r="DF12" s="3248"/>
      <c r="DG12" s="3246" t="s">
        <v>1055</v>
      </c>
      <c r="DH12" s="3247"/>
      <c r="DI12" s="3247"/>
      <c r="DJ12" s="3248"/>
      <c r="DK12" s="3252"/>
      <c r="DL12" s="3249"/>
      <c r="DM12" s="3249"/>
      <c r="DN12" s="3249"/>
      <c r="DO12" s="3249"/>
      <c r="DP12" s="3249"/>
      <c r="DQ12" s="3249"/>
      <c r="DR12" s="3249"/>
      <c r="DS12" s="3249"/>
      <c r="DT12" s="3249"/>
      <c r="DU12" s="3249"/>
      <c r="DV12" s="3249"/>
      <c r="DW12" s="3249"/>
      <c r="DX12" s="3249"/>
      <c r="DY12" s="3249"/>
      <c r="DZ12" s="3249"/>
      <c r="EA12" s="3249"/>
      <c r="EB12" s="3249"/>
      <c r="EC12" s="3249"/>
      <c r="ED12" s="3249"/>
      <c r="EE12" s="3249"/>
      <c r="EF12" s="3249"/>
      <c r="EG12" s="3249"/>
      <c r="EH12" s="3249"/>
      <c r="EI12" s="3249"/>
      <c r="EJ12" s="3249"/>
      <c r="EK12" s="3249"/>
      <c r="EL12" s="3249"/>
      <c r="EM12" s="3249"/>
      <c r="EN12" s="3249"/>
      <c r="EO12" s="3249"/>
      <c r="EP12" s="3249"/>
      <c r="EQ12" s="3249"/>
      <c r="ER12" s="3249"/>
      <c r="ES12" s="3249"/>
      <c r="ET12" s="3249"/>
      <c r="EU12" s="3249"/>
      <c r="EV12" s="3249"/>
      <c r="EW12" s="3249"/>
      <c r="EX12" s="3249"/>
      <c r="EY12" s="3249"/>
      <c r="EZ12" s="3249"/>
      <c r="FA12" s="3249"/>
      <c r="FB12" s="3249"/>
      <c r="FC12" s="3249"/>
      <c r="FD12" s="3249"/>
      <c r="FE12" s="3249"/>
      <c r="FF12" s="3249"/>
      <c r="FG12" s="3249"/>
      <c r="FH12" s="3249"/>
      <c r="FI12" s="3249"/>
      <c r="FJ12" s="3249"/>
      <c r="FK12" s="3249"/>
      <c r="FL12" s="3249"/>
      <c r="FM12" s="3249"/>
      <c r="FN12" s="3249"/>
      <c r="FO12" s="3249"/>
      <c r="FP12" s="3249"/>
      <c r="FQ12" s="3249"/>
      <c r="FR12" s="3249"/>
      <c r="FS12" s="3249"/>
      <c r="FT12" s="3249"/>
      <c r="FU12" s="3249"/>
      <c r="FV12" s="3249"/>
      <c r="FW12" s="3264"/>
      <c r="FX12" s="1674"/>
    </row>
    <row customHeight="1" ht="36">
      <c r="D13" s="1850"/>
      <c r="E13" s="1849"/>
      <c r="F13" s="3029"/>
      <c r="G13" s="3029"/>
      <c r="H13" s="3253"/>
      <c r="I13" s="3253"/>
      <c r="J13" s="3254"/>
      <c r="K13" s="3254"/>
      <c r="L13" s="3254"/>
      <c r="M13" s="3254"/>
      <c r="N13" s="3254"/>
      <c r="O13" s="3033" t="s">
        <v>1058</v>
      </c>
      <c r="P13" s="3033"/>
      <c r="Q13" s="3033"/>
      <c r="R13" s="3033"/>
      <c r="S13" s="3153" t="s">
        <v>1059</v>
      </c>
      <c r="T13" s="3250"/>
      <c r="U13" s="2953" t="s">
        <v>1060</v>
      </c>
      <c r="V13" s="2953"/>
      <c r="W13" s="2953"/>
      <c r="X13" s="2953"/>
      <c r="Y13" s="2953" t="s">
        <v>1061</v>
      </c>
      <c r="Z13" s="2953"/>
      <c r="AA13" s="2953"/>
      <c r="AB13" s="2953"/>
      <c r="AC13" s="3249"/>
      <c r="AD13" s="3249"/>
      <c r="AE13" s="3249"/>
      <c r="AF13" s="3249"/>
      <c r="AG13" s="3249"/>
      <c r="AH13" s="3249"/>
      <c r="AI13" s="3249"/>
      <c r="AJ13" s="3249"/>
      <c r="AK13" s="3249"/>
      <c r="AL13" s="3249"/>
      <c r="AM13" s="3249"/>
      <c r="AN13" s="3249"/>
      <c r="AO13" s="3249"/>
      <c r="AP13" s="3249"/>
      <c r="AQ13" s="3249"/>
      <c r="AR13" s="3249"/>
      <c r="AS13" s="3249"/>
      <c r="AT13" s="3249"/>
      <c r="AU13" s="3249"/>
      <c r="AV13" s="3249"/>
      <c r="AW13" s="3249"/>
      <c r="AX13" s="3249"/>
      <c r="AY13" s="3249"/>
      <c r="AZ13" s="3249"/>
      <c r="BA13" s="3249"/>
      <c r="BB13" s="3249"/>
      <c r="BC13" s="3249"/>
      <c r="BD13" s="3249"/>
      <c r="BE13" s="3249"/>
      <c r="BF13" s="3249"/>
      <c r="BG13" s="3249"/>
      <c r="BH13" s="3249"/>
      <c r="BI13" s="3249"/>
      <c r="BJ13" s="3249"/>
      <c r="BK13" s="3249"/>
      <c r="BL13" s="3249"/>
      <c r="BM13" s="3249"/>
      <c r="BN13" s="3249"/>
      <c r="BO13" s="3249"/>
      <c r="BP13" s="3249"/>
      <c r="BQ13" s="3249"/>
      <c r="BR13" s="3249"/>
      <c r="BS13" s="3269"/>
      <c r="BT13" s="3153" t="s">
        <v>1062</v>
      </c>
      <c r="BU13" s="3250"/>
      <c r="BV13" s="3153" t="s">
        <v>1063</v>
      </c>
      <c r="BW13" s="3250"/>
      <c r="BX13" s="3153" t="s">
        <v>1064</v>
      </c>
      <c r="BY13" s="3250"/>
      <c r="BZ13" s="3153" t="s">
        <v>1065</v>
      </c>
      <c r="CA13" s="3250"/>
      <c r="CB13" s="3153" t="s">
        <v>1066</v>
      </c>
      <c r="CC13" s="3250"/>
      <c r="CD13" s="3153" t="s">
        <v>1067</v>
      </c>
      <c r="CE13" s="3250"/>
      <c r="CF13" s="3153" t="s">
        <v>1068</v>
      </c>
      <c r="CG13" s="3250"/>
      <c r="CH13" s="3246" t="s">
        <v>1069</v>
      </c>
      <c r="CI13" s="3247"/>
      <c r="CJ13" s="3247"/>
      <c r="CK13" s="3248"/>
      <c r="CL13" s="3252"/>
      <c r="CM13" s="3249"/>
      <c r="CN13" s="3249"/>
      <c r="CO13" s="3249"/>
      <c r="CP13" s="3249"/>
      <c r="CQ13" s="3249"/>
      <c r="CR13" s="3249"/>
      <c r="CS13" s="3249"/>
      <c r="CT13" s="3249"/>
      <c r="CU13" s="3249"/>
      <c r="CV13" s="3249"/>
      <c r="CW13" s="3249"/>
      <c r="CX13" s="3269"/>
      <c r="CY13" s="3153" t="s">
        <v>1070</v>
      </c>
      <c r="CZ13" s="3250"/>
      <c r="DA13" s="3153" t="s">
        <v>1071</v>
      </c>
      <c r="DB13" s="3250"/>
      <c r="DC13" s="3153" t="s">
        <v>1072</v>
      </c>
      <c r="DD13" s="3250"/>
      <c r="DE13" s="3153" t="s">
        <v>1073</v>
      </c>
      <c r="DF13" s="3250"/>
      <c r="DG13" s="3246" t="s">
        <v>1074</v>
      </c>
      <c r="DH13" s="3247"/>
      <c r="DI13" s="3247"/>
      <c r="DJ13" s="3248"/>
      <c r="DK13" s="3252"/>
      <c r="DL13" s="3249"/>
      <c r="DM13" s="3249"/>
      <c r="DN13" s="3249"/>
      <c r="DO13" s="3249"/>
      <c r="DP13" s="3249"/>
      <c r="DQ13" s="3249"/>
      <c r="DR13" s="3249"/>
      <c r="DS13" s="3249"/>
      <c r="DT13" s="3249"/>
      <c r="DU13" s="3249"/>
      <c r="DV13" s="3249"/>
      <c r="DW13" s="3249"/>
      <c r="DX13" s="3249"/>
      <c r="DY13" s="3249"/>
      <c r="DZ13" s="3249"/>
      <c r="EA13" s="3249"/>
      <c r="EB13" s="3249"/>
      <c r="EC13" s="3249"/>
      <c r="ED13" s="3249"/>
      <c r="EE13" s="3249"/>
      <c r="EF13" s="3249"/>
      <c r="EG13" s="3249"/>
      <c r="EH13" s="3249"/>
      <c r="EI13" s="3249"/>
      <c r="EJ13" s="3249"/>
      <c r="EK13" s="3249"/>
      <c r="EL13" s="3249"/>
      <c r="EM13" s="3249"/>
      <c r="EN13" s="3249"/>
      <c r="EO13" s="3249"/>
      <c r="EP13" s="3249"/>
      <c r="EQ13" s="3249"/>
      <c r="ER13" s="3249"/>
      <c r="ES13" s="3249"/>
      <c r="ET13" s="3249"/>
      <c r="EU13" s="3249"/>
      <c r="EV13" s="3249"/>
      <c r="EW13" s="3249"/>
      <c r="EX13" s="3249"/>
      <c r="EY13" s="3249"/>
      <c r="EZ13" s="3249"/>
      <c r="FA13" s="3249"/>
      <c r="FB13" s="3249"/>
      <c r="FC13" s="3249"/>
      <c r="FD13" s="3249"/>
      <c r="FE13" s="3249"/>
      <c r="FF13" s="3249"/>
      <c r="FG13" s="3249"/>
      <c r="FH13" s="3249"/>
      <c r="FI13" s="3249"/>
      <c r="FJ13" s="3249"/>
      <c r="FK13" s="3249"/>
      <c r="FL13" s="3249"/>
      <c r="FM13" s="3249"/>
      <c r="FN13" s="3249"/>
      <c r="FO13" s="3249"/>
      <c r="FP13" s="3249"/>
      <c r="FQ13" s="3249"/>
      <c r="FR13" s="3249"/>
      <c r="FS13" s="3249"/>
      <c r="FT13" s="3249"/>
      <c r="FU13" s="3249"/>
      <c r="FV13" s="3249"/>
      <c r="FW13" s="3264"/>
      <c r="FX13" s="1674"/>
    </row>
    <row customHeight="1" ht="36">
      <c r="D14" s="1850"/>
      <c r="E14" s="1849"/>
      <c r="F14" s="3029"/>
      <c r="G14" s="3029"/>
      <c r="H14" s="3253"/>
      <c r="I14" s="3253"/>
      <c r="J14" s="3254"/>
      <c r="K14" s="3254"/>
      <c r="L14" s="3254"/>
      <c r="M14" s="3254"/>
      <c r="N14" s="3254"/>
      <c r="O14" s="3153" t="s">
        <v>1075</v>
      </c>
      <c r="P14" s="3250"/>
      <c r="Q14" s="3153" t="s">
        <v>1076</v>
      </c>
      <c r="R14" s="3250"/>
      <c r="S14" s="3154"/>
      <c r="T14" s="3037"/>
      <c r="U14" s="3153" t="s">
        <v>742</v>
      </c>
      <c r="V14" s="3250"/>
      <c r="W14" s="3153" t="s">
        <v>745</v>
      </c>
      <c r="X14" s="3250"/>
      <c r="Y14" s="3153" t="s">
        <v>742</v>
      </c>
      <c r="Z14" s="3250"/>
      <c r="AA14" s="3153" t="s">
        <v>752</v>
      </c>
      <c r="AB14" s="3250"/>
      <c r="AC14" s="3249"/>
      <c r="AD14" s="3249"/>
      <c r="AE14" s="3249"/>
      <c r="AF14" s="3249"/>
      <c r="AG14" s="3249"/>
      <c r="AH14" s="3249"/>
      <c r="AI14" s="3249"/>
      <c r="AJ14" s="3249"/>
      <c r="AK14" s="3249"/>
      <c r="AL14" s="3249"/>
      <c r="AM14" s="3249"/>
      <c r="AN14" s="3249"/>
      <c r="AO14" s="3249"/>
      <c r="AP14" s="3249"/>
      <c r="AQ14" s="3249"/>
      <c r="AR14" s="3249"/>
      <c r="AS14" s="3249"/>
      <c r="AT14" s="3249"/>
      <c r="AU14" s="3249"/>
      <c r="AV14" s="3249"/>
      <c r="AW14" s="3249"/>
      <c r="AX14" s="3249"/>
      <c r="AY14" s="3249"/>
      <c r="AZ14" s="3249"/>
      <c r="BA14" s="3249"/>
      <c r="BB14" s="3249"/>
      <c r="BC14" s="3249"/>
      <c r="BD14" s="3249"/>
      <c r="BE14" s="3249"/>
      <c r="BF14" s="3249"/>
      <c r="BG14" s="3249"/>
      <c r="BH14" s="3249"/>
      <c r="BI14" s="3249"/>
      <c r="BJ14" s="3249"/>
      <c r="BK14" s="3249"/>
      <c r="BL14" s="3249"/>
      <c r="BM14" s="3249"/>
      <c r="BN14" s="3249"/>
      <c r="BO14" s="3249"/>
      <c r="BP14" s="3249"/>
      <c r="BQ14" s="3249"/>
      <c r="BR14" s="3249"/>
      <c r="BS14" s="3269"/>
      <c r="BT14" s="3154"/>
      <c r="BU14" s="3037"/>
      <c r="BV14" s="3154"/>
      <c r="BW14" s="3037"/>
      <c r="BX14" s="3154"/>
      <c r="BY14" s="3037"/>
      <c r="BZ14" s="3154"/>
      <c r="CA14" s="3037"/>
      <c r="CB14" s="3154"/>
      <c r="CC14" s="3037"/>
      <c r="CD14" s="3154"/>
      <c r="CE14" s="3037"/>
      <c r="CF14" s="3154"/>
      <c r="CG14" s="3037"/>
      <c r="CH14" s="3153" t="s">
        <v>1077</v>
      </c>
      <c r="CI14" s="3250"/>
      <c r="CJ14" s="3153" t="s">
        <v>1078</v>
      </c>
      <c r="CK14" s="3250"/>
      <c r="CL14" s="3252"/>
      <c r="CM14" s="3249"/>
      <c r="CN14" s="3249"/>
      <c r="CO14" s="3249"/>
      <c r="CP14" s="3249"/>
      <c r="CQ14" s="3249"/>
      <c r="CR14" s="3249"/>
      <c r="CS14" s="3249"/>
      <c r="CT14" s="3249"/>
      <c r="CU14" s="3249"/>
      <c r="CV14" s="3249"/>
      <c r="CW14" s="3249"/>
      <c r="CX14" s="3269"/>
      <c r="CY14" s="3154"/>
      <c r="CZ14" s="3037"/>
      <c r="DA14" s="3154"/>
      <c r="DB14" s="3037"/>
      <c r="DC14" s="3154"/>
      <c r="DD14" s="3037"/>
      <c r="DE14" s="3154"/>
      <c r="DF14" s="3037"/>
      <c r="DG14" s="3153" t="s">
        <v>1079</v>
      </c>
      <c r="DH14" s="3250"/>
      <c r="DI14" s="3153" t="s">
        <v>1080</v>
      </c>
      <c r="DJ14" s="3250"/>
      <c r="DK14" s="3252"/>
      <c r="DL14" s="3249"/>
      <c r="DM14" s="3249"/>
      <c r="DN14" s="3249"/>
      <c r="DO14" s="3249"/>
      <c r="DP14" s="3249"/>
      <c r="DQ14" s="3249"/>
      <c r="DR14" s="3249"/>
      <c r="DS14" s="3249"/>
      <c r="DT14" s="3249"/>
      <c r="DU14" s="3249"/>
      <c r="DV14" s="3249"/>
      <c r="DW14" s="3249"/>
      <c r="DX14" s="3249"/>
      <c r="DY14" s="3249"/>
      <c r="DZ14" s="3249"/>
      <c r="EA14" s="3249"/>
      <c r="EB14" s="3249"/>
      <c r="EC14" s="3249"/>
      <c r="ED14" s="3249"/>
      <c r="EE14" s="3249"/>
      <c r="EF14" s="3249"/>
      <c r="EG14" s="3249"/>
      <c r="EH14" s="3249"/>
      <c r="EI14" s="3249"/>
      <c r="EJ14" s="3249"/>
      <c r="EK14" s="3249"/>
      <c r="EL14" s="3249"/>
      <c r="EM14" s="3249"/>
      <c r="EN14" s="3249"/>
      <c r="EO14" s="3249"/>
      <c r="EP14" s="3249"/>
      <c r="EQ14" s="3249"/>
      <c r="ER14" s="3249"/>
      <c r="ES14" s="3249"/>
      <c r="ET14" s="3249"/>
      <c r="EU14" s="3249"/>
      <c r="EV14" s="3249"/>
      <c r="EW14" s="3249"/>
      <c r="EX14" s="3249"/>
      <c r="EY14" s="3249"/>
      <c r="EZ14" s="3249"/>
      <c r="FA14" s="3249"/>
      <c r="FB14" s="3249"/>
      <c r="FC14" s="3249"/>
      <c r="FD14" s="3249"/>
      <c r="FE14" s="3249"/>
      <c r="FF14" s="3249"/>
      <c r="FG14" s="3249"/>
      <c r="FH14" s="3249"/>
      <c r="FI14" s="3249"/>
      <c r="FJ14" s="3249"/>
      <c r="FK14" s="3249"/>
      <c r="FL14" s="3249"/>
      <c r="FM14" s="3249"/>
      <c r="FN14" s="3249"/>
      <c r="FO14" s="3249"/>
      <c r="FP14" s="3249"/>
      <c r="FQ14" s="3249"/>
      <c r="FR14" s="3249"/>
      <c r="FS14" s="3249"/>
      <c r="FT14" s="3249"/>
      <c r="FU14" s="3249"/>
      <c r="FV14" s="3249"/>
      <c r="FW14" s="3264"/>
      <c r="FX14" s="1674"/>
    </row>
    <row customHeight="1" ht="36">
      <c r="D15" s="1850"/>
      <c r="E15" s="1849"/>
      <c r="F15" s="3029"/>
      <c r="G15" s="3029"/>
      <c r="H15" s="3253"/>
      <c r="I15" s="3253"/>
      <c r="J15" s="3254"/>
      <c r="K15" s="3254"/>
      <c r="L15" s="3254"/>
      <c r="M15" s="3254"/>
      <c r="N15" s="3254"/>
      <c r="O15" s="3155"/>
      <c r="P15" s="3251"/>
      <c r="Q15" s="3155"/>
      <c r="R15" s="3251"/>
      <c r="S15" s="3155"/>
      <c r="T15" s="3251"/>
      <c r="U15" s="3155"/>
      <c r="V15" s="3251"/>
      <c r="W15" s="3155"/>
      <c r="X15" s="3251"/>
      <c r="Y15" s="3155"/>
      <c r="Z15" s="3251"/>
      <c r="AA15" s="3155"/>
      <c r="AB15" s="3251"/>
      <c r="AC15" s="3249"/>
      <c r="AD15" s="3249"/>
      <c r="AE15" s="3249"/>
      <c r="AF15" s="3249"/>
      <c r="AG15" s="3249"/>
      <c r="AH15" s="3249"/>
      <c r="AI15" s="3249"/>
      <c r="AJ15" s="3249"/>
      <c r="AK15" s="3249"/>
      <c r="AL15" s="3249"/>
      <c r="AM15" s="3249"/>
      <c r="AN15" s="3249"/>
      <c r="AO15" s="3249"/>
      <c r="AP15" s="3249"/>
      <c r="AQ15" s="3249"/>
      <c r="AR15" s="3249"/>
      <c r="AS15" s="3249"/>
      <c r="AT15" s="3249"/>
      <c r="AU15" s="3249"/>
      <c r="AV15" s="3249"/>
      <c r="AW15" s="3249"/>
      <c r="AX15" s="3249"/>
      <c r="AY15" s="3249"/>
      <c r="AZ15" s="3249"/>
      <c r="BA15" s="3249"/>
      <c r="BB15" s="3249"/>
      <c r="BC15" s="3249"/>
      <c r="BD15" s="3249"/>
      <c r="BE15" s="3249"/>
      <c r="BF15" s="3249"/>
      <c r="BG15" s="3249"/>
      <c r="BH15" s="3249"/>
      <c r="BI15" s="3249"/>
      <c r="BJ15" s="3249"/>
      <c r="BK15" s="3249"/>
      <c r="BL15" s="3249"/>
      <c r="BM15" s="3249"/>
      <c r="BN15" s="3249"/>
      <c r="BO15" s="3249"/>
      <c r="BP15" s="3249"/>
      <c r="BQ15" s="3249"/>
      <c r="BR15" s="3249"/>
      <c r="BS15" s="3269"/>
      <c r="BT15" s="3155"/>
      <c r="BU15" s="3251"/>
      <c r="BV15" s="3155"/>
      <c r="BW15" s="3251"/>
      <c r="BX15" s="3155"/>
      <c r="BY15" s="3251"/>
      <c r="BZ15" s="3155"/>
      <c r="CA15" s="3251"/>
      <c r="CB15" s="3155"/>
      <c r="CC15" s="3251"/>
      <c r="CD15" s="3155"/>
      <c r="CE15" s="3251"/>
      <c r="CF15" s="3155"/>
      <c r="CG15" s="3251"/>
      <c r="CH15" s="3155"/>
      <c r="CI15" s="3251"/>
      <c r="CJ15" s="3155"/>
      <c r="CK15" s="3251"/>
      <c r="CL15" s="3252"/>
      <c r="CM15" s="3249"/>
      <c r="CN15" s="3249"/>
      <c r="CO15" s="3249"/>
      <c r="CP15" s="3249"/>
      <c r="CQ15" s="3249"/>
      <c r="CR15" s="3249"/>
      <c r="CS15" s="3249"/>
      <c r="CT15" s="3249"/>
      <c r="CU15" s="3249"/>
      <c r="CV15" s="3249"/>
      <c r="CW15" s="3249"/>
      <c r="CX15" s="3269"/>
      <c r="CY15" s="3155"/>
      <c r="CZ15" s="3251"/>
      <c r="DA15" s="3155"/>
      <c r="DB15" s="3251"/>
      <c r="DC15" s="3155"/>
      <c r="DD15" s="3251"/>
      <c r="DE15" s="3155"/>
      <c r="DF15" s="3251"/>
      <c r="DG15" s="3155"/>
      <c r="DH15" s="3251"/>
      <c r="DI15" s="3155"/>
      <c r="DJ15" s="3251"/>
      <c r="DK15" s="3252"/>
      <c r="DL15" s="3249"/>
      <c r="DM15" s="3249"/>
      <c r="DN15" s="3249"/>
      <c r="DO15" s="3249"/>
      <c r="DP15" s="3249"/>
      <c r="DQ15" s="3249"/>
      <c r="DR15" s="3249"/>
      <c r="DS15" s="3249"/>
      <c r="DT15" s="3249"/>
      <c r="DU15" s="3249"/>
      <c r="DV15" s="3249"/>
      <c r="DW15" s="3249"/>
      <c r="DX15" s="3249"/>
      <c r="DY15" s="3249"/>
      <c r="DZ15" s="3249"/>
      <c r="EA15" s="3249"/>
      <c r="EB15" s="3249"/>
      <c r="EC15" s="3249"/>
      <c r="ED15" s="3249"/>
      <c r="EE15" s="3249"/>
      <c r="EF15" s="3249"/>
      <c r="EG15" s="3249"/>
      <c r="EH15" s="3249"/>
      <c r="EI15" s="3249"/>
      <c r="EJ15" s="3249"/>
      <c r="EK15" s="3249"/>
      <c r="EL15" s="3249"/>
      <c r="EM15" s="3249"/>
      <c r="EN15" s="3249"/>
      <c r="EO15" s="3249"/>
      <c r="EP15" s="3249"/>
      <c r="EQ15" s="3249"/>
      <c r="ER15" s="3249"/>
      <c r="ES15" s="3249"/>
      <c r="ET15" s="3249"/>
      <c r="EU15" s="3249"/>
      <c r="EV15" s="3249"/>
      <c r="EW15" s="3249"/>
      <c r="EX15" s="3249"/>
      <c r="EY15" s="3249"/>
      <c r="EZ15" s="3249"/>
      <c r="FA15" s="3249"/>
      <c r="FB15" s="3249"/>
      <c r="FC15" s="3249"/>
      <c r="FD15" s="3249"/>
      <c r="FE15" s="3249"/>
      <c r="FF15" s="3249"/>
      <c r="FG15" s="3249"/>
      <c r="FH15" s="3249"/>
      <c r="FI15" s="3249"/>
      <c r="FJ15" s="3249"/>
      <c r="FK15" s="3249"/>
      <c r="FL15" s="3249"/>
      <c r="FM15" s="3249"/>
      <c r="FN15" s="3249"/>
      <c r="FO15" s="3249"/>
      <c r="FP15" s="3249"/>
      <c r="FQ15" s="3249"/>
      <c r="FR15" s="3249"/>
      <c r="FS15" s="3249"/>
      <c r="FT15" s="3249"/>
      <c r="FU15" s="3249"/>
      <c r="FV15" s="3249"/>
      <c r="FW15" s="3264"/>
      <c r="FX15" s="1674"/>
    </row>
    <row customHeight="1" ht="12">
      <c r="D16" s="1850"/>
      <c r="E16" s="1849"/>
      <c r="F16" s="3029"/>
      <c r="G16" s="3029"/>
      <c r="H16" s="3253"/>
      <c r="I16" s="3253"/>
      <c r="J16" s="3254"/>
      <c r="K16" s="3254"/>
      <c r="L16" s="3254"/>
      <c r="M16" s="3254"/>
      <c r="N16" s="3254"/>
      <c r="O16" s="3246" t="s">
        <v>732</v>
      </c>
      <c r="P16" s="3248"/>
      <c r="Q16" s="3246" t="s">
        <v>734</v>
      </c>
      <c r="R16" s="3248"/>
      <c r="S16" s="3246" t="s">
        <v>738</v>
      </c>
      <c r="T16" s="3248"/>
      <c r="U16" s="3246" t="s">
        <v>743</v>
      </c>
      <c r="V16" s="3248"/>
      <c r="W16" s="3246" t="s">
        <v>746</v>
      </c>
      <c r="X16" s="3248"/>
      <c r="Y16" s="3246" t="s">
        <v>750</v>
      </c>
      <c r="Z16" s="3248"/>
      <c r="AA16" s="3246" t="s">
        <v>753</v>
      </c>
      <c r="AB16" s="3248"/>
      <c r="AC16" s="3249"/>
      <c r="AD16" s="3249"/>
      <c r="AE16" s="3249"/>
      <c r="AF16" s="3249"/>
      <c r="AG16" s="3249"/>
      <c r="AH16" s="3249"/>
      <c r="AI16" s="3249"/>
      <c r="AJ16" s="3249"/>
      <c r="AK16" s="3249"/>
      <c r="AL16" s="3249"/>
      <c r="AM16" s="3249"/>
      <c r="AN16" s="3249"/>
      <c r="AO16" s="3249"/>
      <c r="AP16" s="3249"/>
      <c r="AQ16" s="3249"/>
      <c r="AR16" s="3249"/>
      <c r="AS16" s="3249"/>
      <c r="AT16" s="3249"/>
      <c r="AU16" s="3249"/>
      <c r="AV16" s="3249"/>
      <c r="AW16" s="3249"/>
      <c r="AX16" s="3249"/>
      <c r="AY16" s="3249"/>
      <c r="AZ16" s="3249"/>
      <c r="BA16" s="3249"/>
      <c r="BB16" s="3249"/>
      <c r="BC16" s="3249"/>
      <c r="BD16" s="3249"/>
      <c r="BE16" s="3249"/>
      <c r="BF16" s="3249"/>
      <c r="BG16" s="3249"/>
      <c r="BH16" s="3249"/>
      <c r="BI16" s="3249"/>
      <c r="BJ16" s="3249"/>
      <c r="BK16" s="3249"/>
      <c r="BL16" s="3249"/>
      <c r="BM16" s="3249"/>
      <c r="BN16" s="3249"/>
      <c r="BO16" s="3249"/>
      <c r="BP16" s="3249"/>
      <c r="BQ16" s="3249"/>
      <c r="BR16" s="3249"/>
      <c r="BS16" s="3269"/>
      <c r="BT16" s="3246" t="s">
        <v>550</v>
      </c>
      <c r="BU16" s="3248"/>
      <c r="BV16" s="3246" t="s">
        <v>550</v>
      </c>
      <c r="BW16" s="3248"/>
      <c r="BX16" s="3246" t="s">
        <v>550</v>
      </c>
      <c r="BY16" s="3248"/>
      <c r="BZ16" s="3246" t="s">
        <v>550</v>
      </c>
      <c r="CA16" s="3248"/>
      <c r="CB16" s="3246" t="s">
        <v>1081</v>
      </c>
      <c r="CC16" s="3248"/>
      <c r="CD16" s="3246" t="s">
        <v>550</v>
      </c>
      <c r="CE16" s="3248"/>
      <c r="CF16" s="3246" t="s">
        <v>1082</v>
      </c>
      <c r="CG16" s="3248"/>
      <c r="CH16" s="3246" t="s">
        <v>1083</v>
      </c>
      <c r="CI16" s="3248"/>
      <c r="CJ16" s="3246" t="s">
        <v>1083</v>
      </c>
      <c r="CK16" s="3248"/>
      <c r="CL16" s="3252"/>
      <c r="CM16" s="3249"/>
      <c r="CN16" s="3249"/>
      <c r="CO16" s="3249"/>
      <c r="CP16" s="3249"/>
      <c r="CQ16" s="3249"/>
      <c r="CR16" s="3249"/>
      <c r="CS16" s="3249"/>
      <c r="CT16" s="3249"/>
      <c r="CU16" s="3249"/>
      <c r="CV16" s="3249"/>
      <c r="CW16" s="3249"/>
      <c r="CX16" s="3269"/>
      <c r="CY16" s="3153" t="s">
        <v>550</v>
      </c>
      <c r="CZ16" s="3250"/>
      <c r="DA16" s="3153" t="s">
        <v>550</v>
      </c>
      <c r="DB16" s="3250"/>
      <c r="DC16" s="3153" t="s">
        <v>550</v>
      </c>
      <c r="DD16" s="3250"/>
      <c r="DE16" s="3246" t="s">
        <v>1081</v>
      </c>
      <c r="DF16" s="3248"/>
      <c r="DG16" s="3246" t="s">
        <v>1084</v>
      </c>
      <c r="DH16" s="3248"/>
      <c r="DI16" s="3246" t="s">
        <v>1084</v>
      </c>
      <c r="DJ16" s="3248"/>
      <c r="DK16" s="3252"/>
      <c r="DL16" s="3249"/>
      <c r="DM16" s="3249"/>
      <c r="DN16" s="3249"/>
      <c r="DO16" s="3249"/>
      <c r="DP16" s="3249"/>
      <c r="DQ16" s="3249"/>
      <c r="DR16" s="3249"/>
      <c r="DS16" s="3249"/>
      <c r="DT16" s="3249"/>
      <c r="DU16" s="3249"/>
      <c r="DV16" s="3249"/>
      <c r="DW16" s="3249"/>
      <c r="DX16" s="3249"/>
      <c r="DY16" s="3249"/>
      <c r="DZ16" s="3249"/>
      <c r="EA16" s="3249"/>
      <c r="EB16" s="3249"/>
      <c r="EC16" s="3249"/>
      <c r="ED16" s="3249"/>
      <c r="EE16" s="3249"/>
      <c r="EF16" s="3249"/>
      <c r="EG16" s="3249"/>
      <c r="EH16" s="3249"/>
      <c r="EI16" s="3249"/>
      <c r="EJ16" s="3249"/>
      <c r="EK16" s="3249"/>
      <c r="EL16" s="3249"/>
      <c r="EM16" s="3249"/>
      <c r="EN16" s="3249"/>
      <c r="EO16" s="3249"/>
      <c r="EP16" s="3249"/>
      <c r="EQ16" s="3249"/>
      <c r="ER16" s="3249"/>
      <c r="ES16" s="3249"/>
      <c r="ET16" s="3249"/>
      <c r="EU16" s="3249"/>
      <c r="EV16" s="3249"/>
      <c r="EW16" s="3249"/>
      <c r="EX16" s="3249"/>
      <c r="EY16" s="3249"/>
      <c r="EZ16" s="3249"/>
      <c r="FA16" s="3249"/>
      <c r="FB16" s="3249"/>
      <c r="FC16" s="3249"/>
      <c r="FD16" s="3249"/>
      <c r="FE16" s="3249"/>
      <c r="FF16" s="3249"/>
      <c r="FG16" s="3249"/>
      <c r="FH16" s="3249"/>
      <c r="FI16" s="3249"/>
      <c r="FJ16" s="3249"/>
      <c r="FK16" s="3249"/>
      <c r="FL16" s="3249"/>
      <c r="FM16" s="3249"/>
      <c r="FN16" s="3249"/>
      <c r="FO16" s="3249"/>
      <c r="FP16" s="3249"/>
      <c r="FQ16" s="3249"/>
      <c r="FR16" s="3249"/>
      <c r="FS16" s="3249"/>
      <c r="FT16" s="3249"/>
      <c r="FU16" s="3249"/>
      <c r="FV16" s="3249"/>
      <c r="FW16" s="3264"/>
      <c r="FX16" s="1674"/>
    </row>
    <row customHeight="1" ht="15">
      <c r="E17" s="1849"/>
      <c r="F17" s="3029"/>
      <c r="G17" s="3029"/>
      <c r="H17" s="3253"/>
      <c r="I17" s="3253"/>
      <c r="J17" s="3254"/>
      <c r="K17" s="3254"/>
      <c r="L17" s="3254"/>
      <c r="M17" s="3254"/>
      <c r="N17" s="3254"/>
      <c r="O17" s="2105" t="s">
        <v>1085</v>
      </c>
      <c r="P17" s="2105" t="s">
        <v>1086</v>
      </c>
      <c r="Q17" s="2105" t="s">
        <v>1085</v>
      </c>
      <c r="R17" s="2105" t="s">
        <v>1086</v>
      </c>
      <c r="S17" s="2105" t="s">
        <v>1085</v>
      </c>
      <c r="T17" s="2105" t="s">
        <v>1086</v>
      </c>
      <c r="U17" s="2105" t="s">
        <v>1085</v>
      </c>
      <c r="V17" s="2105" t="s">
        <v>1086</v>
      </c>
      <c r="W17" s="2105" t="s">
        <v>1085</v>
      </c>
      <c r="X17" s="2105" t="s">
        <v>1086</v>
      </c>
      <c r="Y17" s="2105" t="s">
        <v>1085</v>
      </c>
      <c r="Z17" s="2105" t="s">
        <v>1086</v>
      </c>
      <c r="AA17" s="2105" t="s">
        <v>1085</v>
      </c>
      <c r="AB17" s="2105" t="s">
        <v>1086</v>
      </c>
      <c r="AC17" s="3249"/>
      <c r="AD17" s="3249"/>
      <c r="AE17" s="3249"/>
      <c r="AF17" s="3249"/>
      <c r="AG17" s="3249"/>
      <c r="AH17" s="3249"/>
      <c r="AI17" s="3249"/>
      <c r="AJ17" s="3249"/>
      <c r="AK17" s="3249"/>
      <c r="AL17" s="3249"/>
      <c r="AM17" s="3249"/>
      <c r="AN17" s="3249"/>
      <c r="AO17" s="3249"/>
      <c r="AP17" s="3249"/>
      <c r="AQ17" s="3249"/>
      <c r="AR17" s="3249"/>
      <c r="AS17" s="3249"/>
      <c r="AT17" s="3249"/>
      <c r="AU17" s="3249"/>
      <c r="AV17" s="3249"/>
      <c r="AW17" s="3249"/>
      <c r="AX17" s="3249"/>
      <c r="AY17" s="3249"/>
      <c r="AZ17" s="3249"/>
      <c r="BA17" s="3249"/>
      <c r="BB17" s="3249"/>
      <c r="BC17" s="3249"/>
      <c r="BD17" s="3249"/>
      <c r="BE17" s="3249"/>
      <c r="BF17" s="3249"/>
      <c r="BG17" s="3249"/>
      <c r="BH17" s="3249"/>
      <c r="BI17" s="3249"/>
      <c r="BJ17" s="3249"/>
      <c r="BK17" s="3249"/>
      <c r="BL17" s="3249"/>
      <c r="BM17" s="3249"/>
      <c r="BN17" s="3249"/>
      <c r="BO17" s="3249"/>
      <c r="BP17" s="3249"/>
      <c r="BQ17" s="3249"/>
      <c r="BR17" s="3249"/>
      <c r="BS17" s="3269"/>
      <c r="BT17" s="2105" t="s">
        <v>1085</v>
      </c>
      <c r="BU17" s="2105" t="s">
        <v>1086</v>
      </c>
      <c r="BV17" s="2105" t="s">
        <v>1085</v>
      </c>
      <c r="BW17" s="2105" t="s">
        <v>1086</v>
      </c>
      <c r="BX17" s="2105" t="s">
        <v>1085</v>
      </c>
      <c r="BY17" s="2105" t="s">
        <v>1086</v>
      </c>
      <c r="BZ17" s="2105" t="s">
        <v>1085</v>
      </c>
      <c r="CA17" s="2105" t="s">
        <v>1086</v>
      </c>
      <c r="CB17" s="2105" t="s">
        <v>1085</v>
      </c>
      <c r="CC17" s="2105" t="s">
        <v>1086</v>
      </c>
      <c r="CD17" s="2105" t="s">
        <v>1085</v>
      </c>
      <c r="CE17" s="2105" t="s">
        <v>1086</v>
      </c>
      <c r="CF17" s="2105" t="s">
        <v>1085</v>
      </c>
      <c r="CG17" s="2105" t="s">
        <v>1086</v>
      </c>
      <c r="CH17" s="2105" t="s">
        <v>1085</v>
      </c>
      <c r="CI17" s="2105" t="s">
        <v>1086</v>
      </c>
      <c r="CJ17" s="2105" t="s">
        <v>1085</v>
      </c>
      <c r="CK17" s="2105" t="s">
        <v>1086</v>
      </c>
      <c r="CL17" s="3252"/>
      <c r="CM17" s="3249"/>
      <c r="CN17" s="3249"/>
      <c r="CO17" s="3249"/>
      <c r="CP17" s="3249"/>
      <c r="CQ17" s="3249"/>
      <c r="CR17" s="3249"/>
      <c r="CS17" s="3249"/>
      <c r="CT17" s="3249"/>
      <c r="CU17" s="3249"/>
      <c r="CV17" s="3249"/>
      <c r="CW17" s="3249"/>
      <c r="CX17" s="3269"/>
      <c r="CY17" s="2105" t="s">
        <v>1085</v>
      </c>
      <c r="CZ17" s="2105" t="s">
        <v>1086</v>
      </c>
      <c r="DA17" s="2105" t="s">
        <v>1085</v>
      </c>
      <c r="DB17" s="2105" t="s">
        <v>1086</v>
      </c>
      <c r="DC17" s="2105" t="s">
        <v>1085</v>
      </c>
      <c r="DD17" s="2105" t="s">
        <v>1086</v>
      </c>
      <c r="DE17" s="2105" t="s">
        <v>1085</v>
      </c>
      <c r="DF17" s="2105" t="s">
        <v>1086</v>
      </c>
      <c r="DG17" s="2105" t="s">
        <v>1085</v>
      </c>
      <c r="DH17" s="2105" t="s">
        <v>1086</v>
      </c>
      <c r="DI17" s="2105" t="s">
        <v>1085</v>
      </c>
      <c r="DJ17" s="2105" t="s">
        <v>1086</v>
      </c>
      <c r="DK17" s="3252"/>
      <c r="DL17" s="3249"/>
      <c r="DM17" s="3249"/>
      <c r="DN17" s="3249"/>
      <c r="DO17" s="3249"/>
      <c r="DP17" s="3249"/>
      <c r="DQ17" s="3249"/>
      <c r="DR17" s="3249"/>
      <c r="DS17" s="3249"/>
      <c r="DT17" s="3249"/>
      <c r="DU17" s="3249"/>
      <c r="DV17" s="3249"/>
      <c r="DW17" s="3249"/>
      <c r="DX17" s="3249"/>
      <c r="DY17" s="3249"/>
      <c r="DZ17" s="3249"/>
      <c r="EA17" s="3249"/>
      <c r="EB17" s="3249"/>
      <c r="EC17" s="3249"/>
      <c r="ED17" s="3249"/>
      <c r="EE17" s="3249"/>
      <c r="EF17" s="3249"/>
      <c r="EG17" s="3249"/>
      <c r="EH17" s="3249"/>
      <c r="EI17" s="3249"/>
      <c r="EJ17" s="3249"/>
      <c r="EK17" s="3249"/>
      <c r="EL17" s="3249"/>
      <c r="EM17" s="3249"/>
      <c r="EN17" s="3249"/>
      <c r="EO17" s="3249"/>
      <c r="EP17" s="3249"/>
      <c r="EQ17" s="3249"/>
      <c r="ER17" s="3249"/>
      <c r="ES17" s="3249"/>
      <c r="ET17" s="3249"/>
      <c r="EU17" s="3249"/>
      <c r="EV17" s="3249"/>
      <c r="EW17" s="3249"/>
      <c r="EX17" s="3249"/>
      <c r="EY17" s="3249"/>
      <c r="EZ17" s="3249"/>
      <c r="FA17" s="3249"/>
      <c r="FB17" s="3249"/>
      <c r="FC17" s="3249"/>
      <c r="FD17" s="3249"/>
      <c r="FE17" s="3249"/>
      <c r="FF17" s="3249"/>
      <c r="FG17" s="3249"/>
      <c r="FH17" s="3249"/>
      <c r="FI17" s="3249"/>
      <c r="FJ17" s="3249"/>
      <c r="FK17" s="3249"/>
      <c r="FL17" s="3249"/>
      <c r="FM17" s="3249"/>
      <c r="FN17" s="3249"/>
      <c r="FO17" s="3249"/>
      <c r="FP17" s="3249"/>
      <c r="FQ17" s="3249"/>
      <c r="FR17" s="3249"/>
      <c r="FS17" s="3249"/>
      <c r="FT17" s="3249"/>
      <c r="FU17" s="3249"/>
      <c r="FV17" s="3249"/>
      <c r="FW17" s="3265"/>
      <c r="FX17" s="1674"/>
    </row>
    <row s="41084" customFormat="1" customHeight="1" ht="12" hidden="1">
      <c r="B18" s="1835"/>
      <c r="E18" s="1851"/>
      <c r="F18" s="2106"/>
      <c r="G18" s="2106"/>
      <c r="H18" s="2106"/>
      <c r="I18" s="2106"/>
      <c r="J18" s="2107"/>
      <c r="K18" s="2107"/>
      <c r="L18" s="2107"/>
      <c r="M18" s="2107"/>
      <c r="N18" s="2107"/>
      <c r="O18" s="2106"/>
      <c r="P18" s="2106"/>
      <c r="Q18" s="2106"/>
      <c r="R18" s="2106"/>
      <c r="S18" s="2106"/>
      <c r="T18" s="2106"/>
      <c r="U18" s="2108"/>
      <c r="V18" s="2108"/>
      <c r="W18" s="2108"/>
      <c r="X18" s="2108"/>
      <c r="Y18" s="2108"/>
      <c r="Z18" s="2108"/>
      <c r="AA18" s="2108"/>
      <c r="AB18" s="2106"/>
      <c r="AC18" s="2107"/>
      <c r="AD18" s="2107"/>
      <c r="AE18" s="2107"/>
      <c r="AF18" s="2107"/>
      <c r="AG18" s="2107"/>
      <c r="AH18" s="2107"/>
      <c r="AI18" s="2107"/>
      <c r="AJ18" s="2107"/>
      <c r="AK18" s="2107"/>
      <c r="AL18" s="2107"/>
      <c r="AM18" s="2107"/>
      <c r="AN18" s="2107"/>
      <c r="AO18" s="2107"/>
      <c r="AP18" s="2107"/>
      <c r="AQ18" s="2107"/>
      <c r="AR18" s="2107"/>
      <c r="AS18" s="2107"/>
      <c r="AT18" s="2107"/>
      <c r="AU18" s="2107"/>
      <c r="AV18" s="2107"/>
      <c r="AW18" s="2107"/>
      <c r="AX18" s="2107"/>
      <c r="AY18" s="2107"/>
      <c r="AZ18" s="2107"/>
      <c r="BA18" s="2107"/>
      <c r="BB18" s="2107"/>
      <c r="BC18" s="2107"/>
      <c r="BD18" s="2107"/>
      <c r="BE18" s="2107"/>
      <c r="BF18" s="2107"/>
      <c r="BG18" s="2107"/>
      <c r="BH18" s="2107"/>
      <c r="BI18" s="2107"/>
      <c r="BJ18" s="2107"/>
      <c r="BK18" s="2107"/>
      <c r="BL18" s="2107"/>
      <c r="BM18" s="2107"/>
      <c r="BN18" s="2107"/>
      <c r="BO18" s="2107"/>
      <c r="BP18" s="2107"/>
      <c r="BQ18" s="2107"/>
      <c r="BR18" s="2107"/>
      <c r="BS18" s="2107"/>
      <c r="BT18" s="2109"/>
      <c r="BU18" s="2109"/>
      <c r="BV18" s="2109"/>
      <c r="BW18" s="2109"/>
      <c r="BX18" s="2109"/>
      <c r="BY18" s="2109"/>
      <c r="BZ18" s="2109"/>
      <c r="CA18" s="2109"/>
      <c r="CB18" s="2109"/>
      <c r="CC18" s="2109"/>
      <c r="CD18" s="2109"/>
      <c r="CE18" s="2109"/>
      <c r="CF18" s="2109"/>
      <c r="CG18" s="2109"/>
      <c r="CH18" s="2109"/>
      <c r="CI18" s="2109"/>
      <c r="CJ18" s="2109"/>
      <c r="CK18" s="2109"/>
      <c r="CL18" s="2107"/>
      <c r="CM18" s="2107"/>
      <c r="CN18" s="2107"/>
      <c r="CO18" s="2107"/>
      <c r="CP18" s="2107"/>
      <c r="CQ18" s="2107"/>
      <c r="CR18" s="2107"/>
      <c r="CS18" s="2107"/>
      <c r="CT18" s="2107"/>
      <c r="CU18" s="2107"/>
      <c r="CV18" s="2107"/>
      <c r="CW18" s="2107"/>
      <c r="CX18" s="2107"/>
      <c r="CY18" s="2109"/>
      <c r="CZ18" s="2109"/>
      <c r="DA18" s="2109"/>
      <c r="DB18" s="2109"/>
      <c r="DC18" s="2109"/>
      <c r="DD18" s="2109"/>
      <c r="DE18" s="2109"/>
      <c r="DF18" s="2109"/>
      <c r="DG18" s="2109"/>
      <c r="DH18" s="2109"/>
      <c r="DI18" s="2109"/>
      <c r="DJ18" s="2109"/>
      <c r="DK18" s="2107"/>
      <c r="DL18" s="2107"/>
      <c r="DM18" s="2107"/>
      <c r="DN18" s="2107"/>
      <c r="DO18" s="2107"/>
      <c r="DP18" s="2107"/>
      <c r="DQ18" s="2107"/>
      <c r="DR18" s="2107"/>
      <c r="DS18" s="2107"/>
      <c r="DT18" s="2107"/>
      <c r="DU18" s="2107"/>
      <c r="DV18" s="2107"/>
      <c r="DW18" s="2107"/>
      <c r="DX18" s="2107"/>
      <c r="DY18" s="2107"/>
      <c r="DZ18" s="2107"/>
      <c r="EA18" s="2107"/>
      <c r="EB18" s="2107"/>
      <c r="EC18" s="2107"/>
      <c r="ED18" s="2107"/>
      <c r="EE18" s="2107"/>
      <c r="EF18" s="2107"/>
      <c r="EG18" s="2107"/>
      <c r="EH18" s="2107"/>
      <c r="EI18" s="2107"/>
      <c r="EJ18" s="2107"/>
      <c r="EK18" s="2107"/>
      <c r="EL18" s="2107"/>
      <c r="EM18" s="2107"/>
      <c r="EN18" s="2107"/>
      <c r="EO18" s="2107"/>
      <c r="EP18" s="2107"/>
      <c r="EQ18" s="2107"/>
      <c r="ER18" s="2107"/>
      <c r="ES18" s="2107"/>
      <c r="ET18" s="2107"/>
      <c r="EU18" s="2107"/>
      <c r="EV18" s="2107"/>
      <c r="EW18" s="2107"/>
      <c r="EX18" s="2107"/>
      <c r="EY18" s="2107"/>
      <c r="EZ18" s="2107"/>
      <c r="FA18" s="2107"/>
      <c r="FB18" s="2107"/>
      <c r="FC18" s="2107"/>
      <c r="FD18" s="2107"/>
      <c r="FE18" s="2107"/>
      <c r="FF18" s="2107"/>
      <c r="FG18" s="2107"/>
      <c r="FH18" s="2107"/>
      <c r="FI18" s="2107"/>
      <c r="FJ18" s="2107"/>
      <c r="FK18" s="2107"/>
      <c r="FL18" s="2107"/>
      <c r="FM18" s="2107"/>
      <c r="FN18" s="2107"/>
      <c r="FO18" s="2107"/>
      <c r="FP18" s="2107"/>
      <c r="FQ18" s="2107"/>
      <c r="FR18" s="2107"/>
      <c r="FS18" s="2107"/>
      <c r="FT18" s="2107"/>
      <c r="FU18" s="2107"/>
      <c r="FV18" s="2107"/>
      <c r="FW18" s="2106"/>
      <c r="FX18" s="2110"/>
    </row>
    <row s="41084" customFormat="1" customHeight="1" ht="11.25" hidden="1">
      <c r="B19" s="1835"/>
      <c r="E19" s="1851"/>
      <c r="F19" s="2106"/>
      <c r="G19" s="2106"/>
      <c r="H19" s="2106"/>
      <c r="I19" s="2106"/>
      <c r="J19" s="2106"/>
      <c r="K19" s="2106"/>
      <c r="L19" s="2106"/>
      <c r="M19" s="2106"/>
      <c r="N19" s="2106"/>
      <c r="O19" s="2106"/>
      <c r="P19" s="2106"/>
      <c r="Q19" s="2106"/>
      <c r="R19" s="2106"/>
      <c r="S19" s="2106"/>
      <c r="T19" s="2106"/>
      <c r="U19" s="2108"/>
      <c r="V19" s="2108"/>
      <c r="W19" s="2108"/>
      <c r="X19" s="2108"/>
      <c r="Y19" s="2108"/>
      <c r="Z19" s="2108"/>
      <c r="AA19" s="2108"/>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c r="BA19" s="2106"/>
      <c r="BB19" s="2106"/>
      <c r="BC19" s="2106"/>
      <c r="BD19" s="2106"/>
      <c r="BE19" s="2106"/>
      <c r="BF19" s="2106"/>
      <c r="BG19" s="2106"/>
      <c r="BH19" s="2106"/>
      <c r="BI19" s="2106"/>
      <c r="BJ19" s="2106"/>
      <c r="BK19" s="2106"/>
      <c r="BL19" s="2106"/>
      <c r="BM19" s="2106"/>
      <c r="BN19" s="2106"/>
      <c r="BO19" s="2106"/>
      <c r="BP19" s="2106"/>
      <c r="BQ19" s="2106"/>
      <c r="BR19" s="2106"/>
      <c r="BS19" s="2106"/>
      <c r="BT19" s="2106"/>
      <c r="BU19" s="2106"/>
      <c r="BV19" s="2106"/>
      <c r="BW19" s="2106"/>
      <c r="BX19" s="2106"/>
      <c r="BY19" s="2106"/>
      <c r="BZ19" s="2106"/>
      <c r="CA19" s="2106"/>
      <c r="CB19" s="2106"/>
      <c r="CC19" s="2106"/>
      <c r="CD19" s="2106"/>
      <c r="CE19" s="2106"/>
      <c r="CF19" s="2106"/>
      <c r="CG19" s="2106"/>
      <c r="CH19" s="2106"/>
      <c r="CI19" s="2106"/>
      <c r="CJ19" s="2106"/>
      <c r="CK19" s="2106"/>
      <c r="CL19" s="2106"/>
      <c r="CM19" s="2106"/>
      <c r="CN19" s="2106"/>
      <c r="CO19" s="2106"/>
      <c r="CP19" s="2106"/>
      <c r="CQ19" s="2106"/>
      <c r="CR19" s="2106"/>
      <c r="CS19" s="2106"/>
      <c r="CT19" s="2106"/>
      <c r="CU19" s="2106"/>
      <c r="CV19" s="2106"/>
      <c r="CW19" s="2106"/>
      <c r="CX19" s="2106"/>
      <c r="CY19" s="2106"/>
      <c r="CZ19" s="2106"/>
      <c r="DA19" s="2106"/>
      <c r="DB19" s="2106"/>
      <c r="DC19" s="2106"/>
      <c r="DD19" s="2106"/>
      <c r="DE19" s="2106"/>
      <c r="DF19" s="2106"/>
      <c r="DG19" s="2106"/>
      <c r="DH19" s="2106"/>
      <c r="DI19" s="2106"/>
      <c r="DJ19" s="2106"/>
      <c r="DK19" s="2106"/>
      <c r="DL19" s="2106"/>
      <c r="DM19" s="2106"/>
      <c r="DN19" s="2106"/>
      <c r="DO19" s="2106"/>
      <c r="DP19" s="2106"/>
      <c r="DQ19" s="2106"/>
      <c r="DR19" s="2106"/>
      <c r="DS19" s="2106"/>
      <c r="DT19" s="2106"/>
      <c r="DU19" s="2106"/>
      <c r="DV19" s="2106"/>
      <c r="DW19" s="2106"/>
      <c r="DX19" s="2106"/>
      <c r="DY19" s="2106"/>
      <c r="DZ19" s="2106"/>
      <c r="EA19" s="2106"/>
      <c r="EB19" s="2106"/>
      <c r="EC19" s="2106"/>
      <c r="ED19" s="2106"/>
      <c r="EE19" s="2106"/>
      <c r="EF19" s="2106"/>
      <c r="EG19" s="2106"/>
      <c r="EH19" s="2106"/>
      <c r="EI19" s="2106"/>
      <c r="EJ19" s="2106"/>
      <c r="EK19" s="2106"/>
      <c r="EL19" s="2106"/>
      <c r="EM19" s="2106"/>
      <c r="EN19" s="2106"/>
      <c r="EO19" s="2106"/>
      <c r="EP19" s="2106"/>
      <c r="EQ19" s="2106"/>
      <c r="ER19" s="2106"/>
      <c r="ES19" s="2106"/>
      <c r="ET19" s="2106"/>
      <c r="EU19" s="2106"/>
      <c r="EV19" s="2106"/>
      <c r="EW19" s="2106"/>
      <c r="EX19" s="2106"/>
      <c r="EY19" s="2106"/>
      <c r="EZ19" s="2106"/>
      <c r="FA19" s="2106"/>
      <c r="FB19" s="2106"/>
      <c r="FC19" s="2106"/>
      <c r="FD19" s="2106"/>
      <c r="FE19" s="2106"/>
      <c r="FF19" s="2106"/>
      <c r="FG19" s="2106"/>
      <c r="FH19" s="2106"/>
      <c r="FI19" s="2106"/>
      <c r="FJ19" s="2106"/>
      <c r="FK19" s="2106"/>
      <c r="FL19" s="2106"/>
      <c r="FM19" s="2106"/>
      <c r="FN19" s="2106"/>
      <c r="FO19" s="2106"/>
      <c r="FP19" s="2106"/>
      <c r="FQ19" s="2106"/>
      <c r="FR19" s="2106"/>
      <c r="FS19" s="2106"/>
      <c r="FT19" s="2106"/>
      <c r="FU19" s="2106"/>
      <c r="FV19" s="2106"/>
      <c r="FW19" s="2106"/>
      <c r="FX19" s="2110"/>
    </row>
    <row s="41030" customFormat="1" customHeight="1" ht="11.25" hidden="1">
      <c r="B20" s="1852"/>
      <c r="D20" s="1836"/>
      <c r="E20" s="1851"/>
      <c r="F20" s="2111" t="s">
        <v>367</v>
      </c>
      <c r="G20" s="2112"/>
      <c r="H20" s="2113"/>
      <c r="I20" s="2113"/>
      <c r="J20" s="2113"/>
      <c r="K20" s="2113"/>
      <c r="L20" s="2113"/>
      <c r="M20" s="2113"/>
      <c r="N20" s="2113"/>
      <c r="O20" s="2112"/>
      <c r="P20" s="2112"/>
      <c r="Q20" s="2112"/>
      <c r="R20" s="2112"/>
      <c r="S20" s="2112"/>
      <c r="T20" s="2112"/>
      <c r="U20" s="2114"/>
      <c r="V20" s="2114"/>
      <c r="W20" s="2114"/>
      <c r="X20" s="2114"/>
      <c r="Y20" s="2114"/>
      <c r="Z20" s="2114"/>
      <c r="AA20" s="2114"/>
      <c r="AB20" s="2112"/>
      <c r="AC20" s="2113"/>
      <c r="AD20" s="2113"/>
      <c r="AE20" s="2113"/>
      <c r="AF20" s="2113"/>
      <c r="AG20" s="2113"/>
      <c r="AH20" s="2113"/>
      <c r="AI20" s="2113"/>
      <c r="AJ20" s="2113"/>
      <c r="AK20" s="2113"/>
      <c r="AL20" s="2113"/>
      <c r="AM20" s="2113"/>
      <c r="AN20" s="2113"/>
      <c r="AO20" s="2113"/>
      <c r="AP20" s="2113"/>
      <c r="AQ20" s="2113"/>
      <c r="AR20" s="2113"/>
      <c r="AS20" s="2113"/>
      <c r="AT20" s="2113"/>
      <c r="AU20" s="2113"/>
      <c r="AV20" s="2113"/>
      <c r="AW20" s="2113"/>
      <c r="AX20" s="2113"/>
      <c r="AY20" s="2113"/>
      <c r="AZ20" s="2113"/>
      <c r="BA20" s="2113"/>
      <c r="BB20" s="2113"/>
      <c r="BC20" s="2113"/>
      <c r="BD20" s="2113"/>
      <c r="BE20" s="2113"/>
      <c r="BF20" s="2113"/>
      <c r="BG20" s="2113"/>
      <c r="BH20" s="2113"/>
      <c r="BI20" s="2113"/>
      <c r="BJ20" s="2113"/>
      <c r="BK20" s="2113"/>
      <c r="BL20" s="2113"/>
      <c r="BM20" s="2113"/>
      <c r="BN20" s="2113"/>
      <c r="BO20" s="2113"/>
      <c r="BP20" s="2113"/>
      <c r="BQ20" s="2113"/>
      <c r="BR20" s="2113"/>
      <c r="BS20" s="2113"/>
      <c r="BT20" s="2113"/>
      <c r="BU20" s="2113"/>
      <c r="BV20" s="2113"/>
      <c r="BW20" s="2113"/>
      <c r="BX20" s="2113"/>
      <c r="BY20" s="2113"/>
      <c r="BZ20" s="2113"/>
      <c r="CA20" s="2113"/>
      <c r="CB20" s="2113"/>
      <c r="CC20" s="2113"/>
      <c r="CD20" s="2113"/>
      <c r="CE20" s="2113"/>
      <c r="CF20" s="2113"/>
      <c r="CG20" s="2113"/>
      <c r="CH20" s="2113"/>
      <c r="CI20" s="2113"/>
      <c r="CJ20" s="2113"/>
      <c r="CK20" s="2113"/>
      <c r="CL20" s="2115"/>
      <c r="CM20" s="2115"/>
      <c r="CN20" s="2115"/>
      <c r="CO20" s="2115"/>
      <c r="CP20" s="2115"/>
      <c r="CQ20" s="2115"/>
      <c r="CR20" s="2115"/>
      <c r="CS20" s="2115"/>
      <c r="CT20" s="2115"/>
      <c r="CU20" s="2115"/>
      <c r="CV20" s="2115"/>
      <c r="CW20" s="2115"/>
      <c r="CX20" s="2115"/>
      <c r="CY20" s="2115"/>
      <c r="CZ20" s="2115"/>
      <c r="DA20" s="2115"/>
      <c r="DB20" s="2115"/>
      <c r="DC20" s="2115"/>
      <c r="DD20" s="2115"/>
      <c r="DE20" s="2115"/>
      <c r="DF20" s="2115"/>
      <c r="DG20" s="2115"/>
      <c r="DH20" s="2115"/>
      <c r="DI20" s="2115"/>
      <c r="DJ20" s="2115"/>
      <c r="DK20" s="2115"/>
      <c r="DL20" s="2115"/>
      <c r="DM20" s="2115"/>
      <c r="DN20" s="2115"/>
      <c r="DO20" s="2115"/>
      <c r="DP20" s="2115"/>
      <c r="DQ20" s="2115"/>
      <c r="DR20" s="2115"/>
      <c r="DS20" s="2115"/>
      <c r="DT20" s="2115"/>
      <c r="DU20" s="2115"/>
      <c r="DV20" s="2115"/>
      <c r="DW20" s="2115"/>
      <c r="DX20" s="2115"/>
      <c r="DY20" s="2115"/>
      <c r="DZ20" s="2115"/>
      <c r="EA20" s="2115"/>
      <c r="EB20" s="2115"/>
      <c r="EC20" s="2115"/>
      <c r="ED20" s="2115"/>
      <c r="EE20" s="2115"/>
      <c r="EF20" s="2115"/>
      <c r="EG20" s="2115"/>
      <c r="EH20" s="2115"/>
      <c r="EI20" s="2115"/>
      <c r="EJ20" s="2115"/>
      <c r="EK20" s="2115"/>
      <c r="EL20" s="2115"/>
      <c r="EM20" s="2115"/>
      <c r="EN20" s="2115"/>
      <c r="EO20" s="2115"/>
      <c r="EP20" s="2115"/>
      <c r="EQ20" s="2115"/>
      <c r="ER20" s="2115"/>
      <c r="ES20" s="2115"/>
      <c r="ET20" s="2115"/>
      <c r="EU20" s="2115"/>
      <c r="EV20" s="2115"/>
      <c r="EW20" s="2115"/>
      <c r="EX20" s="2115"/>
      <c r="EY20" s="2115"/>
      <c r="EZ20" s="2115"/>
      <c r="FA20" s="2115"/>
      <c r="FB20" s="2115"/>
      <c r="FC20" s="2115"/>
      <c r="FD20" s="2115"/>
      <c r="FE20" s="2115"/>
      <c r="FF20" s="2115"/>
      <c r="FG20" s="2115"/>
      <c r="FH20" s="2115"/>
      <c r="FI20" s="2115"/>
      <c r="FJ20" s="2115"/>
      <c r="FK20" s="2115"/>
      <c r="FL20" s="2115"/>
      <c r="FM20" s="2115"/>
      <c r="FN20" s="2115"/>
      <c r="FO20" s="2115"/>
      <c r="FP20" s="2115"/>
      <c r="FQ20" s="2115"/>
      <c r="FR20" s="2115"/>
      <c r="FS20" s="2115"/>
      <c r="FT20" s="2115"/>
      <c r="FU20" s="2115"/>
      <c r="FV20" s="2115"/>
      <c r="FW20" s="2115"/>
      <c r="FX20" s="2116"/>
    </row>
    <row s="41098" customFormat="1" customHeight="1" ht="21">
      <c r="A21" s="7655" t="s">
        <v>905</v>
      </c>
      <c r="B21" s="7656"/>
      <c r="C21" s="7657"/>
      <c r="D21" s="7657"/>
      <c r="E21" s="7658" t="s">
        <v>18</v>
      </c>
      <c r="F21" s="7659" t="str">
        <f>INDEX(IP_MAIN_LIST_NAME_IP,MATCH(A21,IP_MAIN_LIST_IP_ID,0))&amp;" ("&amp;INDEX(IP_MAIN_START_DATE,MATCH(A21,IP_MAIN_LIST_IP_ID,0))&amp;"-"&amp;INDEX(IP_MAIN_END_DATE,MATCH(A21,IP_MAIN_LIST_IP_ID,0))&amp;")"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G21" s="7660"/>
      <c r="H21" s="7661"/>
      <c r="I21" s="7661"/>
      <c r="J21" s="7661"/>
      <c r="K21" s="7661"/>
      <c r="L21" s="7661"/>
      <c r="M21" s="7661"/>
      <c r="N21" s="7661"/>
      <c r="O21" s="7660"/>
      <c r="P21" s="7660"/>
      <c r="Q21" s="7660"/>
      <c r="R21" s="7660"/>
      <c r="S21" s="7660"/>
      <c r="T21" s="7660"/>
      <c r="U21" s="7662"/>
      <c r="V21" s="7662"/>
      <c r="W21" s="7662"/>
      <c r="X21" s="7662"/>
      <c r="Y21" s="7662"/>
      <c r="Z21" s="7662"/>
      <c r="AA21" s="7662"/>
      <c r="AB21" s="7660"/>
      <c r="AC21" s="7661"/>
      <c r="AD21" s="7661"/>
      <c r="AE21" s="7661"/>
      <c r="AF21" s="7661"/>
      <c r="AG21" s="7661"/>
      <c r="AH21" s="7661"/>
      <c r="AI21" s="7661"/>
      <c r="AJ21" s="7661"/>
      <c r="AK21" s="7661"/>
      <c r="AL21" s="7661"/>
      <c r="AM21" s="7661"/>
      <c r="AN21" s="7661"/>
      <c r="AO21" s="7661"/>
      <c r="AP21" s="7661"/>
      <c r="AQ21" s="7661"/>
      <c r="AR21" s="7661"/>
      <c r="AS21" s="7661"/>
      <c r="AT21" s="7661"/>
      <c r="AU21" s="7661"/>
      <c r="AV21" s="7661"/>
      <c r="AW21" s="7661"/>
      <c r="AX21" s="7661"/>
      <c r="AY21" s="7661"/>
      <c r="AZ21" s="7661"/>
      <c r="BA21" s="7661"/>
      <c r="BB21" s="7661"/>
      <c r="BC21" s="7661"/>
      <c r="BD21" s="7661"/>
      <c r="BE21" s="7661"/>
      <c r="BF21" s="7661"/>
      <c r="BG21" s="7661"/>
      <c r="BH21" s="7661"/>
      <c r="BI21" s="7661"/>
      <c r="BJ21" s="7661"/>
      <c r="BK21" s="7661"/>
      <c r="BL21" s="7661"/>
      <c r="BM21" s="7661"/>
      <c r="BN21" s="7661"/>
      <c r="BO21" s="7661"/>
      <c r="BP21" s="7661"/>
      <c r="BQ21" s="7661"/>
      <c r="BR21" s="7661"/>
      <c r="BS21" s="7661"/>
      <c r="BT21" s="7661"/>
      <c r="BU21" s="7661"/>
      <c r="BV21" s="7661"/>
      <c r="BW21" s="7661"/>
      <c r="BX21" s="7661"/>
      <c r="BY21" s="7661"/>
      <c r="BZ21" s="7661"/>
      <c r="CA21" s="7661"/>
      <c r="CB21" s="7661"/>
      <c r="CC21" s="7661"/>
      <c r="CD21" s="7661"/>
      <c r="CE21" s="7661"/>
      <c r="CF21" s="7661"/>
      <c r="CG21" s="7661"/>
      <c r="CH21" s="7661"/>
      <c r="CI21" s="7661"/>
      <c r="CJ21" s="7661"/>
      <c r="CK21" s="7661"/>
      <c r="CL21" s="7663"/>
      <c r="CM21" s="7663"/>
      <c r="CN21" s="7663"/>
      <c r="CO21" s="7663"/>
      <c r="CP21" s="7663"/>
      <c r="CQ21" s="7663"/>
      <c r="CR21" s="7663"/>
      <c r="CS21" s="7663"/>
      <c r="CT21" s="7663"/>
      <c r="CU21" s="7663"/>
      <c r="CV21" s="7663"/>
      <c r="CW21" s="7663"/>
      <c r="CX21" s="7663"/>
      <c r="CY21" s="7663"/>
      <c r="CZ21" s="7663"/>
      <c r="DA21" s="7663"/>
      <c r="DB21" s="7663"/>
      <c r="DC21" s="7663"/>
      <c r="DD21" s="7663"/>
      <c r="DE21" s="7663"/>
      <c r="DF21" s="7663"/>
      <c r="DG21" s="7663"/>
      <c r="DH21" s="7663"/>
      <c r="DI21" s="7663"/>
      <c r="DJ21" s="7663"/>
      <c r="DK21" s="7663"/>
      <c r="DL21" s="7663"/>
      <c r="DM21" s="7663"/>
      <c r="DN21" s="7663"/>
      <c r="DO21" s="7663"/>
      <c r="DP21" s="7663"/>
      <c r="DQ21" s="7663"/>
      <c r="DR21" s="7663"/>
      <c r="DS21" s="7663"/>
      <c r="DT21" s="7663"/>
      <c r="DU21" s="7663"/>
      <c r="DV21" s="7663"/>
      <c r="DW21" s="7663"/>
      <c r="DX21" s="7663"/>
      <c r="DY21" s="7663"/>
      <c r="DZ21" s="7663"/>
      <c r="EA21" s="7663"/>
      <c r="EB21" s="7663"/>
      <c r="EC21" s="7663"/>
      <c r="ED21" s="7663"/>
      <c r="EE21" s="7663"/>
      <c r="EF21" s="7663"/>
      <c r="EG21" s="7663"/>
      <c r="EH21" s="7663"/>
      <c r="EI21" s="7663"/>
      <c r="EJ21" s="7663"/>
      <c r="EK21" s="7663"/>
      <c r="EL21" s="7663"/>
      <c r="EM21" s="7663"/>
      <c r="EN21" s="7663"/>
      <c r="EO21" s="7663"/>
      <c r="EP21" s="7663"/>
      <c r="EQ21" s="7663"/>
      <c r="ER21" s="7663"/>
      <c r="ES21" s="7663"/>
      <c r="ET21" s="7663"/>
      <c r="EU21" s="7663"/>
      <c r="EV21" s="7663"/>
      <c r="EW21" s="7663"/>
      <c r="EX21" s="7663"/>
      <c r="EY21" s="7663"/>
      <c r="EZ21" s="7663"/>
      <c r="FA21" s="7663"/>
      <c r="FB21" s="7663"/>
      <c r="FC21" s="7663"/>
      <c r="FD21" s="7663"/>
      <c r="FE21" s="7663"/>
      <c r="FF21" s="7663"/>
      <c r="FG21" s="7663"/>
      <c r="FH21" s="7663"/>
      <c r="FI21" s="7663"/>
      <c r="FJ21" s="7663"/>
      <c r="FK21" s="7663"/>
      <c r="FL21" s="7663"/>
      <c r="FM21" s="7663"/>
      <c r="FN21" s="7663"/>
      <c r="FO21" s="7663"/>
      <c r="FP21" s="7663"/>
      <c r="FQ21" s="7663"/>
      <c r="FR21" s="7663"/>
      <c r="FS21" s="7663"/>
      <c r="FT21" s="7663"/>
      <c r="FU21" s="7663"/>
      <c r="FV21" s="7664"/>
      <c r="FW21" s="7665"/>
      <c r="FX21" s="7666"/>
      <c r="FY21" s="7657"/>
      <c r="FZ21" s="7657"/>
      <c r="GA21" s="7657"/>
      <c r="GB21" s="7657"/>
    </row>
    <row s="41111" customFormat="1" customHeight="1" ht="24.75">
      <c r="A22" s="7657" t="s">
        <v>905</v>
      </c>
      <c r="B22" s="7656"/>
      <c r="C22" s="7657"/>
      <c r="D22" s="7657"/>
      <c r="E22" s="7667"/>
      <c r="F22" s="7668">
        <v>1</v>
      </c>
      <c r="G22" s="7669" t="s">
        <v>1087</v>
      </c>
      <c r="H22" s="5996" t="s">
        <v>1088</v>
      </c>
      <c r="I22" s="7670"/>
      <c r="J22" s="7671"/>
      <c r="K22" s="7671"/>
      <c r="L22" s="7671"/>
      <c r="M22" s="7671"/>
      <c r="N22" s="7671"/>
      <c r="O22" s="7672">
        <v>0</v>
      </c>
      <c r="P22" s="7672">
        <v>0</v>
      </c>
      <c r="Q22" s="7672">
        <v>0</v>
      </c>
      <c r="R22" s="7672">
        <v>0</v>
      </c>
      <c r="S22" s="7672">
        <v>0.16726</v>
      </c>
      <c r="T22" s="7672"/>
      <c r="U22" s="7672">
        <v>0</v>
      </c>
      <c r="V22" s="7672">
        <v>0</v>
      </c>
      <c r="W22" s="7672">
        <v>0</v>
      </c>
      <c r="X22" s="7672">
        <v>0</v>
      </c>
      <c r="Y22" s="7672">
        <v>0</v>
      </c>
      <c r="Z22" s="7672">
        <v>0</v>
      </c>
      <c r="AA22" s="7672">
        <v>0</v>
      </c>
      <c r="AB22" s="7672">
        <v>0</v>
      </c>
      <c r="AC22" s="7671"/>
      <c r="AD22" s="7671"/>
      <c r="AE22" s="7671"/>
      <c r="AF22" s="7671"/>
      <c r="AG22" s="7671"/>
      <c r="AH22" s="7671"/>
      <c r="AI22" s="7671"/>
      <c r="AJ22" s="7671"/>
      <c r="AK22" s="7671"/>
      <c r="AL22" s="7671"/>
      <c r="AM22" s="7671"/>
      <c r="AN22" s="7671"/>
      <c r="AO22" s="7671"/>
      <c r="AP22" s="7671"/>
      <c r="AQ22" s="7671"/>
      <c r="AR22" s="7671"/>
      <c r="AS22" s="7671"/>
      <c r="AT22" s="7671"/>
      <c r="AU22" s="7671"/>
      <c r="AV22" s="7671"/>
      <c r="AW22" s="7671"/>
      <c r="AX22" s="7671"/>
      <c r="AY22" s="7671"/>
      <c r="AZ22" s="7671"/>
      <c r="BA22" s="7671"/>
      <c r="BB22" s="7671"/>
      <c r="BC22" s="7671"/>
      <c r="BD22" s="7671"/>
      <c r="BE22" s="7671"/>
      <c r="BF22" s="7671"/>
      <c r="BG22" s="7671"/>
      <c r="BH22" s="7671"/>
      <c r="BI22" s="7671"/>
      <c r="BJ22" s="7671"/>
      <c r="BK22" s="7671"/>
      <c r="BL22" s="7671"/>
      <c r="BM22" s="7671"/>
      <c r="BN22" s="7671"/>
      <c r="BO22" s="7671"/>
      <c r="BP22" s="7671"/>
      <c r="BQ22" s="7671"/>
      <c r="BR22" s="7671"/>
      <c r="BS22" s="7671"/>
      <c r="BT22" s="7672"/>
      <c r="BU22" s="7672"/>
      <c r="BV22" s="7672"/>
      <c r="BW22" s="7672"/>
      <c r="BX22" s="7672"/>
      <c r="BY22" s="7672"/>
      <c r="BZ22" s="7672"/>
      <c r="CA22" s="7672"/>
      <c r="CB22" s="7672"/>
      <c r="CC22" s="7672"/>
      <c r="CD22" s="7672"/>
      <c r="CE22" s="7672"/>
      <c r="CF22" s="7672"/>
      <c r="CG22" s="7672"/>
      <c r="CH22" s="7672"/>
      <c r="CI22" s="7672"/>
      <c r="CJ22" s="7672"/>
      <c r="CK22" s="7672"/>
      <c r="CL22" s="7671"/>
      <c r="CM22" s="7671"/>
      <c r="CN22" s="7671"/>
      <c r="CO22" s="7671"/>
      <c r="CP22" s="7671"/>
      <c r="CQ22" s="7671"/>
      <c r="CR22" s="7671"/>
      <c r="CS22" s="7671"/>
      <c r="CT22" s="7671"/>
      <c r="CU22" s="7671"/>
      <c r="CV22" s="7671"/>
      <c r="CW22" s="7671"/>
      <c r="CX22" s="7671"/>
      <c r="CY22" s="7672"/>
      <c r="CZ22" s="7672"/>
      <c r="DA22" s="7672"/>
      <c r="DB22" s="7672"/>
      <c r="DC22" s="7672"/>
      <c r="DD22" s="7672"/>
      <c r="DE22" s="7672"/>
      <c r="DF22" s="7672"/>
      <c r="DG22" s="7672"/>
      <c r="DH22" s="7672"/>
      <c r="DI22" s="7672"/>
      <c r="DJ22" s="7672"/>
      <c r="DK22" s="7671"/>
      <c r="DL22" s="7671"/>
      <c r="DM22" s="7671"/>
      <c r="DN22" s="7671"/>
      <c r="DO22" s="7671"/>
      <c r="DP22" s="7671"/>
      <c r="DQ22" s="7671"/>
      <c r="DR22" s="7671"/>
      <c r="DS22" s="7671"/>
      <c r="DT22" s="7671"/>
      <c r="DU22" s="7671"/>
      <c r="DV22" s="7671"/>
      <c r="DW22" s="7671"/>
      <c r="DX22" s="7671"/>
      <c r="DY22" s="7671"/>
      <c r="DZ22" s="7671"/>
      <c r="EA22" s="7671"/>
      <c r="EB22" s="7671"/>
      <c r="EC22" s="7671"/>
      <c r="ED22" s="7671"/>
      <c r="EE22" s="7671"/>
      <c r="EF22" s="7671"/>
      <c r="EG22" s="7671"/>
      <c r="EH22" s="7671"/>
      <c r="EI22" s="7671"/>
      <c r="EJ22" s="7671"/>
      <c r="EK22" s="7671"/>
      <c r="EL22" s="7671"/>
      <c r="EM22" s="7671"/>
      <c r="EN22" s="7671"/>
      <c r="EO22" s="7671"/>
      <c r="EP22" s="7671"/>
      <c r="EQ22" s="7671"/>
      <c r="ER22" s="7671"/>
      <c r="ES22" s="7671"/>
      <c r="ET22" s="7671"/>
      <c r="EU22" s="7671"/>
      <c r="EV22" s="7671"/>
      <c r="EW22" s="7671"/>
      <c r="EX22" s="7671"/>
      <c r="EY22" s="7671"/>
      <c r="EZ22" s="7671"/>
      <c r="FA22" s="7671"/>
      <c r="FB22" s="7671"/>
      <c r="FC22" s="7671"/>
      <c r="FD22" s="7671"/>
      <c r="FE22" s="7671"/>
      <c r="FF22" s="7671"/>
      <c r="FG22" s="7671"/>
      <c r="FH22" s="7671"/>
      <c r="FI22" s="7671"/>
      <c r="FJ22" s="7671"/>
      <c r="FK22" s="7671"/>
      <c r="FL22" s="7671"/>
      <c r="FM22" s="7671"/>
      <c r="FN22" s="7671"/>
      <c r="FO22" s="7671"/>
      <c r="FP22" s="7671"/>
      <c r="FQ22" s="7671"/>
      <c r="FR22" s="7671"/>
      <c r="FS22" s="7671"/>
      <c r="FT22" s="7671"/>
      <c r="FU22" s="7671"/>
      <c r="FV22" s="7671"/>
      <c r="FW22" s="7671"/>
      <c r="FX22" s="7666"/>
      <c r="FY22" s="7657"/>
      <c r="FZ22" s="7657"/>
      <c r="GA22" s="7657"/>
      <c r="GB22" s="7657"/>
    </row>
    <row s="41111" customFormat="1" customHeight="1" ht="12">
      <c r="A23" s="7657" t="s">
        <v>905</v>
      </c>
      <c r="B23" s="7656"/>
      <c r="C23" s="7657"/>
      <c r="D23" s="7657"/>
      <c r="E23" s="7657"/>
      <c r="F23" s="7673"/>
      <c r="G23" s="7674" t="s">
        <v>1089</v>
      </c>
      <c r="H23" s="7675"/>
      <c r="I23" s="7676"/>
      <c r="J23" s="7677"/>
      <c r="K23" s="7678"/>
      <c r="L23" s="7679"/>
      <c r="M23" s="7680"/>
      <c r="N23" s="7681"/>
      <c r="O23" s="7682"/>
      <c r="P23" s="7683"/>
      <c r="Q23" s="7684"/>
      <c r="R23" s="7685"/>
      <c r="S23" s="7686"/>
      <c r="T23" s="7687"/>
      <c r="U23" s="7688"/>
      <c r="V23" s="7689"/>
      <c r="W23" s="7690"/>
      <c r="X23" s="7691"/>
      <c r="Y23" s="7692"/>
      <c r="Z23" s="7693"/>
      <c r="AA23" s="7694"/>
      <c r="AB23" s="7695"/>
      <c r="AC23" s="7696"/>
      <c r="AD23" s="7697"/>
      <c r="AE23" s="7698"/>
      <c r="AF23" s="7699"/>
      <c r="AG23" s="7700"/>
      <c r="AH23" s="7701"/>
      <c r="AI23" s="7702"/>
      <c r="AJ23" s="7703"/>
      <c r="AK23" s="7704"/>
      <c r="AL23" s="7705"/>
      <c r="AM23" s="7706"/>
      <c r="AN23" s="7707"/>
      <c r="AO23" s="7708"/>
      <c r="AP23" s="7709"/>
      <c r="AQ23" s="7710"/>
      <c r="AR23" s="7711"/>
      <c r="AS23" s="7712"/>
      <c r="AT23" s="7713"/>
      <c r="AU23" s="7714"/>
      <c r="AV23" s="7715"/>
      <c r="AW23" s="7716"/>
      <c r="AX23" s="7717"/>
      <c r="AY23" s="7718"/>
      <c r="AZ23" s="7719"/>
      <c r="BA23" s="7720"/>
      <c r="BB23" s="7721"/>
      <c r="BC23" s="7722"/>
      <c r="BD23" s="7723"/>
      <c r="BE23" s="7724"/>
      <c r="BF23" s="7725"/>
      <c r="BG23" s="7726"/>
      <c r="BH23" s="7727"/>
      <c r="BI23" s="7728"/>
      <c r="BJ23" s="7729"/>
      <c r="BK23" s="7730"/>
      <c r="BL23" s="7731"/>
      <c r="BM23" s="7732"/>
      <c r="BN23" s="7733"/>
      <c r="BO23" s="7734"/>
      <c r="BP23" s="7735"/>
      <c r="BQ23" s="7736"/>
      <c r="BR23" s="7737"/>
      <c r="BS23" s="7738"/>
      <c r="BT23" s="7739"/>
      <c r="BU23" s="7740"/>
      <c r="BV23" s="7741"/>
      <c r="BW23" s="7742"/>
      <c r="BX23" s="7743"/>
      <c r="BY23" s="7744"/>
      <c r="BZ23" s="7745"/>
      <c r="CA23" s="7746"/>
      <c r="CB23" s="7747"/>
      <c r="CC23" s="7748"/>
      <c r="CD23" s="7749"/>
      <c r="CE23" s="7750"/>
      <c r="CF23" s="7751"/>
      <c r="CG23" s="7752"/>
      <c r="CH23" s="7753"/>
      <c r="CI23" s="7754"/>
      <c r="CJ23" s="7755"/>
      <c r="CK23" s="7756"/>
      <c r="CL23" s="7757"/>
      <c r="CM23" s="7758"/>
      <c r="CN23" s="7759"/>
      <c r="CO23" s="7760"/>
      <c r="CP23" s="7761"/>
      <c r="CQ23" s="7762"/>
      <c r="CR23" s="7763"/>
      <c r="CS23" s="7764"/>
      <c r="CT23" s="7765"/>
      <c r="CU23" s="7766"/>
      <c r="CV23" s="7767"/>
      <c r="CW23" s="7768"/>
      <c r="CX23" s="7769"/>
      <c r="CY23" s="7770"/>
      <c r="CZ23" s="7771"/>
      <c r="DA23" s="7772"/>
      <c r="DB23" s="7773"/>
      <c r="DC23" s="7774"/>
      <c r="DD23" s="7775"/>
      <c r="DE23" s="7776"/>
      <c r="DF23" s="7777"/>
      <c r="DG23" s="7778"/>
      <c r="DH23" s="7779"/>
      <c r="DI23" s="7780"/>
      <c r="DJ23" s="7781"/>
      <c r="DK23" s="7782"/>
      <c r="DL23" s="7783"/>
      <c r="DM23" s="7784"/>
      <c r="DN23" s="7785"/>
      <c r="DO23" s="7786"/>
      <c r="DP23" s="7787"/>
      <c r="DQ23" s="7788"/>
      <c r="DR23" s="7789"/>
      <c r="DS23" s="7790"/>
      <c r="DT23" s="7791"/>
      <c r="DU23" s="7792"/>
      <c r="DV23" s="7793"/>
      <c r="DW23" s="7794"/>
      <c r="DX23" s="7795"/>
      <c r="DY23" s="7796"/>
      <c r="DZ23" s="7797"/>
      <c r="EA23" s="7798"/>
      <c r="EB23" s="7799"/>
      <c r="EC23" s="7800"/>
      <c r="ED23" s="7801"/>
      <c r="EE23" s="7802"/>
      <c r="EF23" s="7803"/>
      <c r="EG23" s="7804"/>
      <c r="EH23" s="7805"/>
      <c r="EI23" s="7806"/>
      <c r="EJ23" s="7807"/>
      <c r="EK23" s="7808"/>
      <c r="EL23" s="7809"/>
      <c r="EM23" s="7810"/>
      <c r="EN23" s="7811"/>
      <c r="EO23" s="7812"/>
      <c r="EP23" s="7813"/>
      <c r="EQ23" s="7814"/>
      <c r="ER23" s="7815"/>
      <c r="ES23" s="7816"/>
      <c r="ET23" s="7817"/>
      <c r="EU23" s="7818"/>
      <c r="EV23" s="7819"/>
      <c r="EW23" s="7820"/>
      <c r="EX23" s="7821"/>
      <c r="EY23" s="7822"/>
      <c r="EZ23" s="7823"/>
      <c r="FA23" s="7824"/>
      <c r="FB23" s="7825"/>
      <c r="FC23" s="7826"/>
      <c r="FD23" s="7827"/>
      <c r="FE23" s="7828"/>
      <c r="FF23" s="7829"/>
      <c r="FG23" s="7830"/>
      <c r="FH23" s="7831"/>
      <c r="FI23" s="7832"/>
      <c r="FJ23" s="7833"/>
      <c r="FK23" s="7834"/>
      <c r="FL23" s="7835"/>
      <c r="FM23" s="7836"/>
      <c r="FN23" s="7837"/>
      <c r="FO23" s="7838"/>
      <c r="FP23" s="7839"/>
      <c r="FQ23" s="7840"/>
      <c r="FR23" s="7841"/>
      <c r="FS23" s="7842"/>
      <c r="FT23" s="7843"/>
      <c r="FU23" s="7844"/>
      <c r="FV23" s="7845"/>
      <c r="FW23" s="7846"/>
      <c r="FX23" s="7847"/>
      <c r="FY23" s="7848"/>
      <c r="FZ23" s="7848"/>
      <c r="GA23" s="7848"/>
      <c r="GB23" s="7848"/>
    </row>
    <row s="41030" customFormat="1" customHeight="1" ht="12">
      <c r="A24" s="1853"/>
      <c r="B24" s="1853"/>
      <c r="C24" s="1853"/>
      <c r="D24" s="1853"/>
      <c r="E24" s="1853"/>
      <c r="F24" s="1851"/>
      <c r="G24" s="1851"/>
      <c r="H24" s="1851"/>
      <c r="I24" s="1851"/>
      <c r="J24" s="1851"/>
      <c r="K24" s="1851"/>
      <c r="L24" s="1851"/>
      <c r="M24" s="1851"/>
      <c r="N24" s="1851"/>
      <c r="O24" s="1851"/>
      <c r="P24" s="1851"/>
      <c r="Q24" s="1851"/>
      <c r="R24" s="1851"/>
      <c r="S24" s="1854"/>
      <c r="T24" s="1854"/>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c r="AP24" s="1851"/>
      <c r="AQ24" s="1851"/>
      <c r="AR24" s="1851"/>
      <c r="AS24" s="1851"/>
      <c r="AT24" s="1851"/>
      <c r="AU24" s="1851"/>
      <c r="AV24" s="1851"/>
      <c r="AW24" s="1851"/>
      <c r="AX24" s="1851"/>
      <c r="AY24" s="1851"/>
      <c r="AZ24" s="1851"/>
      <c r="BA24" s="1851"/>
      <c r="BB24" s="1851"/>
      <c r="BC24" s="1851"/>
      <c r="BD24" s="1851"/>
      <c r="BE24" s="1851"/>
      <c r="BF24" s="1851"/>
      <c r="BG24" s="1851"/>
      <c r="BH24" s="1851"/>
      <c r="BI24" s="1851"/>
      <c r="BJ24" s="1851"/>
      <c r="BK24" s="1851"/>
      <c r="BL24" s="1851"/>
      <c r="BM24" s="1851"/>
      <c r="BN24" s="1851"/>
      <c r="BO24" s="1851"/>
      <c r="BP24" s="1851"/>
      <c r="BQ24" s="1851"/>
      <c r="BR24" s="1851"/>
      <c r="BS24" s="1851"/>
      <c r="BT24" s="1851"/>
      <c r="BU24" s="1851"/>
      <c r="BV24" s="1851"/>
      <c r="BW24" s="1851"/>
      <c r="BX24" s="1851"/>
      <c r="BY24" s="1851"/>
      <c r="BZ24" s="1851"/>
      <c r="CA24" s="1851"/>
      <c r="CB24" s="1851"/>
      <c r="CC24" s="1851"/>
      <c r="CD24" s="1851"/>
      <c r="CE24" s="1851"/>
      <c r="CF24" s="1851"/>
      <c r="CG24" s="1851"/>
      <c r="CH24" s="1851"/>
      <c r="CI24" s="1851"/>
      <c r="CJ24" s="1851"/>
      <c r="CK24" s="1851"/>
      <c r="CL24" s="1851"/>
      <c r="CM24" s="1851"/>
      <c r="CN24" s="1851"/>
      <c r="CO24" s="1851"/>
      <c r="CP24" s="1851"/>
      <c r="CQ24" s="1851"/>
      <c r="CR24" s="1851"/>
      <c r="CS24" s="1851"/>
      <c r="CT24" s="1851"/>
      <c r="CU24" s="1851"/>
      <c r="CV24" s="1851"/>
      <c r="CW24" s="1851"/>
      <c r="CX24" s="1851"/>
      <c r="CY24" s="1851"/>
      <c r="CZ24" s="1851"/>
      <c r="DA24" s="1851"/>
      <c r="DB24" s="1851"/>
      <c r="DC24" s="1851"/>
      <c r="DD24" s="1851"/>
      <c r="DE24" s="1851"/>
      <c r="DF24" s="1851"/>
      <c r="DG24" s="1851"/>
      <c r="DH24" s="1851"/>
      <c r="DI24" s="1851"/>
      <c r="DJ24" s="1851"/>
      <c r="DK24" s="1851"/>
      <c r="DL24" s="1851"/>
      <c r="DM24" s="1851"/>
      <c r="DN24" s="1851"/>
      <c r="DO24" s="1851"/>
      <c r="DP24" s="1851"/>
      <c r="DQ24" s="1851"/>
      <c r="DR24" s="1851"/>
      <c r="DS24" s="1851"/>
      <c r="DT24" s="1851"/>
      <c r="DU24" s="1851"/>
      <c r="DV24" s="1851"/>
      <c r="DW24" s="1851"/>
      <c r="DX24" s="1851"/>
      <c r="DY24" s="1851"/>
      <c r="DZ24" s="1851"/>
      <c r="EA24" s="1851"/>
      <c r="EB24" s="1851"/>
      <c r="EC24" s="1851"/>
      <c r="ED24" s="1851"/>
      <c r="EE24" s="1851"/>
      <c r="EF24" s="1851"/>
      <c r="EG24" s="1851"/>
      <c r="EH24" s="1851"/>
      <c r="EI24" s="1851"/>
      <c r="EJ24" s="1851"/>
      <c r="EK24" s="1851"/>
      <c r="EL24" s="1851"/>
      <c r="EM24" s="1851"/>
      <c r="EN24" s="1851"/>
      <c r="EO24" s="1851"/>
      <c r="EP24" s="1851"/>
      <c r="EQ24" s="1851"/>
      <c r="ER24" s="1851"/>
      <c r="ES24" s="1851"/>
      <c r="ET24" s="1851"/>
      <c r="EU24" s="1851"/>
      <c r="EV24" s="1851"/>
      <c r="EW24" s="1851"/>
      <c r="EX24" s="1851"/>
      <c r="EY24" s="1851"/>
      <c r="EZ24" s="1851"/>
      <c r="FA24" s="1851"/>
      <c r="FB24" s="1851"/>
      <c r="FC24" s="1851"/>
      <c r="FD24" s="1851"/>
      <c r="FE24" s="1851"/>
      <c r="FF24" s="1851"/>
      <c r="FG24" s="1851"/>
      <c r="FH24" s="1851"/>
      <c r="FI24" s="1851"/>
      <c r="FJ24" s="1851"/>
      <c r="FK24" s="1851"/>
      <c r="FL24" s="1851"/>
      <c r="FM24" s="1851"/>
      <c r="FN24" s="1851"/>
      <c r="FO24" s="1851"/>
      <c r="FP24" s="1851"/>
      <c r="FQ24" s="1851"/>
      <c r="FR24" s="1851"/>
      <c r="FS24" s="1851"/>
      <c r="FT24" s="1851"/>
      <c r="FU24" s="1851"/>
      <c r="FV24" s="1851"/>
      <c r="FW24" s="1851"/>
      <c r="FX24" s="1853"/>
      <c r="FY24" s="1853"/>
      <c r="FZ24" s="1853"/>
      <c r="GA24" s="1853"/>
      <c r="GB24" s="1853"/>
    </row>
    <row s="41030" customFormat="1" customHeight="1" ht="12">
      <c r="A25" s="1853"/>
      <c r="B25" s="1853"/>
      <c r="C25" s="1853"/>
      <c r="D25" s="1853"/>
      <c r="E25" s="1853"/>
      <c r="FX25" s="1853"/>
      <c r="FY25" s="1853"/>
      <c r="FZ25" s="1853"/>
      <c r="GA25" s="1853"/>
      <c r="GB25" s="1853"/>
    </row>
    <row s="41296" customFormat="1" customHeight="1" ht="12">
      <c r="A26" s="1975"/>
      <c r="B26" s="1975"/>
      <c r="C26" s="1975"/>
      <c r="D26" s="1975"/>
      <c r="E26" s="1975"/>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c r="AN26" s="1977"/>
      <c r="AO26" s="1977"/>
      <c r="AP26" s="1977"/>
      <c r="AQ26" s="1977"/>
      <c r="AR26" s="1977"/>
      <c r="AS26" s="1977"/>
      <c r="AT26" s="1977"/>
      <c r="AU26" s="1977"/>
      <c r="AV26" s="1977"/>
      <c r="AW26" s="1977"/>
      <c r="AX26" s="1977"/>
      <c r="AY26" s="1977"/>
      <c r="AZ26" s="1977"/>
      <c r="BA26" s="1977"/>
      <c r="BB26" s="1977"/>
      <c r="BC26" s="1977"/>
      <c r="BD26" s="1977"/>
      <c r="BE26" s="1977"/>
      <c r="BF26" s="1977"/>
      <c r="BG26" s="1977"/>
      <c r="BH26" s="1977"/>
      <c r="BI26" s="1977"/>
      <c r="BJ26" s="1977"/>
      <c r="BK26" s="1977"/>
      <c r="BL26" s="1977"/>
      <c r="BM26" s="1977"/>
      <c r="BN26" s="1977"/>
      <c r="BO26" s="1977"/>
      <c r="BP26" s="1977"/>
      <c r="BQ26" s="1977"/>
      <c r="BR26" s="1977"/>
      <c r="BS26" s="1977"/>
      <c r="BT26" s="1978"/>
      <c r="BU26" s="1978"/>
      <c r="BV26" s="1978"/>
      <c r="BW26" s="1978"/>
      <c r="BX26" s="1978"/>
      <c r="BY26" s="1978"/>
      <c r="BZ26" s="1978"/>
      <c r="CA26" s="1978"/>
      <c r="CB26" s="1978"/>
      <c r="CC26" s="1978"/>
      <c r="CD26" s="1978"/>
      <c r="CE26" s="1978"/>
      <c r="CF26" s="1978"/>
      <c r="CG26" s="1978"/>
      <c r="CH26" s="1978"/>
      <c r="CI26" s="1978"/>
      <c r="CJ26" s="1978"/>
      <c r="CK26" s="1978"/>
      <c r="CL26" s="1978"/>
      <c r="CM26" s="1978"/>
      <c r="CN26" s="1978"/>
      <c r="CO26" s="1978"/>
      <c r="CP26" s="1978"/>
      <c r="CQ26" s="1978"/>
      <c r="CR26" s="1978"/>
      <c r="CS26" s="1978"/>
      <c r="CT26" s="1978"/>
      <c r="CU26" s="1978"/>
      <c r="CV26" s="1978"/>
      <c r="CW26" s="1978"/>
      <c r="CX26" s="1978"/>
      <c r="CY26" s="1978"/>
      <c r="CZ26" s="1978"/>
      <c r="DA26" s="1978"/>
      <c r="DB26" s="1978"/>
      <c r="DC26" s="1978"/>
      <c r="DD26" s="1978"/>
      <c r="DE26" s="1978"/>
      <c r="DF26" s="1978"/>
      <c r="DG26" s="1978"/>
      <c r="DH26" s="1978"/>
      <c r="DI26" s="1978"/>
      <c r="DJ26" s="1978"/>
      <c r="DK26" s="1978"/>
      <c r="DL26" s="1978"/>
      <c r="DM26" s="1978"/>
      <c r="DN26" s="1978"/>
      <c r="DO26" s="1978"/>
      <c r="DP26" s="1978"/>
      <c r="DQ26" s="1978"/>
      <c r="DR26" s="1978"/>
      <c r="DS26" s="1978"/>
      <c r="DT26" s="1978"/>
      <c r="DU26" s="1978"/>
      <c r="DV26" s="1978"/>
      <c r="DW26" s="1978"/>
      <c r="DX26" s="1978"/>
      <c r="FX26" s="1975"/>
      <c r="FY26" s="1975"/>
      <c r="FZ26" s="1975"/>
      <c r="GA26" s="1975"/>
      <c r="GB26" s="1975"/>
    </row>
    <row customHeight="1" ht="12">
      <c r="S27" s="1850"/>
      <c r="T27" s="1850"/>
      <c r="U27" s="1850"/>
      <c r="V27" s="1850"/>
      <c r="W27" s="1850"/>
      <c r="X27" s="1850"/>
      <c r="Y27" s="1850"/>
      <c r="Z27" s="1850"/>
      <c r="AA27" s="1850"/>
      <c r="AB27" s="1850"/>
      <c r="FX27" s="1850"/>
      <c r="FY27" s="1850"/>
      <c r="FZ27" s="1850"/>
      <c r="GA27" s="1850"/>
      <c r="GB27" s="1850"/>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AC1908-543F-754A-798B-B9756A4F96CC}" mc:Ignorable="x14ac xr xr2 xr3">
  <sheetPr>
    <tabColor theme="2" tint="-0.1"/>
  </sheetPr>
  <dimension ref="A1:R22"/>
  <sheetViews>
    <sheetView topLeftCell="C4" showGridLines="0" zoomScale="90" workbookViewId="0">
      <selection activeCell="A1" sqref="A1"/>
    </sheetView>
  </sheetViews>
  <sheetFormatPr defaultColWidth="10.57421875" customHeight="1" defaultRowHeight="15"/>
  <cols>
    <col min="1" max="1" style="39981" width="9.140625" hidden="1" customWidth="1"/>
    <col min="2" max="2" style="39984" width="9.140625" hidden="1" customWidth="1"/>
    <col min="3" max="3" style="40820" width="4.7109375" customWidth="1"/>
    <col min="4" max="4" style="39984" width="6.28125" customWidth="1"/>
    <col min="5" max="5" style="39984" width="36.7109375" customWidth="1"/>
    <col min="6" max="6" style="39984" width="9.57421875" customWidth="1"/>
    <col min="7" max="7" style="39538" width="42.421875" hidden="1" customWidth="1"/>
    <col min="8" max="8" style="39984" width="40.7109375" customWidth="1"/>
    <col min="9" max="9" style="39539" width="93.421875" customWidth="1"/>
    <col min="10" max="17" style="39984" width="10.57421875"/>
    <col min="18" max="18" style="40821" width="10.57421875"/>
  </cols>
  <sheetData>
    <row s="39539" customFormat="1" customHeight="1" ht="15" hidden="1">
      <c r="C1" s="1584"/>
      <c r="H1" s="1329">
        <v>4</v>
      </c>
      <c r="R1" s="1332"/>
    </row>
    <row customHeight="1" ht="22.5" hidden="1">
      <c r="C2" s="2844" t="s">
        <v>844</v>
      </c>
      <c r="D2" s="1451"/>
      <c r="E2" s="1575"/>
      <c r="F2" s="2676" t="str">
        <f>IF(TEMPLATE_SPHERE="HEAT","Гкал/час","тыс. куб. м/сутки")</f>
        <v>Гкал/час</v>
      </c>
      <c r="G2" s="1592"/>
      <c r="H2" s="1592"/>
      <c r="I2" s="1201"/>
    </row>
    <row s="39539" customFormat="1" customHeight="1" ht="15" hidden="1">
      <c r="C3" s="1584"/>
      <c r="R3" s="1332"/>
    </row>
    <row customHeight="1" ht="15">
      <c r="C4" s="1089"/>
      <c r="D4" s="1421"/>
      <c r="E4" s="1421"/>
      <c r="F4" s="1421"/>
      <c r="G4" s="1421"/>
      <c r="H4" s="1421"/>
    </row>
    <row customHeight="1" ht="37.5">
      <c r="C5" s="1089"/>
      <c r="D5" s="30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61"/>
      <c r="F5" s="3061"/>
      <c r="G5" s="3061"/>
      <c r="H5" s="3061"/>
      <c r="I5" s="1449"/>
    </row>
    <row customHeight="1" ht="15">
      <c r="C6" s="1089"/>
      <c r="D6" s="3000" t="str">
        <f>IF(org=0,"Не определено",org)</f>
        <v>ПАО "ТГК-1" филиал "Невский"</v>
      </c>
      <c r="E6" s="3000"/>
      <c r="F6" s="3000"/>
      <c r="G6" s="3000"/>
      <c r="H6" s="3000"/>
      <c r="I6" s="1449"/>
    </row>
    <row s="39538" customFormat="1" customHeight="1" ht="15">
      <c r="A7" s="1671"/>
      <c r="C7" s="1089"/>
      <c r="D7" s="1588"/>
      <c r="E7" s="1588"/>
      <c r="F7" s="1588"/>
      <c r="G7" s="1588"/>
      <c r="H7" s="1664"/>
      <c r="I7" s="1449"/>
      <c r="R7" s="1587"/>
    </row>
    <row customHeight="1" ht="0.75">
      <c r="C8" s="1089"/>
      <c r="D8" s="1421"/>
      <c r="E8" s="1421"/>
      <c r="F8" s="1421"/>
      <c r="G8" s="1421"/>
      <c r="H8" s="1449" t="s">
        <v>110</v>
      </c>
    </row>
    <row customHeight="1" ht="15">
      <c r="C9" s="1089"/>
      <c r="D9" s="1623"/>
      <c r="E9" s="3184" t="s">
        <v>98</v>
      </c>
      <c r="F9" s="3185"/>
      <c r="G9" s="1728" t="str">
        <f>IF(G8="","",INDEX(DIFFERENTIATION_UNMERGE_VD,MATCH(G8,DIFFERENTIATION_ID_DIFF,0)))</f>
        <v/>
      </c>
      <c r="H9" s="1728">
        <f>IF(H8="","",INDEX(DIFFERENTIATION_UNMERGE_VD,MATCH(H8,DIFFERENTIATION_ID_DIFF,0)))</f>
        <v>0</v>
      </c>
      <c r="I9" s="2953" t="s">
        <v>292</v>
      </c>
    </row>
    <row s="39538" customFormat="1" customHeight="1" ht="15">
      <c r="A10" s="1671"/>
      <c r="C10" s="1089"/>
      <c r="D10" s="1623"/>
      <c r="E10" s="3184" t="s">
        <v>556</v>
      </c>
      <c r="F10" s="3185"/>
      <c r="G10" s="1728" t="str">
        <f>IF(G8="","",INDEX(DIFFERENTIATION_UNMERGE_AREA,MATCH(G8,DIFFERENTIATION_ID_DIFF,0)))</f>
        <v/>
      </c>
      <c r="H10" s="1728" t="str">
        <f>IF(H8="","",INDEX(DIFFERENTIATION_UNMERGE_AREA,MATCH(H8,DIFFERENTIATION_ID_DIFF,0)))</f>
        <v/>
      </c>
      <c r="I10" s="2953"/>
      <c r="R10" s="1587"/>
    </row>
    <row s="39538" customFormat="1" customHeight="1" ht="15">
      <c r="A11" s="1671"/>
      <c r="C11" s="1089"/>
      <c r="D11" s="1623"/>
      <c r="E11" s="3184" t="s">
        <v>557</v>
      </c>
      <c r="F11" s="3185"/>
      <c r="G11" s="1728" t="str">
        <f>IF(G8="","",INDEX(DIFFERENTIATION_UNMERGE_SYSTEM,MATCH(G8,DIFFERENTIATION_ID_DIFF,0)))</f>
        <v/>
      </c>
      <c r="H11" s="1728" t="str">
        <f>IF(H8="","",INDEX(DIFFERENTIATION_UNMERGE_SYSTEM,MATCH(H8,DIFFERENTIATION_ID_DIFF,0)))</f>
        <v>без дифференциации</v>
      </c>
      <c r="I11" s="2953"/>
      <c r="R11" s="1587"/>
    </row>
    <row s="39538" customFormat="1" customHeight="1" ht="15">
      <c r="A12" s="1671"/>
      <c r="C12" s="1089"/>
      <c r="D12" s="3186" t="s">
        <v>291</v>
      </c>
      <c r="E12" s="3187"/>
      <c r="F12" s="3187"/>
      <c r="G12" s="1799"/>
      <c r="H12" s="1799"/>
      <c r="I12" s="2953"/>
      <c r="R12" s="1587"/>
    </row>
    <row customHeight="1" ht="33.75">
      <c r="C13" s="1089"/>
      <c r="D13" s="1673" t="s">
        <v>84</v>
      </c>
      <c r="E13" s="1672" t="s">
        <v>293</v>
      </c>
      <c r="F13" s="1672" t="s">
        <v>558</v>
      </c>
      <c r="G13" s="1720" t="s">
        <v>294</v>
      </c>
      <c r="H13" s="1666" t="s">
        <v>294</v>
      </c>
      <c r="I13" s="2953"/>
    </row>
    <row customHeight="1" ht="15" hidden="1">
      <c r="C14" s="1089"/>
      <c r="D14" s="1505" t="s">
        <v>102</v>
      </c>
      <c r="E14" s="1505" t="s">
        <v>103</v>
      </c>
      <c r="F14" s="1505" t="s">
        <v>86</v>
      </c>
      <c r="G14" s="1571" t="str">
        <f>G1&amp;".1"</f>
        <v>.1</v>
      </c>
      <c r="H14" s="1571" t="str">
        <f>H1&amp;".1"</f>
        <v>4.1</v>
      </c>
      <c r="I14" s="1201"/>
    </row>
    <row customHeight="1" ht="15">
      <c r="A15" s="1417"/>
      <c r="C15" s="1438"/>
      <c r="D15" s="1433">
        <v>1</v>
      </c>
      <c r="E15" s="2846" t="str">
        <f>TP_P_A</f>
        <v>Количество поданных заявок</v>
      </c>
      <c r="F15" s="1433" t="s">
        <v>1090</v>
      </c>
      <c r="G15" s="1597"/>
      <c r="H15" s="1597"/>
      <c r="I15" s="112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1417"/>
      <c r="C16" s="1438"/>
      <c r="D16" s="1433">
        <v>2</v>
      </c>
      <c r="E16" s="2846" t="str">
        <f>TP_P_B</f>
        <v>Количество рассмотренных заявок</v>
      </c>
      <c r="F16" s="1433" t="s">
        <v>1090</v>
      </c>
      <c r="G16" s="1597"/>
      <c r="H16" s="1597"/>
      <c r="I16" s="112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73.5">
      <c r="A17" s="1417"/>
      <c r="C17" s="1438"/>
      <c r="D17" s="1433">
        <v>3</v>
      </c>
      <c r="E17" s="284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433" t="s">
        <v>1090</v>
      </c>
      <c r="G17" s="1597"/>
      <c r="H17" s="1597"/>
      <c r="I17" s="1120" t="str">
        <f>TP_P_NOTE_V</f>
        <v>Указывается количество заявок с решением об отказе в течение отчетного квартала.</v>
      </c>
    </row>
    <row customHeight="1" ht="52.5">
      <c r="A18" s="1417"/>
      <c r="C18" s="1438"/>
      <c r="D18" s="1433">
        <v>4</v>
      </c>
      <c r="E18" s="2846" t="str">
        <f>TP_P_V_1</f>
        <v>Причины отказа в заключении договора о подключении (технологическом присоединении) к системе теплоснабжения</v>
      </c>
      <c r="F18" s="1433" t="s">
        <v>297</v>
      </c>
      <c r="G18" s="1598"/>
      <c r="H18" s="1598"/>
      <c r="I18" s="17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417"/>
      <c r="C19" s="1438"/>
      <c r="D19" s="1433">
        <v>5</v>
      </c>
      <c r="E19" s="2846" t="str">
        <f>TP_P_G</f>
        <v>Резерв мощности источников тепловой энергии, входящих в систему теплоснабжения, в течение одного квартала, в том числе:</v>
      </c>
      <c r="F19" s="1433" t="str">
        <f>IF(TEMPLATE_SPHERE="HEAT","Гкал/час","тыс. куб. м/сутки")</f>
        <v>Гкал/час</v>
      </c>
      <c r="G19" s="1599">
        <f>SUM(G20:G22)</f>
        <v>0</v>
      </c>
      <c r="H19" s="1599">
        <f>SUM(H20:H22)</f>
        <v>0</v>
      </c>
      <c r="I19" s="112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1421" t="s">
        <v>1091</v>
      </c>
      <c r="E20" s="1600"/>
      <c r="F20" s="1421"/>
      <c r="G20" s="1421"/>
      <c r="H20" s="1421"/>
      <c r="I20" s="2678"/>
    </row>
    <row customHeight="1" ht="27.75">
      <c r="C21" s="1363"/>
      <c r="D21" s="1451" t="s">
        <v>304</v>
      </c>
      <c r="E21" s="1582"/>
      <c r="F21" s="2676" t="str">
        <f>IF(TEMPLATE_SPHERE="HEAT","Гкал/час","тыс. куб. м/сутки")</f>
        <v>Гкал/час</v>
      </c>
      <c r="G21" s="1592"/>
      <c r="H21" s="1592"/>
      <c r="I21" s="299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1417"/>
      <c r="C22" s="1417"/>
      <c r="D22" s="1259"/>
      <c r="E22" s="1492" t="s">
        <v>1092</v>
      </c>
      <c r="F22" s="1484"/>
      <c r="G22" s="1484"/>
      <c r="H22" s="1484"/>
      <c r="I22" s="2995"/>
      <c r="R22" s="1417"/>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CEE833-88EB-03C7-98C6-87181EEB24DD}"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41365" width="9.140625" hidden="1" customWidth="1"/>
    <col min="2" max="2" style="41366" width="9.140625" hidden="1" customWidth="1"/>
    <col min="3" max="3" style="41367" width="3.7109375" customWidth="1"/>
    <col min="4" max="4" style="39541" width="6.28125" customWidth="1"/>
    <col min="5" max="6" style="39541" width="64.140625" customWidth="1"/>
    <col min="7" max="7" style="39541" width="141.140625" customWidth="1"/>
    <col min="8" max="8" style="39541" width="10.57421875"/>
    <col min="9" max="10" style="39542" width="10.57421875"/>
    <col min="11" max="16" style="39541" width="10.57421875"/>
  </cols>
  <sheetData>
    <row customHeight="1" ht="14.25" hidden="1">
      <c r="M1" s="1167"/>
      <c r="N1" s="1167"/>
      <c r="P1" s="1167"/>
    </row>
    <row customHeight="1" ht="14.25" hidden="1"/>
    <row customHeight="1" ht="14.25" hidden="1"/>
    <row customHeight="1" ht="3">
      <c r="C4" s="1009"/>
      <c r="D4" s="996"/>
      <c r="E4" s="996"/>
      <c r="F4" s="997"/>
      <c r="G4" s="997"/>
    </row>
    <row customHeight="1" ht="27.75">
      <c r="C5" s="1009"/>
      <c r="D5" s="32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71"/>
      <c r="F5" s="3271"/>
      <c r="G5" s="3272"/>
    </row>
    <row s="39538" customFormat="1" customHeight="1" ht="18">
      <c r="A6" s="1794"/>
      <c r="B6" s="1329"/>
      <c r="C6" s="1288"/>
      <c r="D6" s="3273" t="str">
        <f>IF(org=0,"Не определено",org)</f>
        <v>ПАО "ТГК-1" филиал "Невский"</v>
      </c>
      <c r="E6" s="3274"/>
      <c r="F6" s="3274"/>
      <c r="G6" s="3275"/>
      <c r="I6" s="1412"/>
      <c r="J6" s="1412"/>
    </row>
    <row customHeight="1" ht="14.25">
      <c r="C7" s="1009"/>
      <c r="D7" s="996"/>
      <c r="E7" s="1008"/>
      <c r="F7" s="1664"/>
      <c r="G7" s="1105"/>
    </row>
    <row s="40257" customFormat="1" customHeight="1" ht="0.75">
      <c r="A8" s="2584"/>
      <c r="B8" s="2074"/>
      <c r="C8" s="1288"/>
      <c r="D8" s="1275"/>
      <c r="E8" s="1301"/>
      <c r="F8" s="1664"/>
      <c r="G8" s="1105"/>
      <c r="I8" s="2539"/>
      <c r="J8" s="2539"/>
    </row>
    <row customHeight="1" ht="14.25">
      <c r="C9" s="1009"/>
      <c r="D9" s="3033" t="s">
        <v>291</v>
      </c>
      <c r="E9" s="3033"/>
      <c r="F9" s="3033"/>
      <c r="G9" s="3276" t="s">
        <v>292</v>
      </c>
    </row>
    <row customHeight="1" ht="14.25">
      <c r="C10" s="1009"/>
      <c r="D10" s="1018" t="s">
        <v>84</v>
      </c>
      <c r="E10" s="1021" t="s">
        <v>293</v>
      </c>
      <c r="F10" s="1021" t="s">
        <v>381</v>
      </c>
      <c r="G10" s="3276"/>
    </row>
    <row customHeight="1" ht="12" hidden="1">
      <c r="C11" s="1009"/>
      <c r="D11" s="999"/>
      <c r="E11" s="999"/>
      <c r="F11" s="999"/>
      <c r="G11" s="999"/>
    </row>
    <row customHeight="1" ht="62.25">
      <c r="A12" s="1104"/>
      <c r="C12" s="1009"/>
      <c r="D12" s="1060">
        <v>1</v>
      </c>
      <c r="E12" s="110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10" t="s">
        <v>297</v>
      </c>
      <c r="G12" s="1064"/>
    </row>
    <row customHeight="1" ht="22.5">
      <c r="A13" s="1104"/>
      <c r="C13" s="1009"/>
      <c r="D13" s="1060" t="s">
        <v>994</v>
      </c>
      <c r="E13" s="11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10" t="s">
        <v>297</v>
      </c>
      <c r="G13" s="1064"/>
    </row>
    <row customHeight="1" ht="14.25">
      <c r="A14" s="1104"/>
      <c r="C14" s="1009"/>
      <c r="D14" s="1060" t="s">
        <v>1030</v>
      </c>
      <c r="E14" s="1107"/>
      <c r="F14" s="1125"/>
      <c r="G14" s="29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104"/>
      <c r="C15" s="1009"/>
      <c r="D15" s="1022"/>
      <c r="E15" s="1261" t="s">
        <v>1093</v>
      </c>
      <c r="F15" s="1113"/>
      <c r="G15" s="2995"/>
    </row>
    <row customHeight="1" ht="14.25">
      <c r="A16" s="1104"/>
      <c r="C16" s="1009"/>
      <c r="D16" s="1060" t="s">
        <v>996</v>
      </c>
      <c r="E16" s="11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10" t="s">
        <v>297</v>
      </c>
      <c r="G16" s="1249"/>
    </row>
    <row customHeight="1" ht="14.25">
      <c r="A17" s="1104"/>
      <c r="C17" s="1009"/>
      <c r="D17" s="1060" t="s">
        <v>1038</v>
      </c>
      <c r="E17" s="1107"/>
      <c r="F17" s="1297"/>
      <c r="G17" s="29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41344" customFormat="1" customHeight="1" ht="21">
      <c r="A18" s="1255"/>
      <c r="B18" s="1059"/>
      <c r="C18" s="1219"/>
      <c r="D18" s="1259"/>
      <c r="E18" s="1261" t="s">
        <v>1094</v>
      </c>
      <c r="F18" s="1250"/>
      <c r="G18" s="2995"/>
      <c r="I18" s="1262"/>
      <c r="J18" s="1262"/>
    </row>
    <row s="39538" customFormat="1" customHeight="1" ht="256.5" hidden="1">
      <c r="A19" s="1255"/>
      <c r="B19" s="1329"/>
      <c r="C19" s="1288"/>
      <c r="D19" s="1796" t="s">
        <v>998</v>
      </c>
      <c r="E19" s="1795" t="s">
        <v>1095</v>
      </c>
      <c r="F19" s="1297"/>
      <c r="G19" s="1249" t="s">
        <v>1096</v>
      </c>
      <c r="I19" s="1412"/>
      <c r="J19" s="1412"/>
    </row>
    <row s="41344" customFormat="1" customHeight="1" ht="14.25">
      <c r="A20" s="1255"/>
      <c r="B20" s="1059"/>
      <c r="C20" s="1219"/>
      <c r="D20" s="1797">
        <v>2</v>
      </c>
      <c r="E20" s="1242" t="s">
        <v>1097</v>
      </c>
      <c r="F20" s="1110" t="s">
        <v>297</v>
      </c>
      <c r="G20" s="1249"/>
      <c r="I20" s="1262"/>
      <c r="J20" s="1262"/>
    </row>
    <row s="41344" customFormat="1" customHeight="1" ht="18.75" hidden="1">
      <c r="A21" s="1255"/>
      <c r="B21" s="1059"/>
      <c r="C21" s="1219"/>
      <c r="D21" s="1245" t="s">
        <v>862</v>
      </c>
      <c r="E21" s="1244"/>
      <c r="F21" s="1243"/>
      <c r="G21" s="1253"/>
      <c r="H21" s="1246"/>
      <c r="I21" s="1262"/>
      <c r="J21" s="1262"/>
    </row>
    <row customHeight="1" ht="15">
      <c r="A22" s="1104"/>
      <c r="C22" s="1009"/>
      <c r="D22" s="1022"/>
      <c r="E22" s="1115" t="s">
        <v>313</v>
      </c>
      <c r="F22" s="1250"/>
      <c r="G22" s="1251"/>
    </row>
    <row s="40257" customFormat="1" customHeight="1" ht="22.5" hidden="1">
      <c r="A23" s="1255"/>
      <c r="B23" s="2074"/>
      <c r="C23" s="1288"/>
      <c r="D23" s="2588" t="s">
        <v>103</v>
      </c>
      <c r="E23" s="1109" t="s">
        <v>1098</v>
      </c>
      <c r="F23" s="2585" t="s">
        <v>297</v>
      </c>
      <c r="G23" s="1257"/>
      <c r="I23" s="2539"/>
      <c r="J23" s="2539"/>
    </row>
    <row s="40257" customFormat="1" customHeight="1" ht="14.25" hidden="1">
      <c r="A24" s="1255"/>
      <c r="B24" s="2074"/>
      <c r="C24" s="1288"/>
      <c r="D24" s="2588" t="s">
        <v>614</v>
      </c>
      <c r="E24" s="2587" t="s">
        <v>1099</v>
      </c>
      <c r="F24" s="2585" t="s">
        <v>297</v>
      </c>
      <c r="G24" s="1249"/>
      <c r="I24" s="2539"/>
      <c r="J24" s="2539"/>
    </row>
    <row s="40257" customFormat="1" customHeight="1" ht="14.25" hidden="1">
      <c r="A25" s="1255"/>
      <c r="B25" s="2074"/>
      <c r="C25" s="1288"/>
      <c r="D25" s="2588" t="s">
        <v>617</v>
      </c>
      <c r="E25" s="1107"/>
      <c r="F25" s="1297"/>
      <c r="G25" s="2993" t="s">
        <v>1100</v>
      </c>
      <c r="I25" s="2539"/>
      <c r="J25" s="2539"/>
    </row>
    <row s="40257" customFormat="1" customHeight="1" ht="22.5" hidden="1">
      <c r="A26" s="1255"/>
      <c r="B26" s="2074"/>
      <c r="C26" s="1288"/>
      <c r="D26" s="1259"/>
      <c r="E26" s="1261" t="s">
        <v>1101</v>
      </c>
      <c r="F26" s="1250"/>
      <c r="G26" s="2995"/>
      <c r="I26" s="2539"/>
      <c r="J26" s="2539"/>
    </row>
    <row customHeight="1" ht="3"/>
    <row customHeight="1" ht="14.25">
      <c r="D28" s="1248"/>
      <c r="E28" s="1247"/>
      <c r="F28" s="1227"/>
      <c r="G28" s="1227"/>
      <c r="H28" s="1227"/>
      <c r="I28" s="1227"/>
      <c r="J28" s="1227"/>
      <c r="K28" s="1227"/>
      <c r="L28" s="1227"/>
      <c r="M28" s="1227"/>
      <c r="N28" s="1227"/>
      <c r="O28" s="1227"/>
      <c r="P28" s="1227"/>
    </row>
    <row customHeight="1" ht="14.25">
      <c r="D29" s="1248"/>
      <c r="E29" s="1494"/>
    </row>
    <row r="31" customHeight="1" ht="14.25">
      <c r="E31" s="1670"/>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869B94-75EB-7E83-E4A4-96610D7C13DE}"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40211" width="9.140625" hidden="1" customWidth="1"/>
    <col min="2" max="2" style="41366" width="9.140625" hidden="1" customWidth="1"/>
    <col min="3" max="3" style="41367" width="3.7109375" customWidth="1"/>
    <col min="4" max="4" style="39541" width="6.28125" customWidth="1"/>
    <col min="5" max="5" style="39541" width="63.421875" customWidth="1"/>
    <col min="6" max="6" style="39541" width="1.7109375" hidden="1" customWidth="1"/>
    <col min="7" max="8" style="39541" width="35.7109375" customWidth="1"/>
    <col min="9" max="9" style="39541" width="91.57421875" customWidth="1"/>
    <col min="10" max="10" style="39541" width="68.8515625" customWidth="1"/>
    <col min="11" max="12" style="39542" width="10.57421875"/>
  </cols>
  <sheetData>
    <row customHeight="1" ht="14.25" hidden="1"/>
    <row s="40257" customFormat="1" customHeight="1" ht="18.75" hidden="1">
      <c r="A2" s="2598"/>
      <c r="B2" s="2074"/>
      <c r="C2" s="2645" t="s">
        <v>844</v>
      </c>
      <c r="D2" s="2588"/>
      <c r="E2" s="1111"/>
      <c r="F2" s="2585"/>
      <c r="G2" s="2585" t="s">
        <v>297</v>
      </c>
      <c r="H2" s="2075"/>
      <c r="K2" s="2539"/>
      <c r="L2" s="2539"/>
    </row>
    <row s="40257" customFormat="1" customHeight="1" ht="14.25" hidden="1">
      <c r="A3" s="2277"/>
      <c r="B3" s="2074"/>
      <c r="C3" s="1256"/>
      <c r="K3" s="2539"/>
      <c r="L3" s="2539"/>
    </row>
    <row s="40257" customFormat="1" customHeight="1" ht="18.75" hidden="1">
      <c r="A4" s="2598"/>
      <c r="B4" s="2074"/>
      <c r="C4" s="2645" t="s">
        <v>844</v>
      </c>
      <c r="D4" s="2588"/>
      <c r="E4" s="1117" t="s">
        <v>1102</v>
      </c>
      <c r="F4" s="2585"/>
      <c r="G4" s="1169"/>
      <c r="H4" s="2585" t="s">
        <v>297</v>
      </c>
      <c r="K4" s="2539"/>
      <c r="L4" s="2539"/>
    </row>
    <row s="40257" customFormat="1" customHeight="1" ht="14.25" hidden="1">
      <c r="A5" s="2277"/>
      <c r="B5" s="2074"/>
      <c r="C5" s="1256"/>
      <c r="K5" s="2539"/>
      <c r="L5" s="2539"/>
    </row>
    <row s="40257" customFormat="1" customHeight="1" ht="18.75" hidden="1">
      <c r="A6" s="2598"/>
      <c r="B6" s="2074"/>
      <c r="C6" s="2645" t="s">
        <v>844</v>
      </c>
      <c r="D6" s="2588"/>
      <c r="E6" s="1118" t="s">
        <v>1103</v>
      </c>
      <c r="F6" s="2585"/>
      <c r="G6" s="1169"/>
      <c r="H6" s="2585" t="s">
        <v>297</v>
      </c>
      <c r="K6" s="2539"/>
      <c r="L6" s="2539"/>
    </row>
    <row s="40257" customFormat="1" customHeight="1" ht="14.25" hidden="1">
      <c r="A7" s="2277"/>
      <c r="B7" s="2074"/>
      <c r="C7" s="1256"/>
      <c r="K7" s="2539"/>
      <c r="L7" s="2539"/>
    </row>
    <row s="40257" customFormat="1" customHeight="1" ht="18.75" hidden="1">
      <c r="A8" s="2598"/>
      <c r="B8" s="2074"/>
      <c r="C8" s="2645" t="s">
        <v>844</v>
      </c>
      <c r="D8" s="2588"/>
      <c r="E8" s="1118" t="s">
        <v>1104</v>
      </c>
      <c r="F8" s="2585"/>
      <c r="G8" s="1169"/>
      <c r="H8" s="2585" t="s">
        <v>297</v>
      </c>
      <c r="K8" s="2539"/>
      <c r="L8" s="2539"/>
    </row>
    <row s="40257" customFormat="1" customHeight="1" ht="14.25" hidden="1">
      <c r="A9" s="2277"/>
      <c r="B9" s="2074"/>
      <c r="C9" s="1256"/>
      <c r="K9" s="2539"/>
      <c r="L9" s="2539"/>
    </row>
    <row s="40257" customFormat="1" customHeight="1" ht="18.75" hidden="1">
      <c r="A10" s="2598"/>
      <c r="B10" s="2074"/>
      <c r="C10" s="2645" t="s">
        <v>844</v>
      </c>
      <c r="D10" s="2588"/>
      <c r="E10" s="1118" t="s">
        <v>1105</v>
      </c>
      <c r="F10" s="2585"/>
      <c r="G10" s="2589"/>
      <c r="H10" s="2585" t="s">
        <v>297</v>
      </c>
      <c r="K10" s="2539"/>
      <c r="L10" s="2539" t="s">
        <v>1106</v>
      </c>
    </row>
    <row customHeight="1" ht="14.25" hidden="1"/>
    <row customHeight="1" ht="14.25" hidden="1"/>
    <row customHeight="1" ht="14.25">
      <c r="C13" s="1009"/>
      <c r="D13" s="996"/>
      <c r="E13" s="996"/>
      <c r="F13" s="996"/>
      <c r="G13" s="996"/>
      <c r="H13" s="997"/>
      <c r="I13" s="997"/>
    </row>
    <row customHeight="1" ht="27.75">
      <c r="C14" s="1009"/>
      <c r="D14" s="32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71"/>
      <c r="F14" s="3271"/>
      <c r="G14" s="3271"/>
      <c r="H14" s="3272"/>
      <c r="J14" s="2546"/>
    </row>
    <row s="40257" customFormat="1" customHeight="1" ht="14.25">
      <c r="A15" s="2277"/>
      <c r="B15" s="2074"/>
      <c r="C15" s="1288"/>
      <c r="D15" s="3273" t="str">
        <f>IF(org=0,"Не определено",org)</f>
        <v>ПАО "ТГК-1" филиал "Невский"</v>
      </c>
      <c r="E15" s="3274"/>
      <c r="F15" s="3274"/>
      <c r="G15" s="3274"/>
      <c r="H15" s="3275"/>
      <c r="J15" s="1764"/>
      <c r="K15" s="2539"/>
      <c r="L15" s="2539"/>
    </row>
    <row customHeight="1" ht="14.25">
      <c r="C16" s="1009"/>
      <c r="D16" s="996"/>
      <c r="E16" s="1008"/>
      <c r="F16" s="1008"/>
      <c r="G16" s="1008"/>
      <c r="H16" s="1664"/>
      <c r="I16" s="1105"/>
    </row>
    <row s="40257" customFormat="1" customHeight="1" ht="14.25" hidden="1">
      <c r="A17" s="2277"/>
      <c r="B17" s="2074"/>
      <c r="C17" s="1288"/>
      <c r="D17" s="1275"/>
      <c r="E17" s="1301"/>
      <c r="F17" s="1301"/>
      <c r="G17" s="1301"/>
      <c r="H17" s="1664"/>
      <c r="I17" s="1105"/>
      <c r="K17" s="2539"/>
      <c r="L17" s="2539"/>
    </row>
    <row customHeight="1" ht="21">
      <c r="C18" s="1009"/>
      <c r="D18" s="3033" t="s">
        <v>291</v>
      </c>
      <c r="E18" s="3033"/>
      <c r="F18" s="3033"/>
      <c r="G18" s="3033"/>
      <c r="H18" s="3033"/>
      <c r="I18" s="3276" t="s">
        <v>292</v>
      </c>
    </row>
    <row customHeight="1" ht="21">
      <c r="C19" s="1009"/>
      <c r="D19" s="1018" t="s">
        <v>84</v>
      </c>
      <c r="E19" s="1021" t="s">
        <v>293</v>
      </c>
      <c r="F19" s="1021"/>
      <c r="G19" s="1021" t="s">
        <v>294</v>
      </c>
      <c r="H19" s="1021" t="s">
        <v>381</v>
      </c>
      <c r="I19" s="3276"/>
    </row>
    <row customHeight="1" ht="12" hidden="1">
      <c r="C20" s="1009"/>
      <c r="D20" s="999"/>
      <c r="E20" s="999"/>
      <c r="F20" s="999"/>
      <c r="G20" s="999"/>
      <c r="H20" s="999"/>
      <c r="I20" s="999"/>
    </row>
    <row customHeight="1" ht="14.25">
      <c r="A21" s="2598"/>
      <c r="C21" s="1009"/>
      <c r="D21" s="1060">
        <v>1</v>
      </c>
      <c r="E21" s="3278" t="s">
        <v>1107</v>
      </c>
      <c r="F21" s="3278"/>
      <c r="G21" s="3278"/>
      <c r="H21" s="3278"/>
      <c r="I21" s="1120"/>
    </row>
    <row customHeight="1" ht="20.25">
      <c r="A22" s="2598"/>
      <c r="C22" s="1009"/>
      <c r="D22" s="1060" t="s">
        <v>994</v>
      </c>
      <c r="E22" s="1106" t="s">
        <v>1108</v>
      </c>
      <c r="F22" s="1110"/>
      <c r="G22" s="2652"/>
      <c r="H22" s="1110" t="s">
        <v>297</v>
      </c>
      <c r="I22" s="1064" t="s">
        <v>1109</v>
      </c>
    </row>
    <row customHeight="1" ht="45">
      <c r="A23" s="2598"/>
      <c r="C23" s="1009"/>
      <c r="D23" s="1060" t="s">
        <v>996</v>
      </c>
      <c r="E23" s="1106" t="s">
        <v>1110</v>
      </c>
      <c r="F23" s="1110"/>
      <c r="G23" s="1169"/>
      <c r="H23" s="1125"/>
      <c r="I23" s="1170" t="s">
        <v>1111</v>
      </c>
    </row>
    <row customHeight="1" ht="14.25">
      <c r="A24" s="2598"/>
      <c r="B24" s="1059">
        <v>3</v>
      </c>
      <c r="C24" s="1009"/>
      <c r="D24" s="1060">
        <v>2</v>
      </c>
      <c r="E24" s="11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10"/>
      <c r="G24" s="1110" t="s">
        <v>297</v>
      </c>
      <c r="H24" s="1125"/>
      <c r="I24" s="1171" t="s">
        <v>798</v>
      </c>
    </row>
    <row customHeight="1" ht="46.5">
      <c r="A25" s="2598"/>
      <c r="C25" s="1009"/>
      <c r="D25" s="1060">
        <v>3</v>
      </c>
      <c r="E25" s="32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77"/>
      <c r="G25" s="3277"/>
      <c r="H25" s="3277"/>
      <c r="I25" s="1168"/>
    </row>
    <row customHeight="1" ht="14.25">
      <c r="A26" s="2598"/>
      <c r="C26" s="1009"/>
      <c r="D26" s="1060" t="s">
        <v>315</v>
      </c>
      <c r="E26" s="1111"/>
      <c r="F26" s="1110"/>
      <c r="G26" s="1110" t="s">
        <v>297</v>
      </c>
      <c r="H26" s="1125"/>
      <c r="I26" s="2993" t="s">
        <v>1112</v>
      </c>
    </row>
    <row customHeight="1" ht="15">
      <c r="A27" s="2598" t="s">
        <v>102</v>
      </c>
      <c r="C27" s="1009"/>
      <c r="D27" s="1022"/>
      <c r="E27" s="1115" t="s">
        <v>313</v>
      </c>
      <c r="F27" s="1116"/>
      <c r="G27" s="1116"/>
      <c r="H27" s="1113"/>
      <c r="I27" s="2995"/>
    </row>
    <row customHeight="1" ht="38.25">
      <c r="A28" s="2598"/>
      <c r="B28" s="1059">
        <v>3</v>
      </c>
      <c r="C28" s="1009"/>
      <c r="D28" s="1060">
        <v>4</v>
      </c>
      <c r="E28" s="32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77"/>
      <c r="G28" s="3277"/>
      <c r="H28" s="3277"/>
      <c r="I28" s="1168"/>
    </row>
    <row customHeight="1" ht="20.25">
      <c r="A29" s="2598"/>
      <c r="C29" s="1009"/>
      <c r="D29" s="1060" t="s">
        <v>659</v>
      </c>
      <c r="E29" s="1117" t="s">
        <v>1102</v>
      </c>
      <c r="F29" s="1110"/>
      <c r="G29" s="1169"/>
      <c r="H29" s="1110" t="s">
        <v>297</v>
      </c>
      <c r="I29" s="2993" t="s">
        <v>1113</v>
      </c>
    </row>
    <row customHeight="1" ht="15">
      <c r="A30" s="2598" t="s">
        <v>103</v>
      </c>
      <c r="C30" s="1009"/>
      <c r="D30" s="1022"/>
      <c r="E30" s="1115" t="s">
        <v>313</v>
      </c>
      <c r="F30" s="1116"/>
      <c r="G30" s="1116"/>
      <c r="H30" s="1113"/>
      <c r="I30" s="2995"/>
    </row>
    <row customHeight="1" ht="30">
      <c r="A31" s="2598"/>
      <c r="B31" s="1059">
        <v>3</v>
      </c>
      <c r="C31" s="1009"/>
      <c r="D31" s="1060">
        <v>5</v>
      </c>
      <c r="E31" s="32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77"/>
      <c r="G31" s="3277"/>
      <c r="H31" s="3277"/>
      <c r="I31" s="1168"/>
    </row>
    <row customHeight="1" ht="26.25">
      <c r="A32" s="2598"/>
      <c r="C32" s="1009"/>
      <c r="D32" s="1060" t="s">
        <v>304</v>
      </c>
      <c r="E32" s="32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16"/>
      <c r="G32" s="3216"/>
      <c r="H32" s="3216"/>
      <c r="I32" s="1168"/>
    </row>
    <row customHeight="1" ht="14.25">
      <c r="A33" s="2598"/>
      <c r="C33" s="1009"/>
      <c r="D33" s="1060" t="s">
        <v>1114</v>
      </c>
      <c r="E33" s="1118" t="s">
        <v>1103</v>
      </c>
      <c r="F33" s="1110"/>
      <c r="G33" s="1169"/>
      <c r="H33" s="1110" t="s">
        <v>297</v>
      </c>
      <c r="I33" s="2993" t="s">
        <v>1115</v>
      </c>
    </row>
    <row customHeight="1" ht="15">
      <c r="A34" s="2598" t="s">
        <v>86</v>
      </c>
      <c r="C34" s="1009"/>
      <c r="D34" s="1022"/>
      <c r="E34" s="1116" t="s">
        <v>313</v>
      </c>
      <c r="F34" s="1112"/>
      <c r="G34" s="1112"/>
      <c r="H34" s="1113"/>
      <c r="I34" s="2995"/>
    </row>
    <row customHeight="1" ht="24">
      <c r="A35" s="2598"/>
      <c r="C35" s="1009"/>
      <c r="D35" s="1060" t="s">
        <v>788</v>
      </c>
      <c r="E35" s="32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16"/>
      <c r="G35" s="3216"/>
      <c r="H35" s="3216"/>
      <c r="I35" s="1168"/>
    </row>
    <row customHeight="1" ht="14.25">
      <c r="A36" s="2598"/>
      <c r="C36" s="1009"/>
      <c r="D36" s="1060" t="s">
        <v>1116</v>
      </c>
      <c r="E36" s="1118" t="s">
        <v>1104</v>
      </c>
      <c r="F36" s="1110"/>
      <c r="G36" s="1169"/>
      <c r="H36" s="1110" t="s">
        <v>297</v>
      </c>
      <c r="I36" s="2969" t="s">
        <v>1117</v>
      </c>
    </row>
    <row customHeight="1" ht="15">
      <c r="A37" s="2598" t="s">
        <v>87</v>
      </c>
      <c r="C37" s="1009"/>
      <c r="D37" s="1022"/>
      <c r="E37" s="1116" t="s">
        <v>313</v>
      </c>
      <c r="F37" s="1112"/>
      <c r="G37" s="1112"/>
      <c r="H37" s="1113"/>
      <c r="I37" s="2969"/>
    </row>
    <row customHeight="1" ht="26.25">
      <c r="A38" s="2598"/>
      <c r="C38" s="1009"/>
      <c r="D38" s="1060" t="s">
        <v>789</v>
      </c>
      <c r="E38" s="32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16"/>
      <c r="G38" s="3216"/>
      <c r="H38" s="3216"/>
      <c r="I38" s="1168"/>
    </row>
    <row customHeight="1" ht="14.25">
      <c r="A39" s="2598"/>
      <c r="C39" s="1009"/>
      <c r="D39" s="1060" t="s">
        <v>790</v>
      </c>
      <c r="E39" s="1118" t="s">
        <v>1105</v>
      </c>
      <c r="F39" s="1110"/>
      <c r="G39" s="1119"/>
      <c r="H39" s="1110" t="s">
        <v>297</v>
      </c>
      <c r="I39" s="2993" t="s">
        <v>1118</v>
      </c>
      <c r="L39" s="1068" t="s">
        <v>1106</v>
      </c>
    </row>
    <row customHeight="1" ht="15">
      <c r="A40" s="2598" t="s">
        <v>104</v>
      </c>
      <c r="C40" s="1009"/>
      <c r="D40" s="1022"/>
      <c r="E40" s="1116" t="s">
        <v>313</v>
      </c>
      <c r="F40" s="1112"/>
      <c r="G40" s="1112"/>
      <c r="H40" s="1113"/>
      <c r="I40" s="2995"/>
    </row>
    <row s="41387" customFormat="1" customHeight="1" ht="3">
      <c r="A41" s="2598"/>
      <c r="K41" s="1108"/>
      <c r="L41" s="1108"/>
    </row>
    <row customHeight="1" ht="24.75">
      <c r="D42" s="2596" t="s">
        <v>710</v>
      </c>
      <c r="E42" s="31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109"/>
      <c r="G42" s="3109"/>
      <c r="H42" s="3109"/>
      <c r="I42" s="3109"/>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98258F-73D3-2433-985D-26C91E8D9961}" mc:Ignorable="x14ac xr xr2 xr3">
  <sheetPr>
    <tabColor theme="6" tint="0.4"/>
  </sheetPr>
  <dimension ref="A1:AG317"/>
  <sheetViews>
    <sheetView topLeftCell="D13" showGridLines="0" zoomScale="90" workbookViewId="0">
      <selection activeCell="A1" sqref="A1"/>
    </sheetView>
  </sheetViews>
  <sheetFormatPr defaultColWidth="10.57421875" customHeight="1" defaultRowHeight="14.25"/>
  <cols>
    <col min="1" max="2" style="41426" width="25.140625" hidden="1" customWidth="1"/>
    <col min="3" max="3" style="41427" width="9.140625" hidden="1" customWidth="1"/>
    <col min="4" max="4" style="40213" width="3.7109375" customWidth="1"/>
    <col min="5" max="5" style="41428" width="6.28125" customWidth="1"/>
    <col min="6" max="6" style="41428" width="46.7109375" customWidth="1"/>
    <col min="7" max="7" style="41428" width="35.7109375" customWidth="1"/>
    <col min="8" max="8" style="41428" width="3.7109375" customWidth="1"/>
    <col min="9" max="10" style="41428" width="11.7109375" customWidth="1"/>
    <col min="11" max="12" style="41428" width="35.7109375" customWidth="1"/>
    <col min="13" max="13" style="41428" width="84.8515625" customWidth="1"/>
    <col min="14" max="14" style="41428" width="10.57421875"/>
    <col min="15" max="16" style="41429" width="10.57421875"/>
    <col min="17" max="33" style="41428" width="10.57421875"/>
  </cols>
  <sheetData>
    <row s="40257" customFormat="1" customHeight="1" ht="14.25" hidden="1">
      <c r="A1" s="2694"/>
      <c r="B1" s="2694"/>
      <c r="C1" s="1281"/>
      <c r="D1" s="1256"/>
      <c r="N1" s="2551">
        <f>_xlfn.IFERROR(MATCH("метод экономически обоснованных расходов (затрат)",OFFER_METHOD,0),0)</f>
        <v>0</v>
      </c>
      <c r="O1" s="2539"/>
      <c r="P1" s="2539"/>
      <c r="T1" s="1743"/>
      <c r="AG1" s="1167"/>
    </row>
    <row s="40257" customFormat="1" customHeight="1" ht="18.75" hidden="1">
      <c r="A2" s="2695" t="s">
        <v>148</v>
      </c>
      <c r="B2" s="2695" t="s">
        <v>149</v>
      </c>
      <c r="C2" s="1281"/>
      <c r="D2" s="1256"/>
      <c r="E2" s="1944"/>
      <c r="F2" s="1944"/>
      <c r="G2" s="3240" t="str">
        <f>INDEX(PT_DIFFERENTIATION_NTAR,MATCH(B2,PT_DIFFERENTIATION_NTAR_ID,0))</f>
        <v/>
      </c>
      <c r="H2" s="2780"/>
      <c r="I2" s="2654"/>
      <c r="J2" s="2688"/>
      <c r="K2" s="2781"/>
      <c r="L2" s="2780" t="s">
        <v>297</v>
      </c>
      <c r="M2" s="2791"/>
      <c r="N2" s="1246"/>
      <c r="O2" s="2539"/>
      <c r="P2" s="2539"/>
    </row>
    <row s="40257" customFormat="1" customHeight="1" ht="18.75" hidden="1">
      <c r="A3" s="2695"/>
      <c r="B3" s="2695"/>
      <c r="C3" s="1281" t="s">
        <v>1119</v>
      </c>
      <c r="D3" s="1256"/>
      <c r="E3" s="1944"/>
      <c r="F3" s="1944"/>
      <c r="G3" s="3240"/>
      <c r="H3" s="2415"/>
      <c r="I3" s="1563" t="s">
        <v>1120</v>
      </c>
      <c r="J3" s="1483"/>
      <c r="K3" s="2415"/>
      <c r="L3" s="1126"/>
      <c r="M3" s="2791"/>
      <c r="N3" s="1246"/>
      <c r="O3" s="2539"/>
      <c r="P3" s="2539"/>
    </row>
    <row s="40257" customFormat="1" customHeight="1" ht="14.25" hidden="1">
      <c r="A4" s="2694"/>
      <c r="B4" s="2694"/>
      <c r="C4" s="1281"/>
      <c r="D4" s="1256"/>
      <c r="N4" s="2551">
        <f>_xlfn.IFERROR(MATCH("метод экономически обоснованных расходов (затрат)",OFFER_METHOD,0),0)</f>
        <v>0</v>
      </c>
      <c r="O4" s="2539"/>
      <c r="P4" s="2539"/>
      <c r="T4" s="1743"/>
      <c r="AG4" s="1167"/>
    </row>
    <row s="40257" customFormat="1" customHeight="1" ht="18.75" hidden="1">
      <c r="A5" s="2695" t="s">
        <v>148</v>
      </c>
      <c r="B5" s="2695" t="s">
        <v>149</v>
      </c>
      <c r="C5" s="1281"/>
      <c r="D5" s="1256"/>
      <c r="E5" s="1944"/>
      <c r="F5" s="1944"/>
      <c r="G5" s="3240" t="str">
        <f>INDEX(PT_DIFFERENTIATION_NTAR,MATCH(B5,PT_DIFFERENTIATION_NTAR_ID,0))</f>
        <v/>
      </c>
      <c r="H5" s="2780"/>
      <c r="I5" s="2654"/>
      <c r="J5" s="2688"/>
      <c r="K5" s="2693"/>
      <c r="L5" s="2780" t="s">
        <v>297</v>
      </c>
      <c r="M5" s="2791"/>
      <c r="N5" s="1246"/>
      <c r="O5" s="2539"/>
      <c r="P5" s="2539"/>
    </row>
    <row s="40257" customFormat="1" customHeight="1" ht="18.75" hidden="1">
      <c r="A6" s="2695"/>
      <c r="B6" s="2695"/>
      <c r="C6" s="1281" t="s">
        <v>1121</v>
      </c>
      <c r="D6" s="1256"/>
      <c r="E6" s="1944"/>
      <c r="F6" s="1944"/>
      <c r="G6" s="3240"/>
      <c r="H6" s="2415"/>
      <c r="I6" s="1563" t="s">
        <v>1120</v>
      </c>
      <c r="J6" s="1483"/>
      <c r="K6" s="2415"/>
      <c r="L6" s="1126"/>
      <c r="M6" s="2791"/>
      <c r="N6" s="1246"/>
      <c r="O6" s="2539"/>
      <c r="P6" s="2539"/>
    </row>
    <row s="40257" customFormat="1" customHeight="1" ht="14.25" hidden="1">
      <c r="A7" s="2694"/>
      <c r="B7" s="2694"/>
      <c r="C7" s="1281"/>
      <c r="D7" s="1256"/>
      <c r="N7" s="2551">
        <f>_xlfn.IFERROR(MATCH("метод экономически обоснованных расходов (затрат)",OFFER_METHOD,0),0)</f>
        <v>0</v>
      </c>
      <c r="O7" s="2539"/>
      <c r="P7" s="2539"/>
      <c r="T7" s="1743"/>
      <c r="AG7" s="1167"/>
    </row>
    <row s="40257" customFormat="1" customHeight="1" ht="56.25" hidden="1">
      <c r="A8" s="2695"/>
      <c r="B8" s="2695"/>
      <c r="C8" s="1281"/>
      <c r="D8" s="1256"/>
      <c r="E8" s="1944"/>
      <c r="F8" s="1944"/>
      <c r="G8" s="1944"/>
      <c r="H8" s="2686"/>
      <c r="I8" s="2654"/>
      <c r="J8" s="2688"/>
      <c r="K8" s="2781"/>
      <c r="L8" s="2686" t="s">
        <v>297</v>
      </c>
      <c r="M8" s="2791"/>
      <c r="N8" s="1246"/>
      <c r="O8" s="2539"/>
      <c r="P8" s="2539"/>
    </row>
    <row customHeight="1" ht="14.25" hidden="1">
      <c r="T9" s="1309"/>
      <c r="AG9" s="1167"/>
    </row>
    <row s="40257" customFormat="1" customHeight="1" ht="56.25" hidden="1">
      <c r="A10" s="2695"/>
      <c r="B10" s="2695"/>
      <c r="C10" s="1281"/>
      <c r="D10" s="1256"/>
      <c r="E10" s="1944"/>
      <c r="F10" s="1944"/>
      <c r="G10" s="1944"/>
      <c r="H10" s="2685"/>
      <c r="I10" s="2654"/>
      <c r="J10" s="2688"/>
      <c r="K10" s="2693"/>
      <c r="L10" s="2686" t="s">
        <v>297</v>
      </c>
      <c r="M10" s="2791"/>
      <c r="N10" s="1246"/>
      <c r="O10" s="2539"/>
      <c r="P10" s="2539"/>
    </row>
    <row customHeight="1" ht="14.25" hidden="1"/>
    <row customHeight="1" ht="14.25" hidden="1"/>
    <row customHeight="1" ht="6">
      <c r="D13" s="1288"/>
      <c r="E13" s="1275"/>
      <c r="F13" s="1275"/>
      <c r="G13" s="1275"/>
      <c r="H13" s="1275"/>
      <c r="I13" s="1275"/>
      <c r="J13" s="1275"/>
      <c r="K13" s="1275"/>
      <c r="L13" s="997"/>
      <c r="M13" s="997"/>
    </row>
    <row customHeight="1" ht="14.25">
      <c r="D14" s="1288"/>
      <c r="E14" s="328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82"/>
      <c r="G14" s="3282"/>
      <c r="H14" s="3282"/>
      <c r="I14" s="3282"/>
      <c r="J14" s="3282"/>
      <c r="K14" s="3282"/>
      <c r="L14" s="3282"/>
      <c r="M14" s="1132"/>
    </row>
    <row customHeight="1" ht="6">
      <c r="D15" s="1288"/>
      <c r="E15" s="1275"/>
      <c r="F15" s="1301"/>
      <c r="G15" s="1301"/>
      <c r="H15" s="1301"/>
      <c r="I15" s="1301"/>
      <c r="J15" s="1301"/>
      <c r="K15" s="1301"/>
      <c r="L15" s="1234"/>
      <c r="M15" s="1105"/>
    </row>
    <row customHeight="1" ht="18.75">
      <c r="D16" s="1288"/>
      <c r="E16" s="1275"/>
      <c r="F16" s="1217" t="str">
        <f>"Дата подачи заявления об "&amp;IF(TITLE_DATE_PR_CHANGE="","утверждении","изменении")&amp;" тарифов"</f>
        <v>Дата подачи заявления об утверждении тарифов</v>
      </c>
      <c r="G16" s="3088" t="str">
        <f>IF(TITLE_DATE_PR_CHANGE="",IF(TITLE_DATE_PR="","",TITLE_DATE_PR),TITLE_DATE_PR_CHANGE)</f>
        <v/>
      </c>
      <c r="H16" s="3088"/>
      <c r="I16" s="3088"/>
      <c r="J16" s="3088"/>
      <c r="K16" s="3088"/>
      <c r="L16" s="3088"/>
      <c r="M16" s="1310"/>
      <c r="N16" s="1238"/>
    </row>
    <row customHeight="1" ht="18.75">
      <c r="D17" s="1288"/>
      <c r="E17" s="1275"/>
      <c r="F17" s="1217" t="str">
        <f>"Номер подачи заявления об "&amp;IF(TITLE_DATE_PR_CHANGE="","утверждении","изменении")&amp;" тарифов"</f>
        <v>Номер подачи заявления об утверждении тарифов</v>
      </c>
      <c r="G17" s="3075" t="str">
        <f>IF(TITLE_NUMBER_PR_CHANGE="",IF(TITLE_NUMBER_PR="","",TITLE_NUMBER_PR),TITLE_NUMBER_PR_CHANGE)</f>
        <v/>
      </c>
      <c r="H17" s="3075"/>
      <c r="I17" s="3075"/>
      <c r="J17" s="3075"/>
      <c r="K17" s="3075"/>
      <c r="L17" s="3075"/>
      <c r="M17" s="1310"/>
      <c r="N17" s="1238"/>
    </row>
    <row customHeight="1" ht="14.25">
      <c r="D18" s="1288"/>
      <c r="E18" s="1275"/>
      <c r="F18" s="1301"/>
      <c r="G18" s="1301"/>
      <c r="H18" s="1301"/>
      <c r="I18" s="1301"/>
      <c r="J18" s="1301"/>
      <c r="K18" s="1301"/>
      <c r="L18" s="1664"/>
      <c r="M18" s="1105"/>
    </row>
    <row customHeight="1" ht="21">
      <c r="D19" s="1288"/>
      <c r="E19" s="3033" t="s">
        <v>291</v>
      </c>
      <c r="F19" s="3033"/>
      <c r="G19" s="3033"/>
      <c r="H19" s="3033"/>
      <c r="I19" s="3033"/>
      <c r="J19" s="3033"/>
      <c r="K19" s="3033"/>
      <c r="L19" s="3033"/>
      <c r="M19" s="3276" t="s">
        <v>292</v>
      </c>
    </row>
    <row customHeight="1" ht="21">
      <c r="D20" s="1288"/>
      <c r="E20" s="3101" t="s">
        <v>84</v>
      </c>
      <c r="F20" s="3048" t="s">
        <v>115</v>
      </c>
      <c r="G20" s="3048" t="s">
        <v>116</v>
      </c>
      <c r="H20" s="3246" t="s">
        <v>1122</v>
      </c>
      <c r="I20" s="3247"/>
      <c r="J20" s="3248"/>
      <c r="K20" s="3048" t="s">
        <v>294</v>
      </c>
      <c r="L20" s="3048" t="s">
        <v>381</v>
      </c>
      <c r="M20" s="3276"/>
    </row>
    <row customHeight="1" ht="21">
      <c r="D21" s="1288"/>
      <c r="E21" s="3103"/>
      <c r="F21" s="3049"/>
      <c r="G21" s="3049"/>
      <c r="H21" s="3042" t="s">
        <v>1123</v>
      </c>
      <c r="I21" s="3044"/>
      <c r="J21" s="1021" t="s">
        <v>1124</v>
      </c>
      <c r="K21" s="3049"/>
      <c r="L21" s="3049"/>
      <c r="M21" s="3276"/>
    </row>
    <row customHeight="1" ht="12">
      <c r="D22" s="1288"/>
      <c r="E22" s="1193"/>
      <c r="F22" s="1193"/>
      <c r="G22" s="1193"/>
      <c r="H22" s="3284"/>
      <c r="I22" s="3284"/>
      <c r="J22" s="1193"/>
      <c r="K22" s="1193"/>
      <c r="L22" s="1193"/>
      <c r="M22" s="1193"/>
    </row>
    <row customHeight="1" ht="18.75">
      <c r="A23" s="2695"/>
      <c r="B23" s="2695"/>
      <c r="D23" s="1288"/>
      <c r="E23" s="2782" t="s">
        <v>102</v>
      </c>
      <c r="F23" s="3285" t="str">
        <f>"Предлагаемый метод регулирования"&amp;IF(TEMPLATE_SPHERE="HEAT"," в сфере "&amp;TEMPLATE_SPHERE_RUS,"")</f>
        <v>Предлагаемый метод регулирования в сфере теплоснабжения</v>
      </c>
      <c r="G23" s="3286"/>
      <c r="H23" s="3278"/>
      <c r="I23" s="3278"/>
      <c r="J23" s="3278"/>
      <c r="K23" s="3286" t="s">
        <v>297</v>
      </c>
      <c r="L23" s="3278"/>
      <c r="M23" s="2684"/>
      <c r="N23" s="1246"/>
    </row>
    <row customHeight="1" ht="60.75" hidden="1">
      <c r="A24" s="2695" t="s">
        <v>148</v>
      </c>
      <c r="B24" s="2695" t="s">
        <v>149</v>
      </c>
      <c r="D24" s="3283"/>
      <c r="E24" s="3028"/>
      <c r="F24" s="32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40" t="str">
        <f>INDEX(PT_DIFFERENTIATION_NTAR,MATCH(B24,PT_DIFFERENTIATION_NTAR_ID,0))</f>
        <v/>
      </c>
      <c r="H24" s="2778"/>
      <c r="I24" s="2654"/>
      <c r="J24" s="2688"/>
      <c r="K24" s="2781"/>
      <c r="L24" s="2683" t="s">
        <v>297</v>
      </c>
      <c r="M24"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246"/>
    </row>
    <row s="40257" customFormat="1" customHeight="1" ht="18.75" hidden="1">
      <c r="A25" s="2695"/>
      <c r="B25" s="2695"/>
      <c r="C25" s="1281" t="s">
        <v>1119</v>
      </c>
      <c r="D25" s="3283"/>
      <c r="E25" s="3028"/>
      <c r="F25" s="3287"/>
      <c r="G25" s="3240"/>
      <c r="H25" s="2415"/>
      <c r="I25" s="1563" t="s">
        <v>1120</v>
      </c>
      <c r="J25" s="1483"/>
      <c r="K25" s="2415"/>
      <c r="L25" s="1126"/>
      <c r="M25" s="2994"/>
      <c r="N25" s="1246"/>
      <c r="O25" s="2539"/>
      <c r="P25" s="2539"/>
    </row>
    <row customHeight="1" ht="0.75" hidden="1">
      <c r="A26" s="2695"/>
      <c r="B26" s="2695"/>
      <c r="C26" s="1281" t="s">
        <v>1125</v>
      </c>
      <c r="D26" s="3283"/>
      <c r="E26" s="3028"/>
      <c r="F26" s="3200"/>
      <c r="G26" s="1312"/>
      <c r="H26" s="2415"/>
      <c r="I26" s="1307"/>
      <c r="J26" s="1261"/>
      <c r="K26" s="2415"/>
      <c r="L26" s="1113"/>
      <c r="M26" s="2994"/>
      <c r="N26" s="1246"/>
    </row>
    <row s="40257" customFormat="1" customHeight="1" ht="45" hidden="1">
      <c r="A27" s="2695" t="s">
        <v>154</v>
      </c>
      <c r="B27" s="2695" t="s">
        <v>155</v>
      </c>
      <c r="C27" s="1281"/>
      <c r="D27" s="3279"/>
      <c r="E27" s="3280"/>
      <c r="F27" s="328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240" t="str">
        <f>INDEX(PT_DIFFERENTIATION_NTAR,MATCH(B27,PT_DIFFERENTIATION_NTAR_ID,0))</f>
        <v/>
      </c>
      <c r="H27" s="2778"/>
      <c r="I27" s="2654"/>
      <c r="J27" s="2688"/>
      <c r="K27" s="2781"/>
      <c r="L27" s="2778" t="s">
        <v>297</v>
      </c>
      <c r="M27" s="2994"/>
      <c r="N27" s="1246"/>
      <c r="O27" s="2539"/>
      <c r="P27" s="2539"/>
    </row>
    <row s="40257" customFormat="1" customHeight="1" ht="18.75" hidden="1">
      <c r="A28" s="2695"/>
      <c r="B28" s="2695"/>
      <c r="C28" s="1281" t="s">
        <v>1119</v>
      </c>
      <c r="D28" s="3279"/>
      <c r="E28" s="3280"/>
      <c r="F28" s="3281"/>
      <c r="G28" s="3240"/>
      <c r="H28" s="2415"/>
      <c r="I28" s="1563" t="s">
        <v>1120</v>
      </c>
      <c r="J28" s="1483"/>
      <c r="K28" s="2415"/>
      <c r="L28" s="1126"/>
      <c r="M28" s="2994"/>
      <c r="N28" s="1246"/>
      <c r="O28" s="2539"/>
      <c r="P28" s="2539"/>
    </row>
    <row s="40257" customFormat="1" customHeight="1" ht="0.75" hidden="1">
      <c r="A29" s="2695"/>
      <c r="B29" s="2695"/>
      <c r="C29" s="1281" t="s">
        <v>1125</v>
      </c>
      <c r="D29" s="3279"/>
      <c r="E29" s="3028"/>
      <c r="F29" s="3200"/>
      <c r="G29" s="1312"/>
      <c r="H29" s="2415"/>
      <c r="I29" s="1563"/>
      <c r="J29" s="1483"/>
      <c r="K29" s="2415"/>
      <c r="L29" s="1126"/>
      <c r="M29" s="2994"/>
      <c r="N29" s="1246"/>
      <c r="O29" s="2539"/>
      <c r="P29" s="2539"/>
    </row>
    <row s="40257" customFormat="1" customHeight="1" ht="45" hidden="1">
      <c r="A30" s="2695" t="s">
        <v>160</v>
      </c>
      <c r="B30" s="2695" t="s">
        <v>161</v>
      </c>
      <c r="C30" s="1281"/>
      <c r="D30" s="3279"/>
      <c r="E30" s="3028"/>
      <c r="F30" s="32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40" t="str">
        <f>INDEX(PT_DIFFERENTIATION_NTAR,MATCH(B30,PT_DIFFERENTIATION_NTAR_ID,0))</f>
        <v/>
      </c>
      <c r="H30" s="2778"/>
      <c r="I30" s="2654"/>
      <c r="J30" s="2688"/>
      <c r="K30" s="2781"/>
      <c r="L30" s="2778" t="s">
        <v>297</v>
      </c>
      <c r="M30" s="2994"/>
      <c r="N30" s="1246"/>
      <c r="O30" s="2539"/>
      <c r="P30" s="2539"/>
    </row>
    <row s="40257" customFormat="1" customHeight="1" ht="18.75" hidden="1">
      <c r="A31" s="2695"/>
      <c r="B31" s="2695"/>
      <c r="C31" s="1281" t="s">
        <v>1119</v>
      </c>
      <c r="D31" s="3279"/>
      <c r="E31" s="3028"/>
      <c r="F31" s="3200"/>
      <c r="G31" s="3240"/>
      <c r="H31" s="2415"/>
      <c r="I31" s="1563" t="s">
        <v>1120</v>
      </c>
      <c r="J31" s="1483"/>
      <c r="K31" s="2415"/>
      <c r="L31" s="1126"/>
      <c r="M31" s="2994"/>
      <c r="N31" s="1246"/>
      <c r="O31" s="2539"/>
      <c r="P31" s="2539"/>
    </row>
    <row s="40257" customFormat="1" customHeight="1" ht="0.75" hidden="1">
      <c r="A32" s="2695"/>
      <c r="B32" s="2695"/>
      <c r="C32" s="1281" t="s">
        <v>1125</v>
      </c>
      <c r="D32" s="3279"/>
      <c r="E32" s="3028"/>
      <c r="F32" s="3200"/>
      <c r="G32" s="1312"/>
      <c r="H32" s="2415"/>
      <c r="I32" s="1563"/>
      <c r="J32" s="1483"/>
      <c r="K32" s="2415"/>
      <c r="L32" s="1126"/>
      <c r="M32" s="2994"/>
      <c r="N32" s="1246"/>
      <c r="O32" s="2539"/>
      <c r="P32" s="2539"/>
    </row>
    <row s="40257" customFormat="1" customHeight="1" ht="45" hidden="1">
      <c r="A33" s="2695" t="s">
        <v>166</v>
      </c>
      <c r="B33" s="2695" t="s">
        <v>167</v>
      </c>
      <c r="C33" s="1281"/>
      <c r="D33" s="3279"/>
      <c r="E33" s="3028"/>
      <c r="F33" s="32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40" t="str">
        <f>INDEX(PT_DIFFERENTIATION_NTAR,MATCH(B33,PT_DIFFERENTIATION_NTAR_ID,0))</f>
        <v/>
      </c>
      <c r="H33" s="2778"/>
      <c r="I33" s="2654"/>
      <c r="J33" s="2688"/>
      <c r="K33" s="2781"/>
      <c r="L33" s="2778" t="s">
        <v>297</v>
      </c>
      <c r="M33" s="2994"/>
      <c r="N33" s="1246"/>
      <c r="O33" s="2539"/>
      <c r="P33" s="2539"/>
    </row>
    <row s="40257" customFormat="1" customHeight="1" ht="18.75" hidden="1">
      <c r="A34" s="2695"/>
      <c r="B34" s="2695"/>
      <c r="C34" s="1281" t="s">
        <v>1119</v>
      </c>
      <c r="D34" s="3279"/>
      <c r="E34" s="3028"/>
      <c r="F34" s="3200"/>
      <c r="G34" s="3240"/>
      <c r="H34" s="2415"/>
      <c r="I34" s="1563" t="s">
        <v>1120</v>
      </c>
      <c r="J34" s="1483"/>
      <c r="K34" s="2415"/>
      <c r="L34" s="1126"/>
      <c r="M34" s="2994"/>
      <c r="N34" s="1246"/>
      <c r="O34" s="2539"/>
      <c r="P34" s="2539"/>
    </row>
    <row s="40257" customFormat="1" customHeight="1" ht="0.75" hidden="1">
      <c r="A35" s="2695"/>
      <c r="B35" s="2695"/>
      <c r="C35" s="1281" t="s">
        <v>1125</v>
      </c>
      <c r="D35" s="3279"/>
      <c r="E35" s="3028"/>
      <c r="F35" s="3200"/>
      <c r="G35" s="1312"/>
      <c r="H35" s="2415"/>
      <c r="I35" s="1563"/>
      <c r="J35" s="1483"/>
      <c r="K35" s="2415"/>
      <c r="L35" s="1126"/>
      <c r="M35" s="2994"/>
      <c r="N35" s="1246"/>
      <c r="O35" s="2539"/>
      <c r="P35" s="2539"/>
    </row>
    <row s="40257" customFormat="1" customHeight="1" ht="18.75" hidden="1">
      <c r="A36" s="2695" t="s">
        <v>172</v>
      </c>
      <c r="B36" s="2695" t="s">
        <v>173</v>
      </c>
      <c r="C36" s="1281"/>
      <c r="D36" s="3279"/>
      <c r="E36" s="3028"/>
      <c r="F36" s="3200" t="str">
        <f>INDEX(PT_DIFFERENTIATION_VTAR,MATCH(A36,PT_DIFFERENTIATION_VTAR_ID,0))</f>
        <v>Тарифы на услуги по передаче тепловой энергии</v>
      </c>
      <c r="G36" s="3240" t="str">
        <f>INDEX(PT_DIFFERENTIATION_NTAR,MATCH(B36,PT_DIFFERENTIATION_NTAR_ID,0))</f>
        <v/>
      </c>
      <c r="H36" s="2778"/>
      <c r="I36" s="2654"/>
      <c r="J36" s="2688"/>
      <c r="K36" s="2781"/>
      <c r="L36" s="2778" t="s">
        <v>297</v>
      </c>
      <c r="M36" s="2994"/>
      <c r="N36" s="1246"/>
      <c r="O36" s="2539"/>
      <c r="P36" s="2539"/>
    </row>
    <row s="40257" customFormat="1" customHeight="1" ht="18.75" hidden="1">
      <c r="A37" s="2695"/>
      <c r="B37" s="2695"/>
      <c r="C37" s="1281" t="s">
        <v>1119</v>
      </c>
      <c r="D37" s="3279"/>
      <c r="E37" s="3028"/>
      <c r="F37" s="3200"/>
      <c r="G37" s="3240"/>
      <c r="H37" s="2415"/>
      <c r="I37" s="1563" t="s">
        <v>1120</v>
      </c>
      <c r="J37" s="1483"/>
      <c r="K37" s="2415"/>
      <c r="L37" s="1126"/>
      <c r="M37" s="2994"/>
      <c r="N37" s="1246"/>
      <c r="O37" s="2539"/>
      <c r="P37" s="2539"/>
    </row>
    <row s="40257" customFormat="1" customHeight="1" ht="0.75" hidden="1">
      <c r="A38" s="2695"/>
      <c r="B38" s="2695"/>
      <c r="C38" s="1281" t="s">
        <v>1125</v>
      </c>
      <c r="D38" s="3279"/>
      <c r="E38" s="3028"/>
      <c r="F38" s="3200"/>
      <c r="G38" s="1312"/>
      <c r="H38" s="2415"/>
      <c r="I38" s="1563"/>
      <c r="J38" s="1483"/>
      <c r="K38" s="2415"/>
      <c r="L38" s="1126"/>
      <c r="M38" s="2994"/>
      <c r="N38" s="1246"/>
      <c r="O38" s="2539"/>
      <c r="P38" s="2539"/>
    </row>
    <row s="40257" customFormat="1" customHeight="1" ht="18.75" hidden="1">
      <c r="A39" s="2695" t="s">
        <v>178</v>
      </c>
      <c r="B39" s="2695" t="s">
        <v>179</v>
      </c>
      <c r="C39" s="1281"/>
      <c r="D39" s="3279"/>
      <c r="E39" s="3028"/>
      <c r="F39" s="3200" t="str">
        <f>INDEX(PT_DIFFERENTIATION_VTAR,MATCH(A39,PT_DIFFERENTIATION_VTAR_ID,0))</f>
        <v>Тарифы на услуги по передаче теплоносителя</v>
      </c>
      <c r="G39" s="3240" t="str">
        <f>INDEX(PT_DIFFERENTIATION_NTAR,MATCH(B39,PT_DIFFERENTIATION_NTAR_ID,0))</f>
        <v/>
      </c>
      <c r="H39" s="2778"/>
      <c r="I39" s="2654"/>
      <c r="J39" s="2688"/>
      <c r="K39" s="2781"/>
      <c r="L39" s="2778" t="s">
        <v>297</v>
      </c>
      <c r="M39" s="2994"/>
      <c r="N39" s="1246"/>
      <c r="O39" s="2539"/>
      <c r="P39" s="2539"/>
    </row>
    <row s="40257" customFormat="1" customHeight="1" ht="18.75" hidden="1">
      <c r="A40" s="2695"/>
      <c r="B40" s="2695"/>
      <c r="C40" s="1281" t="s">
        <v>1119</v>
      </c>
      <c r="D40" s="3279"/>
      <c r="E40" s="3028"/>
      <c r="F40" s="3200"/>
      <c r="G40" s="3240"/>
      <c r="H40" s="2415"/>
      <c r="I40" s="1563" t="s">
        <v>1120</v>
      </c>
      <c r="J40" s="1483"/>
      <c r="K40" s="2415"/>
      <c r="L40" s="1126"/>
      <c r="M40" s="2994"/>
      <c r="N40" s="1246"/>
      <c r="O40" s="2539"/>
      <c r="P40" s="2539"/>
    </row>
    <row s="40257" customFormat="1" customHeight="1" ht="0.75" hidden="1">
      <c r="A41" s="2695"/>
      <c r="B41" s="2695"/>
      <c r="C41" s="1281" t="s">
        <v>1125</v>
      </c>
      <c r="D41" s="3279"/>
      <c r="E41" s="3028"/>
      <c r="F41" s="3200"/>
      <c r="G41" s="1312"/>
      <c r="H41" s="2415"/>
      <c r="I41" s="1563"/>
      <c r="J41" s="1483"/>
      <c r="K41" s="2415"/>
      <c r="L41" s="1126"/>
      <c r="M41" s="2994"/>
      <c r="N41" s="1246"/>
      <c r="O41" s="2539"/>
      <c r="P41" s="2539"/>
    </row>
    <row s="40257" customFormat="1" customHeight="1" ht="18.75" hidden="1">
      <c r="A42" s="2695" t="s">
        <v>184</v>
      </c>
      <c r="B42" s="2695" t="s">
        <v>185</v>
      </c>
      <c r="C42" s="1281"/>
      <c r="D42" s="3279"/>
      <c r="E42" s="3028"/>
      <c r="F42" s="3200" t="str">
        <f>INDEX(PT_DIFFERENTIATION_VTAR,MATCH(A42,PT_DIFFERENTIATION_VTAR_ID,0))</f>
        <v>Плата за услуги по поддержанию резервной тепловой мощности при отсутствии потребления тепловой энергии</v>
      </c>
      <c r="G42" s="3240" t="str">
        <f>INDEX(PT_DIFFERENTIATION_NTAR,MATCH(B42,PT_DIFFERENTIATION_NTAR_ID,0))</f>
        <v/>
      </c>
      <c r="H42" s="2778"/>
      <c r="I42" s="2654"/>
      <c r="J42" s="2688"/>
      <c r="K42" s="2781"/>
      <c r="L42" s="2778" t="s">
        <v>297</v>
      </c>
      <c r="M42" s="2994"/>
      <c r="N42" s="1246"/>
      <c r="O42" s="2539"/>
      <c r="P42" s="2539"/>
    </row>
    <row s="40257" customFormat="1" customHeight="1" ht="18.75" hidden="1">
      <c r="A43" s="2695"/>
      <c r="B43" s="2695"/>
      <c r="C43" s="1281" t="s">
        <v>1119</v>
      </c>
      <c r="D43" s="3279"/>
      <c r="E43" s="3028"/>
      <c r="F43" s="3200"/>
      <c r="G43" s="3240"/>
      <c r="H43" s="2415"/>
      <c r="I43" s="1563" t="s">
        <v>1120</v>
      </c>
      <c r="J43" s="1483"/>
      <c r="K43" s="2415"/>
      <c r="L43" s="1126"/>
      <c r="M43" s="2994"/>
      <c r="N43" s="1246"/>
      <c r="O43" s="2539"/>
      <c r="P43" s="2539"/>
    </row>
    <row s="40257" customFormat="1" customHeight="1" ht="0.75" hidden="1">
      <c r="A44" s="2695"/>
      <c r="B44" s="2695"/>
      <c r="C44" s="1281" t="s">
        <v>1125</v>
      </c>
      <c r="D44" s="3279"/>
      <c r="E44" s="3028"/>
      <c r="F44" s="3200"/>
      <c r="G44" s="1312"/>
      <c r="H44" s="2415"/>
      <c r="I44" s="1563"/>
      <c r="J44" s="1483"/>
      <c r="K44" s="2415"/>
      <c r="L44" s="1126"/>
      <c r="M44" s="2994"/>
      <c r="N44" s="1246"/>
      <c r="O44" s="2539"/>
      <c r="P44" s="2539"/>
    </row>
    <row s="40257" customFormat="1" customHeight="1" ht="18.75" hidden="1">
      <c r="A45" s="2695" t="s">
        <v>190</v>
      </c>
      <c r="B45" s="2695" t="s">
        <v>191</v>
      </c>
      <c r="C45" s="1281"/>
      <c r="D45" s="3279"/>
      <c r="E45" s="3028"/>
      <c r="F45" s="3200" t="str">
        <f>INDEX(PT_DIFFERENTIATION_VTAR,MATCH(A45,PT_DIFFERENTIATION_VTAR_ID,0))</f>
        <v>Плата за подключение (технологическое присоединение) к системе теплоснабжения</v>
      </c>
      <c r="G45" s="3240" t="str">
        <f>INDEX(PT_DIFFERENTIATION_NTAR,MATCH(B45,PT_DIFFERENTIATION_NTAR_ID,0))</f>
        <v/>
      </c>
      <c r="H45" s="2778"/>
      <c r="I45" s="2654"/>
      <c r="J45" s="2688"/>
      <c r="K45" s="2781"/>
      <c r="L45" s="2778" t="s">
        <v>297</v>
      </c>
      <c r="M45" s="2994"/>
      <c r="N45" s="1246"/>
      <c r="O45" s="2539"/>
      <c r="P45" s="2539"/>
    </row>
    <row s="40257" customFormat="1" customHeight="1" ht="18.75" hidden="1">
      <c r="A46" s="2695"/>
      <c r="B46" s="2695"/>
      <c r="C46" s="1281" t="s">
        <v>1119</v>
      </c>
      <c r="D46" s="3279"/>
      <c r="E46" s="3028"/>
      <c r="F46" s="3200"/>
      <c r="G46" s="3240"/>
      <c r="H46" s="2415"/>
      <c r="I46" s="1563" t="s">
        <v>1120</v>
      </c>
      <c r="J46" s="1483"/>
      <c r="K46" s="2415"/>
      <c r="L46" s="1126"/>
      <c r="M46" s="2994"/>
      <c r="N46" s="1246"/>
      <c r="O46" s="2539"/>
      <c r="P46" s="2539"/>
    </row>
    <row s="40257" customFormat="1" customHeight="1" ht="0.75" hidden="1">
      <c r="A47" s="2695"/>
      <c r="B47" s="2695"/>
      <c r="C47" s="1281" t="s">
        <v>1125</v>
      </c>
      <c r="D47" s="3279"/>
      <c r="E47" s="3028"/>
      <c r="F47" s="3200"/>
      <c r="G47" s="1312"/>
      <c r="H47" s="2415"/>
      <c r="I47" s="1563"/>
      <c r="J47" s="1483"/>
      <c r="K47" s="2415"/>
      <c r="L47" s="1126"/>
      <c r="M47" s="2994"/>
      <c r="N47" s="1246"/>
      <c r="O47" s="2539"/>
      <c r="P47" s="2539"/>
    </row>
    <row s="40257" customFormat="1" customHeight="1" ht="18.75" hidden="1">
      <c r="A48" s="2695" t="s">
        <v>216</v>
      </c>
      <c r="B48" s="2695" t="s">
        <v>217</v>
      </c>
      <c r="C48" s="1281"/>
      <c r="D48" s="3279"/>
      <c r="E48" s="3028"/>
      <c r="F48" s="3200" t="str">
        <f>INDEX(PT_DIFFERENTIATION_VTAR,MATCH(A48,PT_DIFFERENTIATION_VTAR_ID,0))</f>
        <v>Тариф на питьевую воду (питьевое водоснабжение)</v>
      </c>
      <c r="G48" s="3240" t="str">
        <f>INDEX(PT_DIFFERENTIATION_NTAR,MATCH(B48,PT_DIFFERENTIATION_NTAR_ID,0))</f>
        <v/>
      </c>
      <c r="H48" s="2778"/>
      <c r="I48" s="2654"/>
      <c r="J48" s="2688"/>
      <c r="K48" s="2781"/>
      <c r="L48" s="2778" t="s">
        <v>297</v>
      </c>
      <c r="M48" s="2994"/>
      <c r="N48" s="1246"/>
      <c r="O48" s="2539"/>
      <c r="P48" s="2539"/>
    </row>
    <row s="40257" customFormat="1" customHeight="1" ht="18.75" hidden="1">
      <c r="A49" s="2695"/>
      <c r="B49" s="2695"/>
      <c r="C49" s="1281" t="s">
        <v>1119</v>
      </c>
      <c r="D49" s="3279"/>
      <c r="E49" s="3028"/>
      <c r="F49" s="3200"/>
      <c r="G49" s="3240"/>
      <c r="H49" s="2415"/>
      <c r="I49" s="1563" t="s">
        <v>1120</v>
      </c>
      <c r="J49" s="1483"/>
      <c r="K49" s="2415"/>
      <c r="L49" s="1126"/>
      <c r="M49" s="2994"/>
      <c r="N49" s="1246"/>
      <c r="O49" s="2539"/>
      <c r="P49" s="2539"/>
    </row>
    <row s="40257" customFormat="1" customHeight="1" ht="0.75" hidden="1">
      <c r="A50" s="2695"/>
      <c r="B50" s="2695"/>
      <c r="C50" s="1281" t="s">
        <v>1125</v>
      </c>
      <c r="D50" s="3279"/>
      <c r="E50" s="3028"/>
      <c r="F50" s="3200"/>
      <c r="G50" s="1312"/>
      <c r="H50" s="2415"/>
      <c r="I50" s="1563"/>
      <c r="J50" s="1483"/>
      <c r="K50" s="2415"/>
      <c r="L50" s="1126"/>
      <c r="M50" s="2994"/>
      <c r="N50" s="1246"/>
      <c r="O50" s="2539"/>
      <c r="P50" s="2539"/>
    </row>
    <row s="40257" customFormat="1" customHeight="1" ht="18.75" hidden="1">
      <c r="A51" s="2695" t="s">
        <v>221</v>
      </c>
      <c r="B51" s="2695" t="s">
        <v>222</v>
      </c>
      <c r="C51" s="1281"/>
      <c r="D51" s="3279"/>
      <c r="E51" s="3028"/>
      <c r="F51" s="3200" t="str">
        <f>INDEX(PT_DIFFERENTIATION_VTAR,MATCH(A51,PT_DIFFERENTIATION_VTAR_ID,0))</f>
        <v>Тариф на техническую воду</v>
      </c>
      <c r="G51" s="3240" t="str">
        <f>INDEX(PT_DIFFERENTIATION_NTAR,MATCH(B51,PT_DIFFERENTIATION_NTAR_ID,0))</f>
        <v/>
      </c>
      <c r="H51" s="2778"/>
      <c r="I51" s="2654"/>
      <c r="J51" s="2688"/>
      <c r="K51" s="2781"/>
      <c r="L51" s="2778" t="s">
        <v>297</v>
      </c>
      <c r="M51" s="2994"/>
      <c r="N51" s="1246"/>
      <c r="O51" s="2539"/>
      <c r="P51" s="2539"/>
    </row>
    <row s="40257" customFormat="1" customHeight="1" ht="18.75" hidden="1">
      <c r="A52" s="2695"/>
      <c r="B52" s="2695"/>
      <c r="C52" s="1281" t="s">
        <v>1119</v>
      </c>
      <c r="D52" s="3279"/>
      <c r="E52" s="3028"/>
      <c r="F52" s="3200"/>
      <c r="G52" s="3240"/>
      <c r="H52" s="2415"/>
      <c r="I52" s="1563" t="s">
        <v>1120</v>
      </c>
      <c r="J52" s="1483"/>
      <c r="K52" s="2415"/>
      <c r="L52" s="1126"/>
      <c r="M52" s="2994"/>
      <c r="N52" s="1246"/>
      <c r="O52" s="2539"/>
      <c r="P52" s="2539"/>
    </row>
    <row s="40257" customFormat="1" customHeight="1" ht="0.75" hidden="1">
      <c r="A53" s="2695"/>
      <c r="B53" s="2695"/>
      <c r="C53" s="1281" t="s">
        <v>1125</v>
      </c>
      <c r="D53" s="3279"/>
      <c r="E53" s="3028"/>
      <c r="F53" s="3200"/>
      <c r="G53" s="1312"/>
      <c r="H53" s="2415"/>
      <c r="I53" s="1563"/>
      <c r="J53" s="1483"/>
      <c r="K53" s="2415"/>
      <c r="L53" s="1126"/>
      <c r="M53" s="2994"/>
      <c r="N53" s="1246"/>
      <c r="O53" s="2539"/>
      <c r="P53" s="2539"/>
    </row>
    <row s="40257" customFormat="1" customHeight="1" ht="18.75" hidden="1">
      <c r="A54" s="2695" t="s">
        <v>226</v>
      </c>
      <c r="B54" s="2695" t="s">
        <v>227</v>
      </c>
      <c r="C54" s="1281"/>
      <c r="D54" s="3279"/>
      <c r="E54" s="3028"/>
      <c r="F54" s="3200" t="str">
        <f>INDEX(PT_DIFFERENTIATION_VTAR,MATCH(A54,PT_DIFFERENTIATION_VTAR_ID,0))</f>
        <v>Тариф на транспортировку воды</v>
      </c>
      <c r="G54" s="3240" t="str">
        <f>INDEX(PT_DIFFERENTIATION_NTAR,MATCH(B54,PT_DIFFERENTIATION_NTAR_ID,0))</f>
        <v/>
      </c>
      <c r="H54" s="2778"/>
      <c r="I54" s="2654"/>
      <c r="J54" s="2688"/>
      <c r="K54" s="2781"/>
      <c r="L54" s="2778" t="s">
        <v>297</v>
      </c>
      <c r="M54" s="2994"/>
      <c r="N54" s="1246"/>
      <c r="O54" s="2539"/>
      <c r="P54" s="2539"/>
    </row>
    <row s="40257" customFormat="1" customHeight="1" ht="18.75" hidden="1">
      <c r="A55" s="2695"/>
      <c r="B55" s="2695"/>
      <c r="C55" s="1281" t="s">
        <v>1119</v>
      </c>
      <c r="D55" s="3279"/>
      <c r="E55" s="3028"/>
      <c r="F55" s="3200"/>
      <c r="G55" s="3240"/>
      <c r="H55" s="2415"/>
      <c r="I55" s="1563" t="s">
        <v>1120</v>
      </c>
      <c r="J55" s="1483"/>
      <c r="K55" s="2415"/>
      <c r="L55" s="1126"/>
      <c r="M55" s="2994"/>
      <c r="N55" s="1246"/>
      <c r="O55" s="2539"/>
      <c r="P55" s="2539"/>
    </row>
    <row s="40257" customFormat="1" customHeight="1" ht="0.75" hidden="1">
      <c r="A56" s="2695"/>
      <c r="B56" s="2695"/>
      <c r="C56" s="1281" t="s">
        <v>1125</v>
      </c>
      <c r="D56" s="3279"/>
      <c r="E56" s="3028"/>
      <c r="F56" s="3200"/>
      <c r="G56" s="1312"/>
      <c r="H56" s="2415"/>
      <c r="I56" s="1563"/>
      <c r="J56" s="1483"/>
      <c r="K56" s="2415"/>
      <c r="L56" s="1126"/>
      <c r="M56" s="2994"/>
      <c r="N56" s="1246"/>
      <c r="O56" s="2539"/>
      <c r="P56" s="2539"/>
    </row>
    <row s="40257" customFormat="1" customHeight="1" ht="18.75" hidden="1">
      <c r="A57" s="2695" t="s">
        <v>231</v>
      </c>
      <c r="B57" s="2695" t="s">
        <v>232</v>
      </c>
      <c r="C57" s="1281"/>
      <c r="D57" s="3279"/>
      <c r="E57" s="3028"/>
      <c r="F57" s="3200" t="str">
        <f>INDEX(PT_DIFFERENTIATION_VTAR,MATCH(A57,PT_DIFFERENTIATION_VTAR_ID,0))</f>
        <v>Тариф на подвоз воды</v>
      </c>
      <c r="G57" s="3240" t="str">
        <f>INDEX(PT_DIFFERENTIATION_NTAR,MATCH(B57,PT_DIFFERENTIATION_NTAR_ID,0))</f>
        <v/>
      </c>
      <c r="H57" s="2778"/>
      <c r="I57" s="2654"/>
      <c r="J57" s="2688"/>
      <c r="K57" s="2781"/>
      <c r="L57" s="2778" t="s">
        <v>297</v>
      </c>
      <c r="M57" s="2994"/>
      <c r="N57" s="1246"/>
      <c r="O57" s="2539"/>
      <c r="P57" s="2539"/>
    </row>
    <row s="40257" customFormat="1" customHeight="1" ht="18.75" hidden="1">
      <c r="A58" s="2695"/>
      <c r="B58" s="2695"/>
      <c r="C58" s="1281" t="s">
        <v>1119</v>
      </c>
      <c r="D58" s="3279"/>
      <c r="E58" s="3028"/>
      <c r="F58" s="3200"/>
      <c r="G58" s="3240"/>
      <c r="H58" s="2415"/>
      <c r="I58" s="1563" t="s">
        <v>1120</v>
      </c>
      <c r="J58" s="1483"/>
      <c r="K58" s="2415"/>
      <c r="L58" s="1126"/>
      <c r="M58" s="2994"/>
      <c r="N58" s="1246"/>
      <c r="O58" s="2539"/>
      <c r="P58" s="2539"/>
    </row>
    <row s="40257" customFormat="1" customHeight="1" ht="0.75" hidden="1">
      <c r="A59" s="2695"/>
      <c r="B59" s="2695"/>
      <c r="C59" s="1281" t="s">
        <v>1125</v>
      </c>
      <c r="D59" s="3279"/>
      <c r="E59" s="3028"/>
      <c r="F59" s="3200"/>
      <c r="G59" s="1312"/>
      <c r="H59" s="2415"/>
      <c r="I59" s="1563"/>
      <c r="J59" s="1483"/>
      <c r="K59" s="2415"/>
      <c r="L59" s="1126"/>
      <c r="M59" s="2994"/>
      <c r="N59" s="1246"/>
      <c r="O59" s="2539"/>
      <c r="P59" s="2539"/>
    </row>
    <row s="40257" customFormat="1" customHeight="1" ht="18.75" hidden="1">
      <c r="A60" s="2695" t="s">
        <v>236</v>
      </c>
      <c r="B60" s="2695" t="s">
        <v>237</v>
      </c>
      <c r="C60" s="1281"/>
      <c r="D60" s="3279"/>
      <c r="E60" s="3028"/>
      <c r="F60" s="3200" t="str">
        <f>INDEX(PT_DIFFERENTIATION_VTAR,MATCH(A60,PT_DIFFERENTIATION_VTAR_ID,0))</f>
        <v>Тариф на подключение (технологическое присоединение) к централизованной системе холодного водоснабжения</v>
      </c>
      <c r="G60" s="3240" t="str">
        <f>INDEX(PT_DIFFERENTIATION_NTAR,MATCH(B60,PT_DIFFERENTIATION_NTAR_ID,0))</f>
        <v/>
      </c>
      <c r="H60" s="2778"/>
      <c r="I60" s="2654"/>
      <c r="J60" s="2688"/>
      <c r="K60" s="2781"/>
      <c r="L60" s="2778" t="s">
        <v>297</v>
      </c>
      <c r="M60" s="2994"/>
      <c r="N60" s="1246"/>
      <c r="O60" s="2539"/>
      <c r="P60" s="2539"/>
    </row>
    <row s="40257" customFormat="1" customHeight="1" ht="18.75" hidden="1">
      <c r="A61" s="2695"/>
      <c r="B61" s="2695"/>
      <c r="C61" s="1281" t="s">
        <v>1119</v>
      </c>
      <c r="D61" s="3279"/>
      <c r="E61" s="3028"/>
      <c r="F61" s="3200"/>
      <c r="G61" s="3240"/>
      <c r="H61" s="2415"/>
      <c r="I61" s="1563" t="s">
        <v>1120</v>
      </c>
      <c r="J61" s="1483"/>
      <c r="K61" s="2415"/>
      <c r="L61" s="1126"/>
      <c r="M61" s="2994"/>
      <c r="N61" s="1246"/>
      <c r="O61" s="2539"/>
      <c r="P61" s="2539"/>
    </row>
    <row s="40257" customFormat="1" customHeight="1" ht="0.75" hidden="1">
      <c r="A62" s="2695"/>
      <c r="B62" s="2695"/>
      <c r="C62" s="1281" t="s">
        <v>1125</v>
      </c>
      <c r="D62" s="3279"/>
      <c r="E62" s="3028"/>
      <c r="F62" s="3200"/>
      <c r="G62" s="1312"/>
      <c r="H62" s="2415"/>
      <c r="I62" s="1563"/>
      <c r="J62" s="1483"/>
      <c r="K62" s="2415"/>
      <c r="L62" s="1126"/>
      <c r="M62" s="2994"/>
      <c r="N62" s="1246"/>
      <c r="O62" s="2539"/>
      <c r="P62" s="2539"/>
    </row>
    <row s="40257" customFormat="1" customHeight="1" ht="18.75" hidden="1">
      <c r="A63" s="2695" t="s">
        <v>241</v>
      </c>
      <c r="B63" s="2695" t="s">
        <v>242</v>
      </c>
      <c r="C63" s="1281"/>
      <c r="D63" s="3279"/>
      <c r="E63" s="3028"/>
      <c r="F63" s="3200" t="str">
        <f>INDEX(PT_DIFFERENTIATION_VTAR,MATCH(A63,PT_DIFFERENTIATION_VTAR_ID,0))</f>
        <v>Тариф на горячую воду (горячее водоснабжение)</v>
      </c>
      <c r="G63" s="3240" t="str">
        <f>INDEX(PT_DIFFERENTIATION_NTAR,MATCH(B63,PT_DIFFERENTIATION_NTAR_ID,0))</f>
        <v/>
      </c>
      <c r="H63" s="2778"/>
      <c r="I63" s="2654"/>
      <c r="J63" s="2688"/>
      <c r="K63" s="2781"/>
      <c r="L63" s="2778" t="s">
        <v>297</v>
      </c>
      <c r="M63" s="2994"/>
      <c r="N63" s="1246"/>
      <c r="O63" s="2539"/>
      <c r="P63" s="2539"/>
    </row>
    <row s="40257" customFormat="1" customHeight="1" ht="18.75" hidden="1">
      <c r="A64" s="2695"/>
      <c r="B64" s="2695"/>
      <c r="C64" s="1281" t="s">
        <v>1119</v>
      </c>
      <c r="D64" s="3279"/>
      <c r="E64" s="3028"/>
      <c r="F64" s="3200"/>
      <c r="G64" s="3240"/>
      <c r="H64" s="2415"/>
      <c r="I64" s="1563" t="s">
        <v>1120</v>
      </c>
      <c r="J64" s="1483"/>
      <c r="K64" s="2415"/>
      <c r="L64" s="1126"/>
      <c r="M64" s="2994"/>
      <c r="N64" s="1246"/>
      <c r="O64" s="2539"/>
      <c r="P64" s="2539"/>
    </row>
    <row s="40257" customFormat="1" customHeight="1" ht="0.75" hidden="1">
      <c r="A65" s="2695"/>
      <c r="B65" s="2695"/>
      <c r="C65" s="1281" t="s">
        <v>1125</v>
      </c>
      <c r="D65" s="3279"/>
      <c r="E65" s="3028"/>
      <c r="F65" s="3200"/>
      <c r="G65" s="1312"/>
      <c r="H65" s="2415"/>
      <c r="I65" s="1563"/>
      <c r="J65" s="1483"/>
      <c r="K65" s="2415"/>
      <c r="L65" s="1126"/>
      <c r="M65" s="2994"/>
      <c r="N65" s="1246"/>
      <c r="O65" s="2539"/>
      <c r="P65" s="2539"/>
    </row>
    <row s="40257" customFormat="1" customHeight="1" ht="18.75" hidden="1">
      <c r="A66" s="2695" t="s">
        <v>246</v>
      </c>
      <c r="B66" s="2695" t="s">
        <v>247</v>
      </c>
      <c r="C66" s="1281"/>
      <c r="D66" s="3279"/>
      <c r="E66" s="3028"/>
      <c r="F66" s="3200" t="str">
        <f>INDEX(PT_DIFFERENTIATION_VTAR,MATCH(A66,PT_DIFFERENTIATION_VTAR_ID,0))</f>
        <v>Тариф на транспортировку горячей воды</v>
      </c>
      <c r="G66" s="3240" t="str">
        <f>INDEX(PT_DIFFERENTIATION_NTAR,MATCH(B66,PT_DIFFERENTIATION_NTAR_ID,0))</f>
        <v/>
      </c>
      <c r="H66" s="2778"/>
      <c r="I66" s="2654"/>
      <c r="J66" s="2688"/>
      <c r="K66" s="2781"/>
      <c r="L66" s="2778" t="s">
        <v>297</v>
      </c>
      <c r="M66" s="2994"/>
      <c r="N66" s="1246"/>
      <c r="O66" s="2539"/>
      <c r="P66" s="2539"/>
    </row>
    <row s="40257" customFormat="1" customHeight="1" ht="18.75" hidden="1">
      <c r="A67" s="2695"/>
      <c r="B67" s="2695"/>
      <c r="C67" s="1281" t="s">
        <v>1119</v>
      </c>
      <c r="D67" s="3279"/>
      <c r="E67" s="3028"/>
      <c r="F67" s="3200"/>
      <c r="G67" s="3240"/>
      <c r="H67" s="2415"/>
      <c r="I67" s="1563" t="s">
        <v>1120</v>
      </c>
      <c r="J67" s="1483"/>
      <c r="K67" s="2415"/>
      <c r="L67" s="1126"/>
      <c r="M67" s="2994"/>
      <c r="N67" s="1246"/>
      <c r="O67" s="2539"/>
      <c r="P67" s="2539"/>
    </row>
    <row s="40257" customFormat="1" customHeight="1" ht="0.75" hidden="1">
      <c r="A68" s="2695"/>
      <c r="B68" s="2695"/>
      <c r="C68" s="1281" t="s">
        <v>1125</v>
      </c>
      <c r="D68" s="3279"/>
      <c r="E68" s="3028"/>
      <c r="F68" s="3200"/>
      <c r="G68" s="1312"/>
      <c r="H68" s="2415"/>
      <c r="I68" s="1563"/>
      <c r="J68" s="1483"/>
      <c r="K68" s="2415"/>
      <c r="L68" s="1126"/>
      <c r="M68" s="2994"/>
      <c r="N68" s="1246"/>
      <c r="O68" s="2539"/>
      <c r="P68" s="2539"/>
    </row>
    <row s="40257" customFormat="1" customHeight="1" ht="18.75" hidden="1">
      <c r="A69" s="2695" t="s">
        <v>251</v>
      </c>
      <c r="B69" s="2695" t="s">
        <v>252</v>
      </c>
      <c r="C69" s="1281"/>
      <c r="D69" s="3279"/>
      <c r="E69" s="3028"/>
      <c r="F69" s="3200" t="str">
        <f>INDEX(PT_DIFFERENTIATION_VTAR,MATCH(A69,PT_DIFFERENTIATION_VTAR_ID,0))</f>
        <v>Тариф на подключение (технологическое присоединение) к централизованной системе горячего водоснабжения</v>
      </c>
      <c r="G69" s="3240" t="str">
        <f>INDEX(PT_DIFFERENTIATION_NTAR,MATCH(B69,PT_DIFFERENTIATION_NTAR_ID,0))</f>
        <v/>
      </c>
      <c r="H69" s="2778"/>
      <c r="I69" s="2654"/>
      <c r="J69" s="2688"/>
      <c r="K69" s="2781"/>
      <c r="L69" s="2778" t="s">
        <v>297</v>
      </c>
      <c r="M69" s="2994"/>
      <c r="N69" s="1246"/>
      <c r="O69" s="2539"/>
      <c r="P69" s="2539"/>
    </row>
    <row s="40257" customFormat="1" customHeight="1" ht="18.75" hidden="1">
      <c r="A70" s="2695"/>
      <c r="B70" s="2695"/>
      <c r="C70" s="1281" t="s">
        <v>1119</v>
      </c>
      <c r="D70" s="3279"/>
      <c r="E70" s="3028"/>
      <c r="F70" s="3200"/>
      <c r="G70" s="3240"/>
      <c r="H70" s="2415"/>
      <c r="I70" s="1563" t="s">
        <v>1120</v>
      </c>
      <c r="J70" s="1483"/>
      <c r="K70" s="2415"/>
      <c r="L70" s="1126"/>
      <c r="M70" s="2994"/>
      <c r="N70" s="1246"/>
      <c r="O70" s="2539"/>
      <c r="P70" s="2539"/>
    </row>
    <row s="40257" customFormat="1" customHeight="1" ht="0.75" hidden="1">
      <c r="A71" s="2695"/>
      <c r="B71" s="2695"/>
      <c r="C71" s="1281" t="s">
        <v>1125</v>
      </c>
      <c r="D71" s="3279"/>
      <c r="E71" s="3028"/>
      <c r="F71" s="3200"/>
      <c r="G71" s="1312"/>
      <c r="H71" s="2415"/>
      <c r="I71" s="1563"/>
      <c r="J71" s="1483"/>
      <c r="K71" s="2415"/>
      <c r="L71" s="1126"/>
      <c r="M71" s="2994"/>
      <c r="N71" s="1246"/>
      <c r="O71" s="2539"/>
      <c r="P71" s="2539"/>
    </row>
    <row s="40257" customFormat="1" customHeight="1" ht="18.75" hidden="1">
      <c r="A72" s="2695" t="s">
        <v>256</v>
      </c>
      <c r="B72" s="2695" t="s">
        <v>257</v>
      </c>
      <c r="C72" s="1281"/>
      <c r="D72" s="3279"/>
      <c r="E72" s="3028"/>
      <c r="F72" s="3200" t="str">
        <f>INDEX(PT_DIFFERENTIATION_VTAR,MATCH(A72,PT_DIFFERENTIATION_VTAR_ID,0))</f>
        <v>Тариф на водоотведение</v>
      </c>
      <c r="G72" s="3240" t="str">
        <f>INDEX(PT_DIFFERENTIATION_NTAR,MATCH(B72,PT_DIFFERENTIATION_NTAR_ID,0))</f>
        <v/>
      </c>
      <c r="H72" s="2778"/>
      <c r="I72" s="2654"/>
      <c r="J72" s="2688"/>
      <c r="K72" s="2781"/>
      <c r="L72" s="2778" t="s">
        <v>297</v>
      </c>
      <c r="M72" s="2994"/>
      <c r="N72" s="1246"/>
      <c r="O72" s="2539"/>
      <c r="P72" s="2539"/>
    </row>
    <row s="40257" customFormat="1" customHeight="1" ht="18.75" hidden="1">
      <c r="A73" s="2695"/>
      <c r="B73" s="2695"/>
      <c r="C73" s="1281" t="s">
        <v>1119</v>
      </c>
      <c r="D73" s="3279"/>
      <c r="E73" s="3028"/>
      <c r="F73" s="3200"/>
      <c r="G73" s="3240"/>
      <c r="H73" s="2415"/>
      <c r="I73" s="1563" t="s">
        <v>1120</v>
      </c>
      <c r="J73" s="1483"/>
      <c r="K73" s="2415"/>
      <c r="L73" s="1126"/>
      <c r="M73" s="2994"/>
      <c r="N73" s="1246"/>
      <c r="O73" s="2539"/>
      <c r="P73" s="2539"/>
    </row>
    <row s="40257" customFormat="1" customHeight="1" ht="0.75" hidden="1">
      <c r="A74" s="2695"/>
      <c r="B74" s="2695"/>
      <c r="C74" s="1281" t="s">
        <v>1125</v>
      </c>
      <c r="D74" s="3279"/>
      <c r="E74" s="3028"/>
      <c r="F74" s="3200"/>
      <c r="G74" s="1312"/>
      <c r="H74" s="2415"/>
      <c r="I74" s="1563"/>
      <c r="J74" s="1483"/>
      <c r="K74" s="2415"/>
      <c r="L74" s="1126"/>
      <c r="M74" s="2994"/>
      <c r="N74" s="1246"/>
      <c r="O74" s="2539"/>
      <c r="P74" s="2539"/>
    </row>
    <row s="40257" customFormat="1" customHeight="1" ht="18.75" hidden="1">
      <c r="A75" s="2695" t="s">
        <v>261</v>
      </c>
      <c r="B75" s="2695" t="s">
        <v>262</v>
      </c>
      <c r="C75" s="1281"/>
      <c r="D75" s="3279"/>
      <c r="E75" s="3028"/>
      <c r="F75" s="3200" t="str">
        <f>INDEX(PT_DIFFERENTIATION_VTAR,MATCH(A75,PT_DIFFERENTIATION_VTAR_ID,0))</f>
        <v>Тариф на транспортировку сточных вод</v>
      </c>
      <c r="G75" s="3240" t="str">
        <f>INDEX(PT_DIFFERENTIATION_NTAR,MATCH(B75,PT_DIFFERENTIATION_NTAR_ID,0))</f>
        <v/>
      </c>
      <c r="H75" s="2778"/>
      <c r="I75" s="2654"/>
      <c r="J75" s="2688"/>
      <c r="K75" s="2781"/>
      <c r="L75" s="2778" t="s">
        <v>297</v>
      </c>
      <c r="M75" s="2994"/>
      <c r="N75" s="1246"/>
      <c r="O75" s="2539"/>
      <c r="P75" s="2539"/>
    </row>
    <row s="40257" customFormat="1" customHeight="1" ht="18.75" hidden="1">
      <c r="A76" s="2695"/>
      <c r="B76" s="2695"/>
      <c r="C76" s="1281" t="s">
        <v>1119</v>
      </c>
      <c r="D76" s="3279"/>
      <c r="E76" s="3028"/>
      <c r="F76" s="3200"/>
      <c r="G76" s="3240"/>
      <c r="H76" s="2415"/>
      <c r="I76" s="1563" t="s">
        <v>1120</v>
      </c>
      <c r="J76" s="1483"/>
      <c r="K76" s="2415"/>
      <c r="L76" s="1126"/>
      <c r="M76" s="2994"/>
      <c r="N76" s="1246"/>
      <c r="O76" s="2539"/>
      <c r="P76" s="2539"/>
    </row>
    <row s="40257" customFormat="1" customHeight="1" ht="0.75" hidden="1">
      <c r="A77" s="2695"/>
      <c r="B77" s="2695"/>
      <c r="C77" s="1281" t="s">
        <v>1125</v>
      </c>
      <c r="D77" s="3279"/>
      <c r="E77" s="3028"/>
      <c r="F77" s="3200"/>
      <c r="G77" s="1312"/>
      <c r="H77" s="2415"/>
      <c r="I77" s="1563"/>
      <c r="J77" s="1483"/>
      <c r="K77" s="2415"/>
      <c r="L77" s="1126"/>
      <c r="M77" s="2994"/>
      <c r="N77" s="1246"/>
      <c r="O77" s="2539"/>
      <c r="P77" s="2539"/>
    </row>
    <row s="40257" customFormat="1" customHeight="1" ht="18.75" hidden="1">
      <c r="A78" s="2695" t="s">
        <v>266</v>
      </c>
      <c r="B78" s="2695" t="s">
        <v>267</v>
      </c>
      <c r="C78" s="1281"/>
      <c r="D78" s="3279"/>
      <c r="E78" s="3028"/>
      <c r="F78" s="3200" t="str">
        <f>INDEX(PT_DIFFERENTIATION_VTAR,MATCH(A78,PT_DIFFERENTIATION_VTAR_ID,0))</f>
        <v>Тариф на подключение (технологическое присоединение) к централизованной системе водоотведения</v>
      </c>
      <c r="G78" s="3240" t="str">
        <f>INDEX(PT_DIFFERENTIATION_NTAR,MATCH(B78,PT_DIFFERENTIATION_NTAR_ID,0))</f>
        <v/>
      </c>
      <c r="H78" s="2778"/>
      <c r="I78" s="2654"/>
      <c r="J78" s="2688"/>
      <c r="K78" s="2781"/>
      <c r="L78" s="2778" t="s">
        <v>297</v>
      </c>
      <c r="M78" s="2994"/>
      <c r="N78" s="1246"/>
      <c r="O78" s="2539"/>
      <c r="P78" s="2539"/>
    </row>
    <row s="40257" customFormat="1" customHeight="1" ht="18.75" hidden="1">
      <c r="A79" s="2695"/>
      <c r="B79" s="2695"/>
      <c r="C79" s="1281" t="s">
        <v>1119</v>
      </c>
      <c r="D79" s="3279"/>
      <c r="E79" s="3028"/>
      <c r="F79" s="3200"/>
      <c r="G79" s="3240"/>
      <c r="H79" s="2415"/>
      <c r="I79" s="1563" t="s">
        <v>1120</v>
      </c>
      <c r="J79" s="1483"/>
      <c r="K79" s="2415"/>
      <c r="L79" s="1126"/>
      <c r="M79" s="2994"/>
      <c r="N79" s="1246"/>
      <c r="O79" s="2539"/>
      <c r="P79" s="2539"/>
    </row>
    <row s="40257" customFormat="1" customHeight="1" ht="0.75">
      <c r="A80" s="2695"/>
      <c r="B80" s="2695"/>
      <c r="C80" s="1281" t="s">
        <v>1125</v>
      </c>
      <c r="D80" s="3279"/>
      <c r="E80" s="3028"/>
      <c r="F80" s="3200"/>
      <c r="G80" s="1312"/>
      <c r="H80" s="2415"/>
      <c r="I80" s="1563"/>
      <c r="J80" s="1483"/>
      <c r="K80" s="2415"/>
      <c r="L80" s="1126"/>
      <c r="M80" s="2994"/>
      <c r="N80" s="1246"/>
      <c r="O80" s="2539"/>
      <c r="P80" s="2539"/>
    </row>
    <row customHeight="1" ht="18.75">
      <c r="A81" s="2695"/>
      <c r="B81" s="2695"/>
      <c r="D81" s="1288"/>
      <c r="E81" s="1060" t="s">
        <v>103</v>
      </c>
      <c r="F81" s="32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277"/>
      <c r="H81" s="3277"/>
      <c r="I81" s="3277"/>
      <c r="J81" s="3277"/>
      <c r="K81" s="3277"/>
      <c r="L81" s="3277"/>
      <c r="M81" s="1209"/>
      <c r="N81" s="1246"/>
    </row>
    <row customHeight="1" ht="33.75">
      <c r="A82" s="2695"/>
      <c r="B82" s="2695"/>
      <c r="D82" s="1288"/>
      <c r="E82" s="1311"/>
      <c r="F82" s="1110" t="s">
        <v>297</v>
      </c>
      <c r="G82" s="1110" t="s">
        <v>297</v>
      </c>
      <c r="H82" s="3042" t="s">
        <v>297</v>
      </c>
      <c r="I82" s="3044"/>
      <c r="J82" s="1110" t="s">
        <v>297</v>
      </c>
      <c r="K82" s="1110" t="s">
        <v>297</v>
      </c>
      <c r="L82" s="1313"/>
      <c r="M82" s="1257" t="s">
        <v>1126</v>
      </c>
      <c r="N82" s="1246"/>
    </row>
    <row customHeight="1" ht="18.75">
      <c r="A83" s="2695"/>
      <c r="B83" s="2695"/>
      <c r="D83" s="1288"/>
      <c r="E83" s="1060" t="s">
        <v>86</v>
      </c>
      <c r="F83" s="3277" t="s">
        <v>1127</v>
      </c>
      <c r="G83" s="3277"/>
      <c r="H83" s="3277"/>
      <c r="I83" s="3277"/>
      <c r="J83" s="3277"/>
      <c r="K83" s="3277"/>
      <c r="L83" s="3277"/>
      <c r="M83" s="1209"/>
      <c r="N83" s="1246"/>
    </row>
    <row s="40257" customFormat="1" customHeight="1" ht="60.75" hidden="1">
      <c r="A84" s="2695" t="s">
        <v>148</v>
      </c>
      <c r="B84" s="2695" t="s">
        <v>149</v>
      </c>
      <c r="C84" s="1281"/>
      <c r="D84" s="3279"/>
      <c r="E84" s="3028"/>
      <c r="F84" s="320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240" t="str">
        <f>INDEX(PT_DIFFERENTIATION_NTAR,MATCH(B84,PT_DIFFERENTIATION_NTAR_ID,0))</f>
        <v/>
      </c>
      <c r="H84" s="2778"/>
      <c r="I84" s="2654"/>
      <c r="J84" s="2688"/>
      <c r="K84" s="2693"/>
      <c r="L84" s="2778" t="s">
        <v>297</v>
      </c>
      <c r="M84"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1246"/>
      <c r="O84" s="2539"/>
      <c r="P84" s="2539"/>
    </row>
    <row s="40257" customFormat="1" customHeight="1" ht="18.75" hidden="1">
      <c r="A85" s="2695"/>
      <c r="B85" s="2695"/>
      <c r="C85" s="1281" t="s">
        <v>1121</v>
      </c>
      <c r="D85" s="3279"/>
      <c r="E85" s="3028"/>
      <c r="F85" s="3200"/>
      <c r="G85" s="3240"/>
      <c r="H85" s="2415"/>
      <c r="I85" s="1563" t="s">
        <v>1120</v>
      </c>
      <c r="J85" s="1483"/>
      <c r="K85" s="2415"/>
      <c r="L85" s="1126"/>
      <c r="M85" s="2994"/>
      <c r="N85" s="1246"/>
      <c r="O85" s="2539"/>
      <c r="P85" s="2539"/>
    </row>
    <row s="40257" customFormat="1" customHeight="1" ht="0.75" hidden="1">
      <c r="A86" s="2695"/>
      <c r="B86" s="2695"/>
      <c r="C86" s="1281" t="s">
        <v>1128</v>
      </c>
      <c r="D86" s="3279"/>
      <c r="E86" s="3028"/>
      <c r="F86" s="3200"/>
      <c r="G86" s="1312"/>
      <c r="H86" s="2415"/>
      <c r="I86" s="1563"/>
      <c r="J86" s="1483"/>
      <c r="K86" s="2415"/>
      <c r="L86" s="1126"/>
      <c r="M86" s="2994"/>
      <c r="N86" s="1246"/>
      <c r="O86" s="2539"/>
      <c r="P86" s="2539"/>
    </row>
    <row s="40257" customFormat="1" customHeight="1" ht="45" hidden="1">
      <c r="A87" s="2695" t="s">
        <v>154</v>
      </c>
      <c r="B87" s="2695" t="s">
        <v>155</v>
      </c>
      <c r="C87" s="1281"/>
      <c r="D87" s="3279"/>
      <c r="E87" s="3028"/>
      <c r="F87" s="320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240" t="str">
        <f>INDEX(PT_DIFFERENTIATION_NTAR,MATCH(B87,PT_DIFFERENTIATION_NTAR_ID,0))</f>
        <v/>
      </c>
      <c r="H87" s="2778"/>
      <c r="I87" s="2654"/>
      <c r="J87" s="2688"/>
      <c r="K87" s="2693"/>
      <c r="L87" s="2778" t="s">
        <v>297</v>
      </c>
      <c r="M87" s="2995"/>
      <c r="N87" s="1246"/>
      <c r="O87" s="2539"/>
      <c r="P87" s="2539"/>
    </row>
    <row s="40257" customFormat="1" customHeight="1" ht="18.75" hidden="1">
      <c r="A88" s="2695"/>
      <c r="B88" s="2695"/>
      <c r="C88" s="1281" t="s">
        <v>1121</v>
      </c>
      <c r="D88" s="3279"/>
      <c r="E88" s="3028"/>
      <c r="F88" s="3200"/>
      <c r="G88" s="3240"/>
      <c r="H88" s="2415"/>
      <c r="I88" s="1563" t="s">
        <v>1120</v>
      </c>
      <c r="J88" s="1483"/>
      <c r="K88" s="2415"/>
      <c r="L88" s="1126"/>
      <c r="M88" s="2777"/>
      <c r="N88" s="1246"/>
      <c r="O88" s="2539"/>
      <c r="P88" s="2539"/>
    </row>
    <row s="40257" customFormat="1" customHeight="1" ht="0.75" hidden="1">
      <c r="A89" s="2695"/>
      <c r="B89" s="2695"/>
      <c r="C89" s="1281" t="s">
        <v>1128</v>
      </c>
      <c r="D89" s="3279"/>
      <c r="E89" s="3028"/>
      <c r="F89" s="3200"/>
      <c r="G89" s="1312"/>
      <c r="H89" s="2415"/>
      <c r="I89" s="1563"/>
      <c r="J89" s="1483"/>
      <c r="K89" s="2415"/>
      <c r="L89" s="1126"/>
      <c r="M89" s="1253"/>
      <c r="N89" s="1246"/>
      <c r="O89" s="2539"/>
      <c r="P89" s="2539"/>
    </row>
    <row s="40257" customFormat="1" customHeight="1" ht="45" hidden="1">
      <c r="A90" s="2695" t="s">
        <v>160</v>
      </c>
      <c r="B90" s="2695" t="s">
        <v>161</v>
      </c>
      <c r="C90" s="1281"/>
      <c r="D90" s="3279"/>
      <c r="E90" s="3028"/>
      <c r="F90" s="320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240" t="str">
        <f>INDEX(PT_DIFFERENTIATION_NTAR,MATCH(B90,PT_DIFFERENTIATION_NTAR_ID,0))</f>
        <v/>
      </c>
      <c r="H90" s="2778"/>
      <c r="I90" s="2654"/>
      <c r="J90" s="2688"/>
      <c r="K90" s="2693"/>
      <c r="L90" s="2778" t="s">
        <v>297</v>
      </c>
      <c r="M90" s="1253"/>
      <c r="N90" s="1246"/>
      <c r="O90" s="2539"/>
      <c r="P90" s="2539"/>
    </row>
    <row s="40257" customFormat="1" customHeight="1" ht="18.75" hidden="1">
      <c r="A91" s="2695"/>
      <c r="B91" s="2695"/>
      <c r="C91" s="1281" t="s">
        <v>1121</v>
      </c>
      <c r="D91" s="3279"/>
      <c r="E91" s="3028"/>
      <c r="F91" s="3200"/>
      <c r="G91" s="3240"/>
      <c r="H91" s="2415"/>
      <c r="I91" s="1563" t="s">
        <v>1120</v>
      </c>
      <c r="J91" s="1483"/>
      <c r="K91" s="2415"/>
      <c r="L91" s="1126"/>
      <c r="M91" s="1253"/>
      <c r="N91" s="1246"/>
      <c r="O91" s="2539"/>
      <c r="P91" s="2539"/>
    </row>
    <row s="40257" customFormat="1" customHeight="1" ht="0.75" hidden="1">
      <c r="A92" s="2695"/>
      <c r="B92" s="2695"/>
      <c r="C92" s="1281" t="s">
        <v>1128</v>
      </c>
      <c r="D92" s="3279"/>
      <c r="E92" s="3028"/>
      <c r="F92" s="3200"/>
      <c r="G92" s="1312"/>
      <c r="H92" s="2415"/>
      <c r="I92" s="1563"/>
      <c r="J92" s="1483"/>
      <c r="K92" s="2415"/>
      <c r="L92" s="1126"/>
      <c r="M92" s="1253"/>
      <c r="N92" s="1246"/>
      <c r="O92" s="2539"/>
      <c r="P92" s="2539"/>
    </row>
    <row s="40257" customFormat="1" customHeight="1" ht="45" hidden="1">
      <c r="A93" s="2695" t="s">
        <v>166</v>
      </c>
      <c r="B93" s="2695" t="s">
        <v>167</v>
      </c>
      <c r="C93" s="1281"/>
      <c r="D93" s="3279"/>
      <c r="E93" s="3028"/>
      <c r="F93" s="320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240" t="str">
        <f>INDEX(PT_DIFFERENTIATION_NTAR,MATCH(B93,PT_DIFFERENTIATION_NTAR_ID,0))</f>
        <v/>
      </c>
      <c r="H93" s="2778"/>
      <c r="I93" s="2654"/>
      <c r="J93" s="2688"/>
      <c r="K93" s="2693"/>
      <c r="L93" s="2778" t="s">
        <v>297</v>
      </c>
      <c r="M93" s="1253"/>
      <c r="N93" s="1246"/>
      <c r="O93" s="2539"/>
      <c r="P93" s="2539"/>
    </row>
    <row s="40257" customFormat="1" customHeight="1" ht="18.75" hidden="1">
      <c r="A94" s="2695"/>
      <c r="B94" s="2695"/>
      <c r="C94" s="1281" t="s">
        <v>1121</v>
      </c>
      <c r="D94" s="3279"/>
      <c r="E94" s="3028"/>
      <c r="F94" s="3200"/>
      <c r="G94" s="3240"/>
      <c r="H94" s="2415"/>
      <c r="I94" s="1563" t="s">
        <v>1120</v>
      </c>
      <c r="J94" s="1483"/>
      <c r="K94" s="2415"/>
      <c r="L94" s="1126"/>
      <c r="M94" s="1253"/>
      <c r="N94" s="1246"/>
      <c r="O94" s="2539"/>
      <c r="P94" s="2539"/>
    </row>
    <row s="40257" customFormat="1" customHeight="1" ht="0.75" hidden="1">
      <c r="A95" s="2695"/>
      <c r="B95" s="2695"/>
      <c r="C95" s="1281" t="s">
        <v>1128</v>
      </c>
      <c r="D95" s="3279"/>
      <c r="E95" s="3028"/>
      <c r="F95" s="3200"/>
      <c r="G95" s="1312"/>
      <c r="H95" s="2415"/>
      <c r="I95" s="1563"/>
      <c r="J95" s="1483"/>
      <c r="K95" s="2415"/>
      <c r="L95" s="1126"/>
      <c r="M95" s="1253"/>
      <c r="N95" s="1246"/>
      <c r="O95" s="2539"/>
      <c r="P95" s="2539"/>
    </row>
    <row s="40257" customFormat="1" customHeight="1" ht="18.75" hidden="1">
      <c r="A96" s="2695" t="s">
        <v>172</v>
      </c>
      <c r="B96" s="2695" t="s">
        <v>173</v>
      </c>
      <c r="C96" s="1281"/>
      <c r="D96" s="3279"/>
      <c r="E96" s="3028"/>
      <c r="F96" s="3200" t="str">
        <f>INDEX(PT_DIFFERENTIATION_VTAR,MATCH(A96,PT_DIFFERENTIATION_VTAR_ID,0))</f>
        <v>Тарифы на услуги по передаче тепловой энергии</v>
      </c>
      <c r="G96" s="3240" t="str">
        <f>INDEX(PT_DIFFERENTIATION_NTAR,MATCH(B96,PT_DIFFERENTIATION_NTAR_ID,0))</f>
        <v/>
      </c>
      <c r="H96" s="2778"/>
      <c r="I96" s="2654"/>
      <c r="J96" s="2688"/>
      <c r="K96" s="2693"/>
      <c r="L96" s="2778" t="s">
        <v>297</v>
      </c>
      <c r="M96" s="1253"/>
      <c r="N96" s="1246"/>
      <c r="O96" s="2539"/>
      <c r="P96" s="2539"/>
    </row>
    <row s="40257" customFormat="1" customHeight="1" ht="18.75" hidden="1">
      <c r="A97" s="2695"/>
      <c r="B97" s="2695"/>
      <c r="C97" s="1281" t="s">
        <v>1121</v>
      </c>
      <c r="D97" s="3279"/>
      <c r="E97" s="3028"/>
      <c r="F97" s="3200"/>
      <c r="G97" s="3240"/>
      <c r="H97" s="2415"/>
      <c r="I97" s="1563" t="s">
        <v>1120</v>
      </c>
      <c r="J97" s="1483"/>
      <c r="K97" s="2415"/>
      <c r="L97" s="1126"/>
      <c r="M97" s="1253"/>
      <c r="N97" s="1246"/>
      <c r="O97" s="2539"/>
      <c r="P97" s="2539"/>
    </row>
    <row s="40257" customFormat="1" customHeight="1" ht="0.75" hidden="1">
      <c r="A98" s="2695"/>
      <c r="B98" s="2695"/>
      <c r="C98" s="1281" t="s">
        <v>1128</v>
      </c>
      <c r="D98" s="3279"/>
      <c r="E98" s="3028"/>
      <c r="F98" s="3200"/>
      <c r="G98" s="1312"/>
      <c r="H98" s="2415"/>
      <c r="I98" s="1563"/>
      <c r="J98" s="1483"/>
      <c r="K98" s="2415"/>
      <c r="L98" s="1126"/>
      <c r="M98" s="1253"/>
      <c r="N98" s="1246"/>
      <c r="O98" s="2539"/>
      <c r="P98" s="2539"/>
    </row>
    <row s="40257" customFormat="1" customHeight="1" ht="18.75" hidden="1">
      <c r="A99" s="2695" t="s">
        <v>178</v>
      </c>
      <c r="B99" s="2695" t="s">
        <v>179</v>
      </c>
      <c r="C99" s="1281"/>
      <c r="D99" s="3279"/>
      <c r="E99" s="3028"/>
      <c r="F99" s="3200" t="str">
        <f>INDEX(PT_DIFFERENTIATION_VTAR,MATCH(A99,PT_DIFFERENTIATION_VTAR_ID,0))</f>
        <v>Тарифы на услуги по передаче теплоносителя</v>
      </c>
      <c r="G99" s="3240" t="str">
        <f>INDEX(PT_DIFFERENTIATION_NTAR,MATCH(B99,PT_DIFFERENTIATION_NTAR_ID,0))</f>
        <v/>
      </c>
      <c r="H99" s="2778"/>
      <c r="I99" s="2654"/>
      <c r="J99" s="2688"/>
      <c r="K99" s="2693"/>
      <c r="L99" s="2778" t="s">
        <v>297</v>
      </c>
      <c r="M99" s="1253"/>
      <c r="N99" s="1246"/>
      <c r="O99" s="2539"/>
      <c r="P99" s="2539"/>
    </row>
    <row s="40257" customFormat="1" customHeight="1" ht="18.75" hidden="1">
      <c r="A100" s="2695"/>
      <c r="B100" s="2695"/>
      <c r="C100" s="1281" t="s">
        <v>1121</v>
      </c>
      <c r="D100" s="3279"/>
      <c r="E100" s="3028"/>
      <c r="F100" s="3200"/>
      <c r="G100" s="3240"/>
      <c r="H100" s="2415"/>
      <c r="I100" s="1563" t="s">
        <v>1120</v>
      </c>
      <c r="J100" s="1483"/>
      <c r="K100" s="2415"/>
      <c r="L100" s="1126"/>
      <c r="M100" s="1253"/>
      <c r="N100" s="1246"/>
      <c r="O100" s="2539"/>
      <c r="P100" s="2539"/>
    </row>
    <row s="40257" customFormat="1" customHeight="1" ht="0.75" hidden="1">
      <c r="A101" s="2695"/>
      <c r="B101" s="2695"/>
      <c r="C101" s="1281" t="s">
        <v>1128</v>
      </c>
      <c r="D101" s="3279"/>
      <c r="E101" s="3028"/>
      <c r="F101" s="3200"/>
      <c r="G101" s="1312"/>
      <c r="H101" s="2415"/>
      <c r="I101" s="1563"/>
      <c r="J101" s="1483"/>
      <c r="K101" s="2415"/>
      <c r="L101" s="1126"/>
      <c r="M101" s="1253"/>
      <c r="N101" s="1246"/>
      <c r="O101" s="2539"/>
      <c r="P101" s="2539"/>
    </row>
    <row s="40257" customFormat="1" customHeight="1" ht="18.75" hidden="1">
      <c r="A102" s="2695" t="s">
        <v>184</v>
      </c>
      <c r="B102" s="2695" t="s">
        <v>185</v>
      </c>
      <c r="C102" s="1281"/>
      <c r="D102" s="3279"/>
      <c r="E102" s="3028"/>
      <c r="F102" s="320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240" t="str">
        <f>INDEX(PT_DIFFERENTIATION_NTAR,MATCH(B102,PT_DIFFERENTIATION_NTAR_ID,0))</f>
        <v/>
      </c>
      <c r="H102" s="2778"/>
      <c r="I102" s="2654"/>
      <c r="J102" s="2688"/>
      <c r="K102" s="2693"/>
      <c r="L102" s="2778" t="s">
        <v>297</v>
      </c>
      <c r="M102" s="1253"/>
      <c r="N102" s="1246"/>
      <c r="O102" s="2539"/>
      <c r="P102" s="2539"/>
    </row>
    <row s="40257" customFormat="1" customHeight="1" ht="18.75" hidden="1">
      <c r="A103" s="2695"/>
      <c r="B103" s="2695"/>
      <c r="C103" s="1281" t="s">
        <v>1121</v>
      </c>
      <c r="D103" s="3279"/>
      <c r="E103" s="3028"/>
      <c r="F103" s="3200"/>
      <c r="G103" s="3240"/>
      <c r="H103" s="2415"/>
      <c r="I103" s="1563" t="s">
        <v>1120</v>
      </c>
      <c r="J103" s="1483"/>
      <c r="K103" s="2415"/>
      <c r="L103" s="1126"/>
      <c r="M103" s="1253"/>
      <c r="N103" s="1246"/>
      <c r="O103" s="2539"/>
      <c r="P103" s="2539"/>
    </row>
    <row s="40257" customFormat="1" customHeight="1" ht="0.75" hidden="1">
      <c r="A104" s="2695"/>
      <c r="B104" s="2695"/>
      <c r="C104" s="1281" t="s">
        <v>1128</v>
      </c>
      <c r="D104" s="3279"/>
      <c r="E104" s="3028"/>
      <c r="F104" s="3200"/>
      <c r="G104" s="1312"/>
      <c r="H104" s="2415"/>
      <c r="I104" s="1563"/>
      <c r="J104" s="1483"/>
      <c r="K104" s="2415"/>
      <c r="L104" s="1126"/>
      <c r="M104" s="1253"/>
      <c r="N104" s="1246"/>
      <c r="O104" s="2539"/>
      <c r="P104" s="2539"/>
    </row>
    <row s="40257" customFormat="1" customHeight="1" ht="18.75" hidden="1">
      <c r="A105" s="2695" t="s">
        <v>190</v>
      </c>
      <c r="B105" s="2695" t="s">
        <v>191</v>
      </c>
      <c r="C105" s="1281"/>
      <c r="D105" s="3279"/>
      <c r="E105" s="3028"/>
      <c r="F105" s="3200" t="str">
        <f>INDEX(PT_DIFFERENTIATION_VTAR,MATCH(A105,PT_DIFFERENTIATION_VTAR_ID,0))</f>
        <v>Плата за подключение (технологическое присоединение) к системе теплоснабжения</v>
      </c>
      <c r="G105" s="3240" t="str">
        <f>INDEX(PT_DIFFERENTIATION_NTAR,MATCH(B105,PT_DIFFERENTIATION_NTAR_ID,0))</f>
        <v/>
      </c>
      <c r="H105" s="2778"/>
      <c r="I105" s="2654"/>
      <c r="J105" s="2688"/>
      <c r="K105" s="2693"/>
      <c r="L105" s="2778" t="s">
        <v>297</v>
      </c>
      <c r="M105" s="1253"/>
      <c r="N105" s="1246"/>
      <c r="O105" s="2539"/>
      <c r="P105" s="2539"/>
    </row>
    <row s="40257" customFormat="1" customHeight="1" ht="18.75" hidden="1">
      <c r="A106" s="2695"/>
      <c r="B106" s="2695"/>
      <c r="C106" s="1281" t="s">
        <v>1121</v>
      </c>
      <c r="D106" s="3279"/>
      <c r="E106" s="3028"/>
      <c r="F106" s="3200"/>
      <c r="G106" s="3240"/>
      <c r="H106" s="2415"/>
      <c r="I106" s="1563" t="s">
        <v>1120</v>
      </c>
      <c r="J106" s="1483"/>
      <c r="K106" s="2415"/>
      <c r="L106" s="1126"/>
      <c r="M106" s="1253"/>
      <c r="N106" s="1246"/>
      <c r="O106" s="2539"/>
      <c r="P106" s="2539"/>
    </row>
    <row s="40257" customFormat="1" customHeight="1" ht="0.75" hidden="1">
      <c r="A107" s="2695"/>
      <c r="B107" s="2695"/>
      <c r="C107" s="1281" t="s">
        <v>1128</v>
      </c>
      <c r="D107" s="3279"/>
      <c r="E107" s="3028"/>
      <c r="F107" s="3200"/>
      <c r="G107" s="1312"/>
      <c r="H107" s="2415"/>
      <c r="I107" s="1563"/>
      <c r="J107" s="1483"/>
      <c r="K107" s="2415"/>
      <c r="L107" s="1126"/>
      <c r="M107" s="1253"/>
      <c r="N107" s="1246"/>
      <c r="O107" s="2539"/>
      <c r="P107" s="2539"/>
    </row>
    <row s="40257" customFormat="1" customHeight="1" ht="18.75" hidden="1">
      <c r="A108" s="2695" t="s">
        <v>216</v>
      </c>
      <c r="B108" s="2695" t="s">
        <v>217</v>
      </c>
      <c r="C108" s="1281"/>
      <c r="D108" s="3279"/>
      <c r="E108" s="3028"/>
      <c r="F108" s="3200" t="str">
        <f>INDEX(PT_DIFFERENTIATION_VTAR,MATCH(A108,PT_DIFFERENTIATION_VTAR_ID,0))</f>
        <v>Тариф на питьевую воду (питьевое водоснабжение)</v>
      </c>
      <c r="G108" s="3240" t="str">
        <f>INDEX(PT_DIFFERENTIATION_NTAR,MATCH(B108,PT_DIFFERENTIATION_NTAR_ID,0))</f>
        <v/>
      </c>
      <c r="H108" s="2778"/>
      <c r="I108" s="2654"/>
      <c r="J108" s="2688"/>
      <c r="K108" s="2693"/>
      <c r="L108" s="2778" t="s">
        <v>297</v>
      </c>
      <c r="M108" s="1253"/>
      <c r="N108" s="1246"/>
      <c r="O108" s="2539"/>
      <c r="P108" s="2539"/>
    </row>
    <row s="40257" customFormat="1" customHeight="1" ht="18.75" hidden="1">
      <c r="A109" s="2695"/>
      <c r="B109" s="2695"/>
      <c r="C109" s="1281" t="s">
        <v>1121</v>
      </c>
      <c r="D109" s="3279"/>
      <c r="E109" s="3028"/>
      <c r="F109" s="3200"/>
      <c r="G109" s="3240"/>
      <c r="H109" s="2415"/>
      <c r="I109" s="1563" t="s">
        <v>1120</v>
      </c>
      <c r="J109" s="1483"/>
      <c r="K109" s="2415"/>
      <c r="L109" s="1126"/>
      <c r="M109" s="1253"/>
      <c r="N109" s="1246"/>
      <c r="O109" s="2539"/>
      <c r="P109" s="2539"/>
    </row>
    <row s="40257" customFormat="1" customHeight="1" ht="0.75" hidden="1">
      <c r="A110" s="2695"/>
      <c r="B110" s="2695"/>
      <c r="C110" s="1281" t="s">
        <v>1128</v>
      </c>
      <c r="D110" s="3279"/>
      <c r="E110" s="3028"/>
      <c r="F110" s="3200"/>
      <c r="G110" s="1312"/>
      <c r="H110" s="2415"/>
      <c r="I110" s="1563"/>
      <c r="J110" s="1483"/>
      <c r="K110" s="2415"/>
      <c r="L110" s="1126"/>
      <c r="M110" s="1253"/>
      <c r="N110" s="1246"/>
      <c r="O110" s="2539"/>
      <c r="P110" s="2539"/>
    </row>
    <row s="40257" customFormat="1" customHeight="1" ht="18.75" hidden="1">
      <c r="A111" s="2695" t="s">
        <v>221</v>
      </c>
      <c r="B111" s="2695" t="s">
        <v>222</v>
      </c>
      <c r="C111" s="1281"/>
      <c r="D111" s="3279"/>
      <c r="E111" s="3028"/>
      <c r="F111" s="3200" t="str">
        <f>INDEX(PT_DIFFERENTIATION_VTAR,MATCH(A111,PT_DIFFERENTIATION_VTAR_ID,0))</f>
        <v>Тариф на техническую воду</v>
      </c>
      <c r="G111" s="3240" t="str">
        <f>INDEX(PT_DIFFERENTIATION_NTAR,MATCH(B111,PT_DIFFERENTIATION_NTAR_ID,0))</f>
        <v/>
      </c>
      <c r="H111" s="2778"/>
      <c r="I111" s="2654"/>
      <c r="J111" s="2688"/>
      <c r="K111" s="2693"/>
      <c r="L111" s="2778" t="s">
        <v>297</v>
      </c>
      <c r="M111" s="1253"/>
      <c r="N111" s="1246"/>
      <c r="O111" s="2539"/>
      <c r="P111" s="2539"/>
    </row>
    <row s="40257" customFormat="1" customHeight="1" ht="18.75" hidden="1">
      <c r="A112" s="2695"/>
      <c r="B112" s="2695"/>
      <c r="C112" s="1281" t="s">
        <v>1121</v>
      </c>
      <c r="D112" s="3279"/>
      <c r="E112" s="3028"/>
      <c r="F112" s="3200"/>
      <c r="G112" s="3240"/>
      <c r="H112" s="2415"/>
      <c r="I112" s="1563" t="s">
        <v>1120</v>
      </c>
      <c r="J112" s="1483"/>
      <c r="K112" s="2415"/>
      <c r="L112" s="1126"/>
      <c r="M112" s="1253"/>
      <c r="N112" s="1246"/>
      <c r="O112" s="2539"/>
      <c r="P112" s="2539"/>
    </row>
    <row s="40257" customFormat="1" customHeight="1" ht="0.75" hidden="1">
      <c r="A113" s="2695"/>
      <c r="B113" s="2695"/>
      <c r="C113" s="1281" t="s">
        <v>1128</v>
      </c>
      <c r="D113" s="3279"/>
      <c r="E113" s="3028"/>
      <c r="F113" s="3200"/>
      <c r="G113" s="1312"/>
      <c r="H113" s="2415"/>
      <c r="I113" s="1563"/>
      <c r="J113" s="1483"/>
      <c r="K113" s="2415"/>
      <c r="L113" s="1126"/>
      <c r="M113" s="1253"/>
      <c r="N113" s="1246"/>
      <c r="O113" s="2539"/>
      <c r="P113" s="2539"/>
    </row>
    <row s="40257" customFormat="1" customHeight="1" ht="18.75" hidden="1">
      <c r="A114" s="2695" t="s">
        <v>226</v>
      </c>
      <c r="B114" s="2695" t="s">
        <v>227</v>
      </c>
      <c r="C114" s="1281"/>
      <c r="D114" s="3279"/>
      <c r="E114" s="3028"/>
      <c r="F114" s="3200" t="str">
        <f>INDEX(PT_DIFFERENTIATION_VTAR,MATCH(A114,PT_DIFFERENTIATION_VTAR_ID,0))</f>
        <v>Тариф на транспортировку воды</v>
      </c>
      <c r="G114" s="3240" t="str">
        <f>INDEX(PT_DIFFERENTIATION_NTAR,MATCH(B114,PT_DIFFERENTIATION_NTAR_ID,0))</f>
        <v/>
      </c>
      <c r="H114" s="2778"/>
      <c r="I114" s="2654"/>
      <c r="J114" s="2688"/>
      <c r="K114" s="2693"/>
      <c r="L114" s="2778" t="s">
        <v>297</v>
      </c>
      <c r="M114" s="1253"/>
      <c r="N114" s="1246"/>
      <c r="O114" s="2539"/>
      <c r="P114" s="2539"/>
    </row>
    <row s="40257" customFormat="1" customHeight="1" ht="18.75" hidden="1">
      <c r="A115" s="2695"/>
      <c r="B115" s="2695"/>
      <c r="C115" s="1281" t="s">
        <v>1121</v>
      </c>
      <c r="D115" s="3279"/>
      <c r="E115" s="3028"/>
      <c r="F115" s="3200"/>
      <c r="G115" s="3240"/>
      <c r="H115" s="2415"/>
      <c r="I115" s="1563" t="s">
        <v>1120</v>
      </c>
      <c r="J115" s="1483"/>
      <c r="K115" s="2415"/>
      <c r="L115" s="1126"/>
      <c r="M115" s="1253"/>
      <c r="N115" s="1246"/>
      <c r="O115" s="2539"/>
      <c r="P115" s="2539"/>
    </row>
    <row s="40257" customFormat="1" customHeight="1" ht="0.75" hidden="1">
      <c r="A116" s="2695"/>
      <c r="B116" s="2695"/>
      <c r="C116" s="1281" t="s">
        <v>1128</v>
      </c>
      <c r="D116" s="3279"/>
      <c r="E116" s="3028"/>
      <c r="F116" s="3200"/>
      <c r="G116" s="1312"/>
      <c r="H116" s="2415"/>
      <c r="I116" s="1563"/>
      <c r="J116" s="1483"/>
      <c r="K116" s="2415"/>
      <c r="L116" s="1126"/>
      <c r="M116" s="1253"/>
      <c r="N116" s="1246"/>
      <c r="O116" s="2539"/>
      <c r="P116" s="2539"/>
    </row>
    <row s="40257" customFormat="1" customHeight="1" ht="18.75" hidden="1">
      <c r="A117" s="2695" t="s">
        <v>231</v>
      </c>
      <c r="B117" s="2695" t="s">
        <v>232</v>
      </c>
      <c r="C117" s="1281"/>
      <c r="D117" s="3279"/>
      <c r="E117" s="3028"/>
      <c r="F117" s="3200" t="str">
        <f>INDEX(PT_DIFFERENTIATION_VTAR,MATCH(A117,PT_DIFFERENTIATION_VTAR_ID,0))</f>
        <v>Тариф на подвоз воды</v>
      </c>
      <c r="G117" s="3240" t="str">
        <f>INDEX(PT_DIFFERENTIATION_NTAR,MATCH(B117,PT_DIFFERENTIATION_NTAR_ID,0))</f>
        <v/>
      </c>
      <c r="H117" s="2778"/>
      <c r="I117" s="2654"/>
      <c r="J117" s="2688"/>
      <c r="K117" s="2693"/>
      <c r="L117" s="2778" t="s">
        <v>297</v>
      </c>
      <c r="M117" s="1253"/>
      <c r="N117" s="1246"/>
      <c r="O117" s="2539"/>
      <c r="P117" s="2539"/>
    </row>
    <row s="40257" customFormat="1" customHeight="1" ht="18.75" hidden="1">
      <c r="A118" s="2695"/>
      <c r="B118" s="2695"/>
      <c r="C118" s="1281" t="s">
        <v>1121</v>
      </c>
      <c r="D118" s="3279"/>
      <c r="E118" s="3028"/>
      <c r="F118" s="3200"/>
      <c r="G118" s="3240"/>
      <c r="H118" s="2415"/>
      <c r="I118" s="1563" t="s">
        <v>1120</v>
      </c>
      <c r="J118" s="1483"/>
      <c r="K118" s="2415"/>
      <c r="L118" s="1126"/>
      <c r="M118" s="1253"/>
      <c r="N118" s="1246"/>
      <c r="O118" s="2539"/>
      <c r="P118" s="2539"/>
    </row>
    <row s="40257" customFormat="1" customHeight="1" ht="0.75" hidden="1">
      <c r="A119" s="2695"/>
      <c r="B119" s="2695"/>
      <c r="C119" s="1281" t="s">
        <v>1128</v>
      </c>
      <c r="D119" s="3279"/>
      <c r="E119" s="3028"/>
      <c r="F119" s="3200"/>
      <c r="G119" s="1312"/>
      <c r="H119" s="2415"/>
      <c r="I119" s="1563"/>
      <c r="J119" s="1483"/>
      <c r="K119" s="2415"/>
      <c r="L119" s="1126"/>
      <c r="M119" s="1253"/>
      <c r="N119" s="1246"/>
      <c r="O119" s="2539"/>
      <c r="P119" s="2539"/>
    </row>
    <row s="40257" customFormat="1" customHeight="1" ht="18.75" hidden="1">
      <c r="A120" s="2695" t="s">
        <v>236</v>
      </c>
      <c r="B120" s="2695" t="s">
        <v>237</v>
      </c>
      <c r="C120" s="1281"/>
      <c r="D120" s="3279"/>
      <c r="E120" s="3028"/>
      <c r="F120" s="320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240" t="str">
        <f>INDEX(PT_DIFFERENTIATION_NTAR,MATCH(B120,PT_DIFFERENTIATION_NTAR_ID,0))</f>
        <v/>
      </c>
      <c r="H120" s="2778"/>
      <c r="I120" s="2654"/>
      <c r="J120" s="2688"/>
      <c r="K120" s="2693"/>
      <c r="L120" s="2778" t="s">
        <v>297</v>
      </c>
      <c r="M120" s="1253"/>
      <c r="N120" s="1246"/>
      <c r="O120" s="2539"/>
      <c r="P120" s="2539"/>
    </row>
    <row s="40257" customFormat="1" customHeight="1" ht="18.75" hidden="1">
      <c r="A121" s="2695"/>
      <c r="B121" s="2695"/>
      <c r="C121" s="1281" t="s">
        <v>1121</v>
      </c>
      <c r="D121" s="3279"/>
      <c r="E121" s="3028"/>
      <c r="F121" s="3200"/>
      <c r="G121" s="3240"/>
      <c r="H121" s="2415"/>
      <c r="I121" s="1563" t="s">
        <v>1120</v>
      </c>
      <c r="J121" s="1483"/>
      <c r="K121" s="2415"/>
      <c r="L121" s="1126"/>
      <c r="M121" s="1253"/>
      <c r="N121" s="1246"/>
      <c r="O121" s="2539"/>
      <c r="P121" s="2539"/>
    </row>
    <row s="40257" customFormat="1" customHeight="1" ht="0.75" hidden="1">
      <c r="A122" s="2695"/>
      <c r="B122" s="2695"/>
      <c r="C122" s="1281" t="s">
        <v>1128</v>
      </c>
      <c r="D122" s="3279"/>
      <c r="E122" s="3028"/>
      <c r="F122" s="3200"/>
      <c r="G122" s="1312"/>
      <c r="H122" s="2415"/>
      <c r="I122" s="1563"/>
      <c r="J122" s="1483"/>
      <c r="K122" s="2415"/>
      <c r="L122" s="1126"/>
      <c r="M122" s="1253"/>
      <c r="N122" s="1246"/>
      <c r="O122" s="2539"/>
      <c r="P122" s="2539"/>
    </row>
    <row s="40257" customFormat="1" customHeight="1" ht="18.75" hidden="1">
      <c r="A123" s="2695" t="s">
        <v>241</v>
      </c>
      <c r="B123" s="2695" t="s">
        <v>242</v>
      </c>
      <c r="C123" s="1281"/>
      <c r="D123" s="3279"/>
      <c r="E123" s="3028"/>
      <c r="F123" s="3200" t="str">
        <f>INDEX(PT_DIFFERENTIATION_VTAR,MATCH(A123,PT_DIFFERENTIATION_VTAR_ID,0))</f>
        <v>Тариф на горячую воду (горячее водоснабжение)</v>
      </c>
      <c r="G123" s="3240" t="str">
        <f>INDEX(PT_DIFFERENTIATION_NTAR,MATCH(B123,PT_DIFFERENTIATION_NTAR_ID,0))</f>
        <v/>
      </c>
      <c r="H123" s="2778"/>
      <c r="I123" s="2654"/>
      <c r="J123" s="2688"/>
      <c r="K123" s="2693"/>
      <c r="L123" s="2778" t="s">
        <v>297</v>
      </c>
      <c r="M123" s="1253"/>
      <c r="N123" s="1246"/>
      <c r="O123" s="2539"/>
      <c r="P123" s="2539"/>
    </row>
    <row s="40257" customFormat="1" customHeight="1" ht="18.75" hidden="1">
      <c r="A124" s="2695"/>
      <c r="B124" s="2695"/>
      <c r="C124" s="1281" t="s">
        <v>1121</v>
      </c>
      <c r="D124" s="3279"/>
      <c r="E124" s="3028"/>
      <c r="F124" s="3200"/>
      <c r="G124" s="3240"/>
      <c r="H124" s="2415"/>
      <c r="I124" s="1563" t="s">
        <v>1120</v>
      </c>
      <c r="J124" s="1483"/>
      <c r="K124" s="2415"/>
      <c r="L124" s="1126"/>
      <c r="M124" s="1253"/>
      <c r="N124" s="1246"/>
      <c r="O124" s="2539"/>
      <c r="P124" s="2539"/>
    </row>
    <row s="40257" customFormat="1" customHeight="1" ht="0.75" hidden="1">
      <c r="A125" s="2695"/>
      <c r="B125" s="2695"/>
      <c r="C125" s="1281" t="s">
        <v>1128</v>
      </c>
      <c r="D125" s="3279"/>
      <c r="E125" s="3028"/>
      <c r="F125" s="3200"/>
      <c r="G125" s="1312"/>
      <c r="H125" s="2415"/>
      <c r="I125" s="1563"/>
      <c r="J125" s="1483"/>
      <c r="K125" s="2415"/>
      <c r="L125" s="1126"/>
      <c r="M125" s="1253"/>
      <c r="N125" s="1246"/>
      <c r="O125" s="2539"/>
      <c r="P125" s="2539"/>
    </row>
    <row s="40257" customFormat="1" customHeight="1" ht="18.75" hidden="1">
      <c r="A126" s="2695" t="s">
        <v>246</v>
      </c>
      <c r="B126" s="2695" t="s">
        <v>247</v>
      </c>
      <c r="C126" s="1281"/>
      <c r="D126" s="3279"/>
      <c r="E126" s="3028"/>
      <c r="F126" s="3200" t="str">
        <f>INDEX(PT_DIFFERENTIATION_VTAR,MATCH(A126,PT_DIFFERENTIATION_VTAR_ID,0))</f>
        <v>Тариф на транспортировку горячей воды</v>
      </c>
      <c r="G126" s="3240" t="str">
        <f>INDEX(PT_DIFFERENTIATION_NTAR,MATCH(B126,PT_DIFFERENTIATION_NTAR_ID,0))</f>
        <v/>
      </c>
      <c r="H126" s="2778"/>
      <c r="I126" s="2654"/>
      <c r="J126" s="2688"/>
      <c r="K126" s="2693"/>
      <c r="L126" s="2778" t="s">
        <v>297</v>
      </c>
      <c r="M126" s="1253"/>
      <c r="N126" s="1246"/>
      <c r="O126" s="2539"/>
      <c r="P126" s="2539"/>
    </row>
    <row s="40257" customFormat="1" customHeight="1" ht="18.75" hidden="1">
      <c r="A127" s="2695"/>
      <c r="B127" s="2695"/>
      <c r="C127" s="1281" t="s">
        <v>1121</v>
      </c>
      <c r="D127" s="3279"/>
      <c r="E127" s="3028"/>
      <c r="F127" s="3200"/>
      <c r="G127" s="3240"/>
      <c r="H127" s="2415"/>
      <c r="I127" s="1563" t="s">
        <v>1120</v>
      </c>
      <c r="J127" s="1483"/>
      <c r="K127" s="2415"/>
      <c r="L127" s="1126"/>
      <c r="M127" s="1253"/>
      <c r="N127" s="1246"/>
      <c r="O127" s="2539"/>
      <c r="P127" s="2539"/>
    </row>
    <row s="40257" customFormat="1" customHeight="1" ht="0.75" hidden="1">
      <c r="A128" s="2695"/>
      <c r="B128" s="2695"/>
      <c r="C128" s="1281" t="s">
        <v>1128</v>
      </c>
      <c r="D128" s="3279"/>
      <c r="E128" s="3028"/>
      <c r="F128" s="3200"/>
      <c r="G128" s="1312"/>
      <c r="H128" s="2415"/>
      <c r="I128" s="1563"/>
      <c r="J128" s="1483"/>
      <c r="K128" s="2415"/>
      <c r="L128" s="1126"/>
      <c r="M128" s="1253"/>
      <c r="N128" s="1246"/>
      <c r="O128" s="2539"/>
      <c r="P128" s="2539"/>
    </row>
    <row s="40257" customFormat="1" customHeight="1" ht="18.75" hidden="1">
      <c r="A129" s="2695" t="s">
        <v>251</v>
      </c>
      <c r="B129" s="2695" t="s">
        <v>252</v>
      </c>
      <c r="C129" s="1281"/>
      <c r="D129" s="3279"/>
      <c r="E129" s="3028"/>
      <c r="F129" s="3200" t="str">
        <f>INDEX(PT_DIFFERENTIATION_VTAR,MATCH(A129,PT_DIFFERENTIATION_VTAR_ID,0))</f>
        <v>Тариф на подключение (технологическое присоединение) к централизованной системе горячего водоснабжения</v>
      </c>
      <c r="G129" s="3240" t="str">
        <f>INDEX(PT_DIFFERENTIATION_NTAR,MATCH(B129,PT_DIFFERENTIATION_NTAR_ID,0))</f>
        <v/>
      </c>
      <c r="H129" s="2778"/>
      <c r="I129" s="2654"/>
      <c r="J129" s="2688"/>
      <c r="K129" s="2693"/>
      <c r="L129" s="2778" t="s">
        <v>297</v>
      </c>
      <c r="M129" s="1253"/>
      <c r="N129" s="1246"/>
      <c r="O129" s="2539"/>
      <c r="P129" s="2539"/>
    </row>
    <row s="40257" customFormat="1" customHeight="1" ht="18.75" hidden="1">
      <c r="A130" s="2695"/>
      <c r="B130" s="2695"/>
      <c r="C130" s="1281" t="s">
        <v>1121</v>
      </c>
      <c r="D130" s="3279"/>
      <c r="E130" s="3028"/>
      <c r="F130" s="3200"/>
      <c r="G130" s="3240"/>
      <c r="H130" s="2415"/>
      <c r="I130" s="1563" t="s">
        <v>1120</v>
      </c>
      <c r="J130" s="1483"/>
      <c r="K130" s="2415"/>
      <c r="L130" s="1126"/>
      <c r="M130" s="1253"/>
      <c r="N130" s="1246"/>
      <c r="O130" s="2539"/>
      <c r="P130" s="2539"/>
    </row>
    <row s="40257" customFormat="1" customHeight="1" ht="0.75" hidden="1">
      <c r="A131" s="2695"/>
      <c r="B131" s="2695"/>
      <c r="C131" s="1281" t="s">
        <v>1128</v>
      </c>
      <c r="D131" s="3279"/>
      <c r="E131" s="3028"/>
      <c r="F131" s="3200"/>
      <c r="G131" s="1312"/>
      <c r="H131" s="2415"/>
      <c r="I131" s="1563"/>
      <c r="J131" s="1483"/>
      <c r="K131" s="2415"/>
      <c r="L131" s="1126"/>
      <c r="M131" s="1253"/>
      <c r="N131" s="1246"/>
      <c r="O131" s="2539"/>
      <c r="P131" s="2539"/>
    </row>
    <row s="40257" customFormat="1" customHeight="1" ht="18.75" hidden="1">
      <c r="A132" s="2695" t="s">
        <v>256</v>
      </c>
      <c r="B132" s="2695" t="s">
        <v>257</v>
      </c>
      <c r="C132" s="1281"/>
      <c r="D132" s="3279"/>
      <c r="E132" s="3028"/>
      <c r="F132" s="3200" t="str">
        <f>INDEX(PT_DIFFERENTIATION_VTAR,MATCH(A132,PT_DIFFERENTIATION_VTAR_ID,0))</f>
        <v>Тариф на водоотведение</v>
      </c>
      <c r="G132" s="3240" t="str">
        <f>INDEX(PT_DIFFERENTIATION_NTAR,MATCH(B132,PT_DIFFERENTIATION_NTAR_ID,0))</f>
        <v/>
      </c>
      <c r="H132" s="2778"/>
      <c r="I132" s="2654"/>
      <c r="J132" s="2688"/>
      <c r="K132" s="2693"/>
      <c r="L132" s="2778" t="s">
        <v>297</v>
      </c>
      <c r="M132" s="1253"/>
      <c r="N132" s="1246"/>
      <c r="O132" s="2539"/>
      <c r="P132" s="2539"/>
    </row>
    <row s="40257" customFormat="1" customHeight="1" ht="18.75" hidden="1">
      <c r="A133" s="2695"/>
      <c r="B133" s="2695"/>
      <c r="C133" s="1281" t="s">
        <v>1121</v>
      </c>
      <c r="D133" s="3279"/>
      <c r="E133" s="3028"/>
      <c r="F133" s="3200"/>
      <c r="G133" s="3240"/>
      <c r="H133" s="2415"/>
      <c r="I133" s="1563" t="s">
        <v>1120</v>
      </c>
      <c r="J133" s="1483"/>
      <c r="K133" s="2415"/>
      <c r="L133" s="1126"/>
      <c r="M133" s="1253"/>
      <c r="N133" s="1246"/>
      <c r="O133" s="2539"/>
      <c r="P133" s="2539"/>
    </row>
    <row s="40257" customFormat="1" customHeight="1" ht="0.75" hidden="1">
      <c r="A134" s="2695"/>
      <c r="B134" s="2695"/>
      <c r="C134" s="1281" t="s">
        <v>1128</v>
      </c>
      <c r="D134" s="3279"/>
      <c r="E134" s="3028"/>
      <c r="F134" s="3200"/>
      <c r="G134" s="1312"/>
      <c r="H134" s="2415"/>
      <c r="I134" s="1563"/>
      <c r="J134" s="1483"/>
      <c r="K134" s="2415"/>
      <c r="L134" s="1126"/>
      <c r="M134" s="1253"/>
      <c r="N134" s="1246"/>
      <c r="O134" s="2539"/>
      <c r="P134" s="2539"/>
    </row>
    <row s="40257" customFormat="1" customHeight="1" ht="18.75" hidden="1">
      <c r="A135" s="2695" t="s">
        <v>261</v>
      </c>
      <c r="B135" s="2695" t="s">
        <v>262</v>
      </c>
      <c r="C135" s="1281"/>
      <c r="D135" s="3279"/>
      <c r="E135" s="3028"/>
      <c r="F135" s="3200" t="str">
        <f>INDEX(PT_DIFFERENTIATION_VTAR,MATCH(A135,PT_DIFFERENTIATION_VTAR_ID,0))</f>
        <v>Тариф на транспортировку сточных вод</v>
      </c>
      <c r="G135" s="3240" t="str">
        <f>INDEX(PT_DIFFERENTIATION_NTAR,MATCH(B135,PT_DIFFERENTIATION_NTAR_ID,0))</f>
        <v/>
      </c>
      <c r="H135" s="2778"/>
      <c r="I135" s="2654"/>
      <c r="J135" s="2688"/>
      <c r="K135" s="2693"/>
      <c r="L135" s="2778" t="s">
        <v>297</v>
      </c>
      <c r="M135" s="1253"/>
      <c r="N135" s="1246"/>
      <c r="O135" s="2539"/>
      <c r="P135" s="2539"/>
    </row>
    <row s="40257" customFormat="1" customHeight="1" ht="18.75" hidden="1">
      <c r="A136" s="2695"/>
      <c r="B136" s="2695"/>
      <c r="C136" s="1281" t="s">
        <v>1121</v>
      </c>
      <c r="D136" s="3279"/>
      <c r="E136" s="3028"/>
      <c r="F136" s="3200"/>
      <c r="G136" s="3240"/>
      <c r="H136" s="2415"/>
      <c r="I136" s="1563" t="s">
        <v>1120</v>
      </c>
      <c r="J136" s="1483"/>
      <c r="K136" s="2415"/>
      <c r="L136" s="1126"/>
      <c r="M136" s="1253"/>
      <c r="N136" s="1246"/>
      <c r="O136" s="2539"/>
      <c r="P136" s="2539"/>
    </row>
    <row s="40257" customFormat="1" customHeight="1" ht="0.75" hidden="1">
      <c r="A137" s="2695"/>
      <c r="B137" s="2695"/>
      <c r="C137" s="1281" t="s">
        <v>1128</v>
      </c>
      <c r="D137" s="3279"/>
      <c r="E137" s="3028"/>
      <c r="F137" s="3200"/>
      <c r="G137" s="1312"/>
      <c r="H137" s="2415"/>
      <c r="I137" s="1563"/>
      <c r="J137" s="1483"/>
      <c r="K137" s="2415"/>
      <c r="L137" s="1126"/>
      <c r="M137" s="1253"/>
      <c r="N137" s="1246"/>
      <c r="O137" s="2539"/>
      <c r="P137" s="2539"/>
    </row>
    <row s="40257" customFormat="1" customHeight="1" ht="18.75" hidden="1">
      <c r="A138" s="2695" t="s">
        <v>266</v>
      </c>
      <c r="B138" s="2695" t="s">
        <v>267</v>
      </c>
      <c r="C138" s="1281"/>
      <c r="D138" s="3279"/>
      <c r="E138" s="3028"/>
      <c r="F138" s="3200" t="str">
        <f>INDEX(PT_DIFFERENTIATION_VTAR,MATCH(A138,PT_DIFFERENTIATION_VTAR_ID,0))</f>
        <v>Тариф на подключение (технологическое присоединение) к централизованной системе водоотведения</v>
      </c>
      <c r="G138" s="3240" t="str">
        <f>INDEX(PT_DIFFERENTIATION_NTAR,MATCH(B138,PT_DIFFERENTIATION_NTAR_ID,0))</f>
        <v/>
      </c>
      <c r="H138" s="2778"/>
      <c r="I138" s="2654"/>
      <c r="J138" s="2688"/>
      <c r="K138" s="2693"/>
      <c r="L138" s="2778" t="s">
        <v>297</v>
      </c>
      <c r="M138" s="1253"/>
      <c r="N138" s="1246"/>
      <c r="O138" s="2539"/>
      <c r="P138" s="2539"/>
    </row>
    <row s="40257" customFormat="1" customHeight="1" ht="18.75" hidden="1">
      <c r="A139" s="2695"/>
      <c r="B139" s="2695"/>
      <c r="C139" s="1281" t="s">
        <v>1121</v>
      </c>
      <c r="D139" s="3279"/>
      <c r="E139" s="3028"/>
      <c r="F139" s="3200"/>
      <c r="G139" s="3240"/>
      <c r="H139" s="2415"/>
      <c r="I139" s="1563" t="s">
        <v>1120</v>
      </c>
      <c r="J139" s="1483"/>
      <c r="K139" s="2415"/>
      <c r="L139" s="1126"/>
      <c r="M139" s="1253"/>
      <c r="N139" s="1246"/>
      <c r="O139" s="2539"/>
      <c r="P139" s="2539"/>
    </row>
    <row s="40257" customFormat="1" customHeight="1" ht="0.75">
      <c r="A140" s="2695"/>
      <c r="B140" s="2695"/>
      <c r="C140" s="1281" t="s">
        <v>1128</v>
      </c>
      <c r="D140" s="3279"/>
      <c r="E140" s="3028"/>
      <c r="F140" s="3200"/>
      <c r="G140" s="1312"/>
      <c r="H140" s="2415"/>
      <c r="I140" s="1563"/>
      <c r="J140" s="1483"/>
      <c r="K140" s="2415"/>
      <c r="L140" s="1126"/>
      <c r="M140" s="1253"/>
      <c r="N140" s="1246"/>
      <c r="O140" s="2539"/>
      <c r="P140" s="2539"/>
    </row>
    <row customHeight="1" ht="18.75">
      <c r="A141" s="2695"/>
      <c r="B141" s="2695"/>
      <c r="D141" s="1288"/>
      <c r="E141" s="1060" t="s">
        <v>87</v>
      </c>
      <c r="F141" s="32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277"/>
      <c r="H141" s="3277"/>
      <c r="I141" s="3277"/>
      <c r="J141" s="3277"/>
      <c r="K141" s="3277"/>
      <c r="L141" s="3277"/>
      <c r="M141" s="1209"/>
      <c r="N141" s="1246"/>
    </row>
    <row s="40257" customFormat="1" customHeight="1" ht="60.75" hidden="1">
      <c r="A142" s="2695" t="s">
        <v>148</v>
      </c>
      <c r="B142" s="2695" t="s">
        <v>149</v>
      </c>
      <c r="C142" s="1281"/>
      <c r="D142" s="3279"/>
      <c r="E142" s="3028"/>
      <c r="F142" s="320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240" t="str">
        <f>INDEX(PT_DIFFERENTIATION_NTAR,MATCH(B142,PT_DIFFERENTIATION_NTAR_ID,0))</f>
        <v/>
      </c>
      <c r="H142" s="2778"/>
      <c r="I142" s="2654"/>
      <c r="J142" s="2688"/>
      <c r="K142" s="2693"/>
      <c r="L142" s="2778" t="s">
        <v>297</v>
      </c>
      <c r="M142"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1246"/>
      <c r="O142" s="2539"/>
      <c r="P142" s="2539"/>
    </row>
    <row s="40257" customFormat="1" customHeight="1" ht="18.75" hidden="1">
      <c r="A143" s="2695"/>
      <c r="B143" s="2695"/>
      <c r="C143" s="1281" t="s">
        <v>1121</v>
      </c>
      <c r="D143" s="3279"/>
      <c r="E143" s="3028"/>
      <c r="F143" s="3200"/>
      <c r="G143" s="3240"/>
      <c r="H143" s="2415"/>
      <c r="I143" s="1563" t="s">
        <v>1120</v>
      </c>
      <c r="J143" s="1483"/>
      <c r="K143" s="2415"/>
      <c r="L143" s="1126"/>
      <c r="M143" s="2994"/>
      <c r="N143" s="1246"/>
      <c r="O143" s="2539"/>
      <c r="P143" s="2539"/>
    </row>
    <row s="40257" customFormat="1" customHeight="1" ht="0.75" hidden="1">
      <c r="A144" s="2695"/>
      <c r="B144" s="2695"/>
      <c r="C144" s="1281" t="s">
        <v>1128</v>
      </c>
      <c r="D144" s="3279"/>
      <c r="E144" s="3028"/>
      <c r="F144" s="3200"/>
      <c r="G144" s="1312"/>
      <c r="H144" s="2415"/>
      <c r="I144" s="1563"/>
      <c r="J144" s="1483"/>
      <c r="K144" s="2415"/>
      <c r="L144" s="1126"/>
      <c r="M144" s="2994"/>
      <c r="N144" s="1246"/>
      <c r="O144" s="2539"/>
      <c r="P144" s="2539"/>
    </row>
    <row s="40257" customFormat="1" customHeight="1" ht="45" hidden="1">
      <c r="A145" s="2695" t="s">
        <v>154</v>
      </c>
      <c r="B145" s="2695" t="s">
        <v>155</v>
      </c>
      <c r="C145" s="1281"/>
      <c r="D145" s="3279"/>
      <c r="E145" s="3028"/>
      <c r="F145" s="320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240" t="str">
        <f>INDEX(PT_DIFFERENTIATION_NTAR,MATCH(B145,PT_DIFFERENTIATION_NTAR_ID,0))</f>
        <v/>
      </c>
      <c r="H145" s="2778"/>
      <c r="I145" s="2654"/>
      <c r="J145" s="2688"/>
      <c r="K145" s="2693"/>
      <c r="L145" s="2778" t="s">
        <v>297</v>
      </c>
      <c r="M145" s="2995"/>
      <c r="N145" s="1246"/>
      <c r="O145" s="2539"/>
      <c r="P145" s="2539"/>
    </row>
    <row s="40257" customFormat="1" customHeight="1" ht="18.75" hidden="1">
      <c r="A146" s="2695"/>
      <c r="B146" s="2695"/>
      <c r="C146" s="1281" t="s">
        <v>1121</v>
      </c>
      <c r="D146" s="3279"/>
      <c r="E146" s="3028"/>
      <c r="F146" s="3200"/>
      <c r="G146" s="3240"/>
      <c r="H146" s="2415"/>
      <c r="I146" s="1563" t="s">
        <v>1120</v>
      </c>
      <c r="J146" s="1483"/>
      <c r="K146" s="2415"/>
      <c r="L146" s="1126"/>
      <c r="M146" s="2777"/>
      <c r="N146" s="1246"/>
      <c r="O146" s="2539"/>
      <c r="P146" s="2539"/>
    </row>
    <row s="40257" customFormat="1" customHeight="1" ht="0.75" hidden="1">
      <c r="A147" s="2695"/>
      <c r="B147" s="2695"/>
      <c r="C147" s="1281" t="s">
        <v>1128</v>
      </c>
      <c r="D147" s="3279"/>
      <c r="E147" s="3028"/>
      <c r="F147" s="3200"/>
      <c r="G147" s="1312"/>
      <c r="H147" s="2415"/>
      <c r="I147" s="1563"/>
      <c r="J147" s="1483"/>
      <c r="K147" s="2415"/>
      <c r="L147" s="1126"/>
      <c r="M147" s="1253"/>
      <c r="N147" s="1246"/>
      <c r="O147" s="2539"/>
      <c r="P147" s="2539"/>
    </row>
    <row s="40257" customFormat="1" customHeight="1" ht="45" hidden="1">
      <c r="A148" s="2695" t="s">
        <v>160</v>
      </c>
      <c r="B148" s="2695" t="s">
        <v>161</v>
      </c>
      <c r="C148" s="1281"/>
      <c r="D148" s="3279"/>
      <c r="E148" s="3028"/>
      <c r="F148" s="320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240" t="str">
        <f>INDEX(PT_DIFFERENTIATION_NTAR,MATCH(B148,PT_DIFFERENTIATION_NTAR_ID,0))</f>
        <v/>
      </c>
      <c r="H148" s="2778"/>
      <c r="I148" s="2654"/>
      <c r="J148" s="2688"/>
      <c r="K148" s="2693"/>
      <c r="L148" s="2778" t="s">
        <v>297</v>
      </c>
      <c r="M148" s="1253"/>
      <c r="N148" s="1246"/>
      <c r="O148" s="2539"/>
      <c r="P148" s="2539"/>
    </row>
    <row s="40257" customFormat="1" customHeight="1" ht="18.75" hidden="1">
      <c r="A149" s="2695"/>
      <c r="B149" s="2695"/>
      <c r="C149" s="1281" t="s">
        <v>1121</v>
      </c>
      <c r="D149" s="3279"/>
      <c r="E149" s="3028"/>
      <c r="F149" s="3200"/>
      <c r="G149" s="3240"/>
      <c r="H149" s="2415"/>
      <c r="I149" s="1563" t="s">
        <v>1120</v>
      </c>
      <c r="J149" s="1483"/>
      <c r="K149" s="2415"/>
      <c r="L149" s="1126"/>
      <c r="M149" s="1253"/>
      <c r="N149" s="1246"/>
      <c r="O149" s="2539"/>
      <c r="P149" s="2539"/>
    </row>
    <row s="40257" customFormat="1" customHeight="1" ht="0.75" hidden="1">
      <c r="A150" s="2695"/>
      <c r="B150" s="2695"/>
      <c r="C150" s="1281" t="s">
        <v>1128</v>
      </c>
      <c r="D150" s="3279"/>
      <c r="E150" s="3028"/>
      <c r="F150" s="3200"/>
      <c r="G150" s="1312"/>
      <c r="H150" s="2415"/>
      <c r="I150" s="1563"/>
      <c r="J150" s="1483"/>
      <c r="K150" s="2415"/>
      <c r="L150" s="1126"/>
      <c r="M150" s="1253"/>
      <c r="N150" s="1246"/>
      <c r="O150" s="2539"/>
      <c r="P150" s="2539"/>
    </row>
    <row s="40257" customFormat="1" customHeight="1" ht="45" hidden="1">
      <c r="A151" s="2695" t="s">
        <v>166</v>
      </c>
      <c r="B151" s="2695" t="s">
        <v>167</v>
      </c>
      <c r="C151" s="1281"/>
      <c r="D151" s="3279"/>
      <c r="E151" s="3028"/>
      <c r="F151" s="320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240" t="str">
        <f>INDEX(PT_DIFFERENTIATION_NTAR,MATCH(B151,PT_DIFFERENTIATION_NTAR_ID,0))</f>
        <v/>
      </c>
      <c r="H151" s="2778"/>
      <c r="I151" s="2654"/>
      <c r="J151" s="2688"/>
      <c r="K151" s="2693"/>
      <c r="L151" s="2778" t="s">
        <v>297</v>
      </c>
      <c r="M151" s="1253"/>
      <c r="N151" s="1246"/>
      <c r="O151" s="2539"/>
      <c r="P151" s="2539"/>
    </row>
    <row s="40257" customFormat="1" customHeight="1" ht="18.75" hidden="1">
      <c r="A152" s="2695"/>
      <c r="B152" s="2695"/>
      <c r="C152" s="1281" t="s">
        <v>1121</v>
      </c>
      <c r="D152" s="3279"/>
      <c r="E152" s="3028"/>
      <c r="F152" s="3200"/>
      <c r="G152" s="3240"/>
      <c r="H152" s="2415"/>
      <c r="I152" s="1563" t="s">
        <v>1120</v>
      </c>
      <c r="J152" s="1483"/>
      <c r="K152" s="2415"/>
      <c r="L152" s="1126"/>
      <c r="M152" s="1253"/>
      <c r="N152" s="1246"/>
      <c r="O152" s="2539"/>
      <c r="P152" s="2539"/>
    </row>
    <row s="40257" customFormat="1" customHeight="1" ht="0.75" hidden="1">
      <c r="A153" s="2695"/>
      <c r="B153" s="2695"/>
      <c r="C153" s="1281" t="s">
        <v>1128</v>
      </c>
      <c r="D153" s="3279"/>
      <c r="E153" s="3028"/>
      <c r="F153" s="3200"/>
      <c r="G153" s="1312"/>
      <c r="H153" s="2415"/>
      <c r="I153" s="1563"/>
      <c r="J153" s="1483"/>
      <c r="K153" s="2415"/>
      <c r="L153" s="1126"/>
      <c r="M153" s="1253"/>
      <c r="N153" s="1246"/>
      <c r="O153" s="2539"/>
      <c r="P153" s="2539"/>
    </row>
    <row s="40257" customFormat="1" customHeight="1" ht="18.75" hidden="1">
      <c r="A154" s="2695" t="s">
        <v>172</v>
      </c>
      <c r="B154" s="2695" t="s">
        <v>173</v>
      </c>
      <c r="C154" s="1281"/>
      <c r="D154" s="3279"/>
      <c r="E154" s="3028"/>
      <c r="F154" s="3200" t="str">
        <f>INDEX(PT_DIFFERENTIATION_VTAR,MATCH(A154,PT_DIFFERENTIATION_VTAR_ID,0))</f>
        <v>Тарифы на услуги по передаче тепловой энергии</v>
      </c>
      <c r="G154" s="3240" t="str">
        <f>INDEX(PT_DIFFERENTIATION_NTAR,MATCH(B154,PT_DIFFERENTIATION_NTAR_ID,0))</f>
        <v/>
      </c>
      <c r="H154" s="2778"/>
      <c r="I154" s="2654"/>
      <c r="J154" s="2688"/>
      <c r="K154" s="2693"/>
      <c r="L154" s="2778" t="s">
        <v>297</v>
      </c>
      <c r="M154" s="1253"/>
      <c r="N154" s="1246"/>
      <c r="O154" s="2539"/>
      <c r="P154" s="2539"/>
    </row>
    <row s="40257" customFormat="1" customHeight="1" ht="18.75" hidden="1">
      <c r="A155" s="2695"/>
      <c r="B155" s="2695"/>
      <c r="C155" s="1281" t="s">
        <v>1121</v>
      </c>
      <c r="D155" s="3279"/>
      <c r="E155" s="3028"/>
      <c r="F155" s="3200"/>
      <c r="G155" s="3240"/>
      <c r="H155" s="2415"/>
      <c r="I155" s="1563" t="s">
        <v>1120</v>
      </c>
      <c r="J155" s="1483"/>
      <c r="K155" s="2415"/>
      <c r="L155" s="1126"/>
      <c r="M155" s="1253"/>
      <c r="N155" s="1246"/>
      <c r="O155" s="2539"/>
      <c r="P155" s="2539"/>
    </row>
    <row s="40257" customFormat="1" customHeight="1" ht="0.75" hidden="1">
      <c r="A156" s="2695"/>
      <c r="B156" s="2695"/>
      <c r="C156" s="1281" t="s">
        <v>1128</v>
      </c>
      <c r="D156" s="3279"/>
      <c r="E156" s="3028"/>
      <c r="F156" s="3200"/>
      <c r="G156" s="1312"/>
      <c r="H156" s="2415"/>
      <c r="I156" s="1563"/>
      <c r="J156" s="1483"/>
      <c r="K156" s="2415"/>
      <c r="L156" s="1126"/>
      <c r="M156" s="1253"/>
      <c r="N156" s="1246"/>
      <c r="O156" s="2539"/>
      <c r="P156" s="2539"/>
    </row>
    <row s="40257" customFormat="1" customHeight="1" ht="18.75" hidden="1">
      <c r="A157" s="2695" t="s">
        <v>178</v>
      </c>
      <c r="B157" s="2695" t="s">
        <v>179</v>
      </c>
      <c r="C157" s="1281"/>
      <c r="D157" s="3279"/>
      <c r="E157" s="3028"/>
      <c r="F157" s="3200" t="str">
        <f>INDEX(PT_DIFFERENTIATION_VTAR,MATCH(A157,PT_DIFFERENTIATION_VTAR_ID,0))</f>
        <v>Тарифы на услуги по передаче теплоносителя</v>
      </c>
      <c r="G157" s="3240" t="str">
        <f>INDEX(PT_DIFFERENTIATION_NTAR,MATCH(B157,PT_DIFFERENTIATION_NTAR_ID,0))</f>
        <v/>
      </c>
      <c r="H157" s="2778"/>
      <c r="I157" s="2654"/>
      <c r="J157" s="2688"/>
      <c r="K157" s="2693"/>
      <c r="L157" s="2778" t="s">
        <v>297</v>
      </c>
      <c r="M157" s="1253"/>
      <c r="N157" s="1246"/>
      <c r="O157" s="2539"/>
      <c r="P157" s="2539"/>
    </row>
    <row s="40257" customFormat="1" customHeight="1" ht="18.75" hidden="1">
      <c r="A158" s="2695"/>
      <c r="B158" s="2695"/>
      <c r="C158" s="1281" t="s">
        <v>1121</v>
      </c>
      <c r="D158" s="3279"/>
      <c r="E158" s="3028"/>
      <c r="F158" s="3200"/>
      <c r="G158" s="3240"/>
      <c r="H158" s="2415"/>
      <c r="I158" s="1563" t="s">
        <v>1120</v>
      </c>
      <c r="J158" s="1483"/>
      <c r="K158" s="2415"/>
      <c r="L158" s="1126"/>
      <c r="M158" s="1253"/>
      <c r="N158" s="1246"/>
      <c r="O158" s="2539"/>
      <c r="P158" s="2539"/>
    </row>
    <row s="40257" customFormat="1" customHeight="1" ht="0.75" hidden="1">
      <c r="A159" s="2695"/>
      <c r="B159" s="2695"/>
      <c r="C159" s="1281" t="s">
        <v>1128</v>
      </c>
      <c r="D159" s="3279"/>
      <c r="E159" s="3028"/>
      <c r="F159" s="3200"/>
      <c r="G159" s="1312"/>
      <c r="H159" s="2415"/>
      <c r="I159" s="1563"/>
      <c r="J159" s="1483"/>
      <c r="K159" s="2415"/>
      <c r="L159" s="1126"/>
      <c r="M159" s="1253"/>
      <c r="N159" s="1246"/>
      <c r="O159" s="2539"/>
      <c r="P159" s="2539"/>
    </row>
    <row s="40257" customFormat="1" customHeight="1" ht="18.75" hidden="1">
      <c r="A160" s="2695" t="s">
        <v>184</v>
      </c>
      <c r="B160" s="2695" t="s">
        <v>185</v>
      </c>
      <c r="C160" s="1281"/>
      <c r="D160" s="3279"/>
      <c r="E160" s="3028"/>
      <c r="F160" s="320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240" t="str">
        <f>INDEX(PT_DIFFERENTIATION_NTAR,MATCH(B160,PT_DIFFERENTIATION_NTAR_ID,0))</f>
        <v/>
      </c>
      <c r="H160" s="2778"/>
      <c r="I160" s="2654"/>
      <c r="J160" s="2688"/>
      <c r="K160" s="2693"/>
      <c r="L160" s="2778" t="s">
        <v>297</v>
      </c>
      <c r="M160" s="1253"/>
      <c r="N160" s="1246"/>
      <c r="O160" s="2539"/>
      <c r="P160" s="2539"/>
    </row>
    <row s="40257" customFormat="1" customHeight="1" ht="18.75" hidden="1">
      <c r="A161" s="2695"/>
      <c r="B161" s="2695"/>
      <c r="C161" s="1281" t="s">
        <v>1121</v>
      </c>
      <c r="D161" s="3279"/>
      <c r="E161" s="3028"/>
      <c r="F161" s="3200"/>
      <c r="G161" s="3240"/>
      <c r="H161" s="2415"/>
      <c r="I161" s="1563" t="s">
        <v>1120</v>
      </c>
      <c r="J161" s="1483"/>
      <c r="K161" s="2415"/>
      <c r="L161" s="1126"/>
      <c r="M161" s="1253"/>
      <c r="N161" s="1246"/>
      <c r="O161" s="2539"/>
      <c r="P161" s="2539"/>
    </row>
    <row s="40257" customFormat="1" customHeight="1" ht="0.75" hidden="1">
      <c r="A162" s="2695"/>
      <c r="B162" s="2695"/>
      <c r="C162" s="1281" t="s">
        <v>1128</v>
      </c>
      <c r="D162" s="3279"/>
      <c r="E162" s="3028"/>
      <c r="F162" s="3200"/>
      <c r="G162" s="1312"/>
      <c r="H162" s="2415"/>
      <c r="I162" s="1563"/>
      <c r="J162" s="1483"/>
      <c r="K162" s="2415"/>
      <c r="L162" s="1126"/>
      <c r="M162" s="1253"/>
      <c r="N162" s="1246"/>
      <c r="O162" s="2539"/>
      <c r="P162" s="2539"/>
    </row>
    <row s="40257" customFormat="1" customHeight="1" ht="18.75" hidden="1">
      <c r="A163" s="2695" t="s">
        <v>190</v>
      </c>
      <c r="B163" s="2695" t="s">
        <v>191</v>
      </c>
      <c r="C163" s="1281"/>
      <c r="D163" s="3279"/>
      <c r="E163" s="3028"/>
      <c r="F163" s="3200" t="str">
        <f>INDEX(PT_DIFFERENTIATION_VTAR,MATCH(A163,PT_DIFFERENTIATION_VTAR_ID,0))</f>
        <v>Плата за подключение (технологическое присоединение) к системе теплоснабжения</v>
      </c>
      <c r="G163" s="3240" t="str">
        <f>INDEX(PT_DIFFERENTIATION_NTAR,MATCH(B163,PT_DIFFERENTIATION_NTAR_ID,0))</f>
        <v/>
      </c>
      <c r="H163" s="2778"/>
      <c r="I163" s="2654"/>
      <c r="J163" s="2688"/>
      <c r="K163" s="2693"/>
      <c r="L163" s="2778" t="s">
        <v>297</v>
      </c>
      <c r="M163" s="1253"/>
      <c r="N163" s="1246"/>
      <c r="O163" s="2539"/>
      <c r="P163" s="2539"/>
    </row>
    <row s="40257" customFormat="1" customHeight="1" ht="18.75" hidden="1">
      <c r="A164" s="2695"/>
      <c r="B164" s="2695"/>
      <c r="C164" s="1281" t="s">
        <v>1121</v>
      </c>
      <c r="D164" s="3279"/>
      <c r="E164" s="3028"/>
      <c r="F164" s="3200"/>
      <c r="G164" s="3240"/>
      <c r="H164" s="2415"/>
      <c r="I164" s="1563" t="s">
        <v>1120</v>
      </c>
      <c r="J164" s="1483"/>
      <c r="K164" s="2415"/>
      <c r="L164" s="1126"/>
      <c r="M164" s="1253"/>
      <c r="N164" s="1246"/>
      <c r="O164" s="2539"/>
      <c r="P164" s="2539"/>
    </row>
    <row s="40257" customFormat="1" customHeight="1" ht="0.75" hidden="1">
      <c r="A165" s="2695"/>
      <c r="B165" s="2695"/>
      <c r="C165" s="1281" t="s">
        <v>1128</v>
      </c>
      <c r="D165" s="3279"/>
      <c r="E165" s="3028"/>
      <c r="F165" s="3200"/>
      <c r="G165" s="1312"/>
      <c r="H165" s="2415"/>
      <c r="I165" s="1563"/>
      <c r="J165" s="1483"/>
      <c r="K165" s="2415"/>
      <c r="L165" s="1126"/>
      <c r="M165" s="1253"/>
      <c r="N165" s="1246"/>
      <c r="O165" s="2539"/>
      <c r="P165" s="2539"/>
    </row>
    <row s="40257" customFormat="1" customHeight="1" ht="18.75" hidden="1">
      <c r="A166" s="2695" t="s">
        <v>216</v>
      </c>
      <c r="B166" s="2695" t="s">
        <v>217</v>
      </c>
      <c r="C166" s="1281"/>
      <c r="D166" s="3279"/>
      <c r="E166" s="3028"/>
      <c r="F166" s="3200" t="str">
        <f>INDEX(PT_DIFFERENTIATION_VTAR,MATCH(A166,PT_DIFFERENTIATION_VTAR_ID,0))</f>
        <v>Тариф на питьевую воду (питьевое водоснабжение)</v>
      </c>
      <c r="G166" s="3240" t="str">
        <f>INDEX(PT_DIFFERENTIATION_NTAR,MATCH(B166,PT_DIFFERENTIATION_NTAR_ID,0))</f>
        <v/>
      </c>
      <c r="H166" s="2778"/>
      <c r="I166" s="2654"/>
      <c r="J166" s="2688"/>
      <c r="K166" s="2693"/>
      <c r="L166" s="2778" t="s">
        <v>297</v>
      </c>
      <c r="M166" s="1253"/>
      <c r="N166" s="1246"/>
      <c r="O166" s="2539"/>
      <c r="P166" s="2539"/>
    </row>
    <row s="40257" customFormat="1" customHeight="1" ht="18.75" hidden="1">
      <c r="A167" s="2695"/>
      <c r="B167" s="2695"/>
      <c r="C167" s="1281" t="s">
        <v>1121</v>
      </c>
      <c r="D167" s="3279"/>
      <c r="E167" s="3028"/>
      <c r="F167" s="3200"/>
      <c r="G167" s="3240"/>
      <c r="H167" s="2415"/>
      <c r="I167" s="1563" t="s">
        <v>1120</v>
      </c>
      <c r="J167" s="1483"/>
      <c r="K167" s="2415"/>
      <c r="L167" s="1126"/>
      <c r="M167" s="1253"/>
      <c r="N167" s="1246"/>
      <c r="O167" s="2539"/>
      <c r="P167" s="2539"/>
    </row>
    <row s="40257" customFormat="1" customHeight="1" ht="0.75" hidden="1">
      <c r="A168" s="2695"/>
      <c r="B168" s="2695"/>
      <c r="C168" s="1281" t="s">
        <v>1128</v>
      </c>
      <c r="D168" s="3279"/>
      <c r="E168" s="3028"/>
      <c r="F168" s="3200"/>
      <c r="G168" s="1312"/>
      <c r="H168" s="2415"/>
      <c r="I168" s="1563"/>
      <c r="J168" s="1483"/>
      <c r="K168" s="2415"/>
      <c r="L168" s="1126"/>
      <c r="M168" s="1253"/>
      <c r="N168" s="1246"/>
      <c r="O168" s="2539"/>
      <c r="P168" s="2539"/>
    </row>
    <row s="40257" customFormat="1" customHeight="1" ht="18.75" hidden="1">
      <c r="A169" s="2695" t="s">
        <v>221</v>
      </c>
      <c r="B169" s="2695" t="s">
        <v>222</v>
      </c>
      <c r="C169" s="1281"/>
      <c r="D169" s="3279"/>
      <c r="E169" s="3028"/>
      <c r="F169" s="3200" t="str">
        <f>INDEX(PT_DIFFERENTIATION_VTAR,MATCH(A169,PT_DIFFERENTIATION_VTAR_ID,0))</f>
        <v>Тариф на техническую воду</v>
      </c>
      <c r="G169" s="3240" t="str">
        <f>INDEX(PT_DIFFERENTIATION_NTAR,MATCH(B169,PT_DIFFERENTIATION_NTAR_ID,0))</f>
        <v/>
      </c>
      <c r="H169" s="2778"/>
      <c r="I169" s="2654"/>
      <c r="J169" s="2688"/>
      <c r="K169" s="2693"/>
      <c r="L169" s="2778" t="s">
        <v>297</v>
      </c>
      <c r="M169" s="1253"/>
      <c r="N169" s="1246"/>
      <c r="O169" s="2539"/>
      <c r="P169" s="2539"/>
    </row>
    <row s="40257" customFormat="1" customHeight="1" ht="18.75" hidden="1">
      <c r="A170" s="2695"/>
      <c r="B170" s="2695"/>
      <c r="C170" s="1281" t="s">
        <v>1121</v>
      </c>
      <c r="D170" s="3279"/>
      <c r="E170" s="3028"/>
      <c r="F170" s="3200"/>
      <c r="G170" s="3240"/>
      <c r="H170" s="2415"/>
      <c r="I170" s="1563" t="s">
        <v>1120</v>
      </c>
      <c r="J170" s="1483"/>
      <c r="K170" s="2415"/>
      <c r="L170" s="1126"/>
      <c r="M170" s="1253"/>
      <c r="N170" s="1246"/>
      <c r="O170" s="2539"/>
      <c r="P170" s="2539"/>
    </row>
    <row s="40257" customFormat="1" customHeight="1" ht="0.75" hidden="1">
      <c r="A171" s="2695"/>
      <c r="B171" s="2695"/>
      <c r="C171" s="1281" t="s">
        <v>1128</v>
      </c>
      <c r="D171" s="3279"/>
      <c r="E171" s="3028"/>
      <c r="F171" s="3200"/>
      <c r="G171" s="1312"/>
      <c r="H171" s="2415"/>
      <c r="I171" s="1563"/>
      <c r="J171" s="1483"/>
      <c r="K171" s="2415"/>
      <c r="L171" s="1126"/>
      <c r="M171" s="1253"/>
      <c r="N171" s="1246"/>
      <c r="O171" s="2539"/>
      <c r="P171" s="2539"/>
    </row>
    <row s="40257" customFormat="1" customHeight="1" ht="18.75" hidden="1">
      <c r="A172" s="2695" t="s">
        <v>226</v>
      </c>
      <c r="B172" s="2695" t="s">
        <v>227</v>
      </c>
      <c r="C172" s="1281"/>
      <c r="D172" s="3279"/>
      <c r="E172" s="3028"/>
      <c r="F172" s="3200" t="str">
        <f>INDEX(PT_DIFFERENTIATION_VTAR,MATCH(A172,PT_DIFFERENTIATION_VTAR_ID,0))</f>
        <v>Тариф на транспортировку воды</v>
      </c>
      <c r="G172" s="3240" t="str">
        <f>INDEX(PT_DIFFERENTIATION_NTAR,MATCH(B172,PT_DIFFERENTIATION_NTAR_ID,0))</f>
        <v/>
      </c>
      <c r="H172" s="2778"/>
      <c r="I172" s="2654"/>
      <c r="J172" s="2688"/>
      <c r="K172" s="2693"/>
      <c r="L172" s="2778" t="s">
        <v>297</v>
      </c>
      <c r="M172" s="1253"/>
      <c r="N172" s="1246"/>
      <c r="O172" s="2539"/>
      <c r="P172" s="2539"/>
    </row>
    <row s="40257" customFormat="1" customHeight="1" ht="18.75" hidden="1">
      <c r="A173" s="2695"/>
      <c r="B173" s="2695"/>
      <c r="C173" s="1281" t="s">
        <v>1121</v>
      </c>
      <c r="D173" s="3279"/>
      <c r="E173" s="3028"/>
      <c r="F173" s="3200"/>
      <c r="G173" s="3240"/>
      <c r="H173" s="2415"/>
      <c r="I173" s="1563" t="s">
        <v>1120</v>
      </c>
      <c r="J173" s="1483"/>
      <c r="K173" s="2415"/>
      <c r="L173" s="1126"/>
      <c r="M173" s="1253"/>
      <c r="N173" s="1246"/>
      <c r="O173" s="2539"/>
      <c r="P173" s="2539"/>
    </row>
    <row s="40257" customFormat="1" customHeight="1" ht="0.75" hidden="1">
      <c r="A174" s="2695"/>
      <c r="B174" s="2695"/>
      <c r="C174" s="1281" t="s">
        <v>1128</v>
      </c>
      <c r="D174" s="3279"/>
      <c r="E174" s="3028"/>
      <c r="F174" s="3200"/>
      <c r="G174" s="1312"/>
      <c r="H174" s="2415"/>
      <c r="I174" s="1563"/>
      <c r="J174" s="1483"/>
      <c r="K174" s="2415"/>
      <c r="L174" s="1126"/>
      <c r="M174" s="1253"/>
      <c r="N174" s="1246"/>
      <c r="O174" s="2539"/>
      <c r="P174" s="2539"/>
    </row>
    <row s="40257" customFormat="1" customHeight="1" ht="18.75" hidden="1">
      <c r="A175" s="2695" t="s">
        <v>231</v>
      </c>
      <c r="B175" s="2695" t="s">
        <v>232</v>
      </c>
      <c r="C175" s="1281"/>
      <c r="D175" s="3279"/>
      <c r="E175" s="3028"/>
      <c r="F175" s="3200" t="str">
        <f>INDEX(PT_DIFFERENTIATION_VTAR,MATCH(A175,PT_DIFFERENTIATION_VTAR_ID,0))</f>
        <v>Тариф на подвоз воды</v>
      </c>
      <c r="G175" s="3240" t="str">
        <f>INDEX(PT_DIFFERENTIATION_NTAR,MATCH(B175,PT_DIFFERENTIATION_NTAR_ID,0))</f>
        <v/>
      </c>
      <c r="H175" s="2778"/>
      <c r="I175" s="2654"/>
      <c r="J175" s="2688"/>
      <c r="K175" s="2693"/>
      <c r="L175" s="2778" t="s">
        <v>297</v>
      </c>
      <c r="M175" s="1253"/>
      <c r="N175" s="1246"/>
      <c r="O175" s="2539"/>
      <c r="P175" s="2539"/>
    </row>
    <row s="40257" customFormat="1" customHeight="1" ht="18.75" hidden="1">
      <c r="A176" s="2695"/>
      <c r="B176" s="2695"/>
      <c r="C176" s="1281" t="s">
        <v>1121</v>
      </c>
      <c r="D176" s="3279"/>
      <c r="E176" s="3028"/>
      <c r="F176" s="3200"/>
      <c r="G176" s="3240"/>
      <c r="H176" s="2415"/>
      <c r="I176" s="1563" t="s">
        <v>1120</v>
      </c>
      <c r="J176" s="1483"/>
      <c r="K176" s="2415"/>
      <c r="L176" s="1126"/>
      <c r="M176" s="1253"/>
      <c r="N176" s="1246"/>
      <c r="O176" s="2539"/>
      <c r="P176" s="2539"/>
    </row>
    <row s="40257" customFormat="1" customHeight="1" ht="0.75" hidden="1">
      <c r="A177" s="2695"/>
      <c r="B177" s="2695"/>
      <c r="C177" s="1281" t="s">
        <v>1128</v>
      </c>
      <c r="D177" s="3279"/>
      <c r="E177" s="3028"/>
      <c r="F177" s="3200"/>
      <c r="G177" s="1312"/>
      <c r="H177" s="2415"/>
      <c r="I177" s="1563"/>
      <c r="J177" s="1483"/>
      <c r="K177" s="2415"/>
      <c r="L177" s="1126"/>
      <c r="M177" s="1253"/>
      <c r="N177" s="1246"/>
      <c r="O177" s="2539"/>
      <c r="P177" s="2539"/>
    </row>
    <row s="40257" customFormat="1" customHeight="1" ht="18.75" hidden="1">
      <c r="A178" s="2695" t="s">
        <v>236</v>
      </c>
      <c r="B178" s="2695" t="s">
        <v>237</v>
      </c>
      <c r="C178" s="1281"/>
      <c r="D178" s="3279"/>
      <c r="E178" s="3028"/>
      <c r="F178" s="320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240" t="str">
        <f>INDEX(PT_DIFFERENTIATION_NTAR,MATCH(B178,PT_DIFFERENTIATION_NTAR_ID,0))</f>
        <v/>
      </c>
      <c r="H178" s="2778"/>
      <c r="I178" s="2654"/>
      <c r="J178" s="2688"/>
      <c r="K178" s="2693"/>
      <c r="L178" s="2778" t="s">
        <v>297</v>
      </c>
      <c r="M178" s="1253"/>
      <c r="N178" s="1246"/>
      <c r="O178" s="2539"/>
      <c r="P178" s="2539"/>
    </row>
    <row s="40257" customFormat="1" customHeight="1" ht="18.75" hidden="1">
      <c r="A179" s="2695"/>
      <c r="B179" s="2695"/>
      <c r="C179" s="1281" t="s">
        <v>1121</v>
      </c>
      <c r="D179" s="3279"/>
      <c r="E179" s="3028"/>
      <c r="F179" s="3200"/>
      <c r="G179" s="3240"/>
      <c r="H179" s="2415"/>
      <c r="I179" s="1563" t="s">
        <v>1120</v>
      </c>
      <c r="J179" s="1483"/>
      <c r="K179" s="2415"/>
      <c r="L179" s="1126"/>
      <c r="M179" s="1253"/>
      <c r="N179" s="1246"/>
      <c r="O179" s="2539"/>
      <c r="P179" s="2539"/>
    </row>
    <row s="40257" customFormat="1" customHeight="1" ht="0.75" hidden="1">
      <c r="A180" s="2695"/>
      <c r="B180" s="2695"/>
      <c r="C180" s="1281" t="s">
        <v>1128</v>
      </c>
      <c r="D180" s="3279"/>
      <c r="E180" s="3028"/>
      <c r="F180" s="3200"/>
      <c r="G180" s="1312"/>
      <c r="H180" s="2415"/>
      <c r="I180" s="1563"/>
      <c r="J180" s="1483"/>
      <c r="K180" s="2415"/>
      <c r="L180" s="1126"/>
      <c r="M180" s="1253"/>
      <c r="N180" s="1246"/>
      <c r="O180" s="2539"/>
      <c r="P180" s="2539"/>
    </row>
    <row s="40257" customFormat="1" customHeight="1" ht="18.75" hidden="1">
      <c r="A181" s="2695" t="s">
        <v>241</v>
      </c>
      <c r="B181" s="2695" t="s">
        <v>242</v>
      </c>
      <c r="C181" s="1281"/>
      <c r="D181" s="3279"/>
      <c r="E181" s="3028"/>
      <c r="F181" s="3200" t="str">
        <f>INDEX(PT_DIFFERENTIATION_VTAR,MATCH(A181,PT_DIFFERENTIATION_VTAR_ID,0))</f>
        <v>Тариф на горячую воду (горячее водоснабжение)</v>
      </c>
      <c r="G181" s="3240" t="str">
        <f>INDEX(PT_DIFFERENTIATION_NTAR,MATCH(B181,PT_DIFFERENTIATION_NTAR_ID,0))</f>
        <v/>
      </c>
      <c r="H181" s="2778"/>
      <c r="I181" s="2654"/>
      <c r="J181" s="2688"/>
      <c r="K181" s="2693"/>
      <c r="L181" s="2778" t="s">
        <v>297</v>
      </c>
      <c r="M181" s="1253"/>
      <c r="N181" s="1246"/>
      <c r="O181" s="2539"/>
      <c r="P181" s="2539"/>
    </row>
    <row s="40257" customFormat="1" customHeight="1" ht="18.75" hidden="1">
      <c r="A182" s="2695"/>
      <c r="B182" s="2695"/>
      <c r="C182" s="1281" t="s">
        <v>1121</v>
      </c>
      <c r="D182" s="3279"/>
      <c r="E182" s="3028"/>
      <c r="F182" s="3200"/>
      <c r="G182" s="3240"/>
      <c r="H182" s="2415"/>
      <c r="I182" s="1563" t="s">
        <v>1120</v>
      </c>
      <c r="J182" s="1483"/>
      <c r="K182" s="2415"/>
      <c r="L182" s="1126"/>
      <c r="M182" s="1253"/>
      <c r="N182" s="1246"/>
      <c r="O182" s="2539"/>
      <c r="P182" s="2539"/>
    </row>
    <row s="40257" customFormat="1" customHeight="1" ht="0.75" hidden="1">
      <c r="A183" s="2695"/>
      <c r="B183" s="2695"/>
      <c r="C183" s="1281" t="s">
        <v>1128</v>
      </c>
      <c r="D183" s="3279"/>
      <c r="E183" s="3028"/>
      <c r="F183" s="3200"/>
      <c r="G183" s="1312"/>
      <c r="H183" s="2415"/>
      <c r="I183" s="1563"/>
      <c r="J183" s="1483"/>
      <c r="K183" s="2415"/>
      <c r="L183" s="1126"/>
      <c r="M183" s="1253"/>
      <c r="N183" s="1246"/>
      <c r="O183" s="2539"/>
      <c r="P183" s="2539"/>
    </row>
    <row s="40257" customFormat="1" customHeight="1" ht="18.75" hidden="1">
      <c r="A184" s="2695" t="s">
        <v>246</v>
      </c>
      <c r="B184" s="2695" t="s">
        <v>247</v>
      </c>
      <c r="C184" s="1281"/>
      <c r="D184" s="3279"/>
      <c r="E184" s="3028"/>
      <c r="F184" s="3200" t="str">
        <f>INDEX(PT_DIFFERENTIATION_VTAR,MATCH(A184,PT_DIFFERENTIATION_VTAR_ID,0))</f>
        <v>Тариф на транспортировку горячей воды</v>
      </c>
      <c r="G184" s="3240" t="str">
        <f>INDEX(PT_DIFFERENTIATION_NTAR,MATCH(B184,PT_DIFFERENTIATION_NTAR_ID,0))</f>
        <v/>
      </c>
      <c r="H184" s="2778"/>
      <c r="I184" s="2654"/>
      <c r="J184" s="2688"/>
      <c r="K184" s="2693"/>
      <c r="L184" s="2778" t="s">
        <v>297</v>
      </c>
      <c r="M184" s="1253"/>
      <c r="N184" s="1246"/>
      <c r="O184" s="2539"/>
      <c r="P184" s="2539"/>
    </row>
    <row s="40257" customFormat="1" customHeight="1" ht="18.75" hidden="1">
      <c r="A185" s="2695"/>
      <c r="B185" s="2695"/>
      <c r="C185" s="1281" t="s">
        <v>1121</v>
      </c>
      <c r="D185" s="3279"/>
      <c r="E185" s="3028"/>
      <c r="F185" s="3200"/>
      <c r="G185" s="3240"/>
      <c r="H185" s="2415"/>
      <c r="I185" s="1563" t="s">
        <v>1120</v>
      </c>
      <c r="J185" s="1483"/>
      <c r="K185" s="2415"/>
      <c r="L185" s="1126"/>
      <c r="M185" s="1253"/>
      <c r="N185" s="1246"/>
      <c r="O185" s="2539"/>
      <c r="P185" s="2539"/>
    </row>
    <row s="40257" customFormat="1" customHeight="1" ht="0.75" hidden="1">
      <c r="A186" s="2695"/>
      <c r="B186" s="2695"/>
      <c r="C186" s="1281" t="s">
        <v>1128</v>
      </c>
      <c r="D186" s="3279"/>
      <c r="E186" s="3028"/>
      <c r="F186" s="3200"/>
      <c r="G186" s="1312"/>
      <c r="H186" s="2415"/>
      <c r="I186" s="1563"/>
      <c r="J186" s="1483"/>
      <c r="K186" s="2415"/>
      <c r="L186" s="1126"/>
      <c r="M186" s="1253"/>
      <c r="N186" s="1246"/>
      <c r="O186" s="2539"/>
      <c r="P186" s="2539"/>
    </row>
    <row s="40257" customFormat="1" customHeight="1" ht="18.75" hidden="1">
      <c r="A187" s="2695" t="s">
        <v>251</v>
      </c>
      <c r="B187" s="2695" t="s">
        <v>252</v>
      </c>
      <c r="C187" s="1281"/>
      <c r="D187" s="3279"/>
      <c r="E187" s="3028"/>
      <c r="F187" s="3200" t="str">
        <f>INDEX(PT_DIFFERENTIATION_VTAR,MATCH(A187,PT_DIFFERENTIATION_VTAR_ID,0))</f>
        <v>Тариф на подключение (технологическое присоединение) к централизованной системе горячего водоснабжения</v>
      </c>
      <c r="G187" s="3240" t="str">
        <f>INDEX(PT_DIFFERENTIATION_NTAR,MATCH(B187,PT_DIFFERENTIATION_NTAR_ID,0))</f>
        <v/>
      </c>
      <c r="H187" s="2778"/>
      <c r="I187" s="2654"/>
      <c r="J187" s="2688"/>
      <c r="K187" s="2693"/>
      <c r="L187" s="2778" t="s">
        <v>297</v>
      </c>
      <c r="M187" s="1253"/>
      <c r="N187" s="1246"/>
      <c r="O187" s="2539"/>
      <c r="P187" s="2539"/>
    </row>
    <row s="40257" customFormat="1" customHeight="1" ht="18.75" hidden="1">
      <c r="A188" s="2695"/>
      <c r="B188" s="2695"/>
      <c r="C188" s="1281" t="s">
        <v>1121</v>
      </c>
      <c r="D188" s="3279"/>
      <c r="E188" s="3028"/>
      <c r="F188" s="3200"/>
      <c r="G188" s="3240"/>
      <c r="H188" s="2415"/>
      <c r="I188" s="1563" t="s">
        <v>1120</v>
      </c>
      <c r="J188" s="1483"/>
      <c r="K188" s="2415"/>
      <c r="L188" s="1126"/>
      <c r="M188" s="1253"/>
      <c r="N188" s="1246"/>
      <c r="O188" s="2539"/>
      <c r="P188" s="2539"/>
    </row>
    <row s="40257" customFormat="1" customHeight="1" ht="0.75" hidden="1">
      <c r="A189" s="2695"/>
      <c r="B189" s="2695"/>
      <c r="C189" s="1281" t="s">
        <v>1128</v>
      </c>
      <c r="D189" s="3279"/>
      <c r="E189" s="3028"/>
      <c r="F189" s="3200"/>
      <c r="G189" s="1312"/>
      <c r="H189" s="2415"/>
      <c r="I189" s="1563"/>
      <c r="J189" s="1483"/>
      <c r="K189" s="2415"/>
      <c r="L189" s="1126"/>
      <c r="M189" s="1253"/>
      <c r="N189" s="1246"/>
      <c r="O189" s="2539"/>
      <c r="P189" s="2539"/>
    </row>
    <row s="40257" customFormat="1" customHeight="1" ht="18.75" hidden="1">
      <c r="A190" s="2695" t="s">
        <v>256</v>
      </c>
      <c r="B190" s="2695" t="s">
        <v>257</v>
      </c>
      <c r="C190" s="1281"/>
      <c r="D190" s="3279"/>
      <c r="E190" s="3028"/>
      <c r="F190" s="3200" t="str">
        <f>INDEX(PT_DIFFERENTIATION_VTAR,MATCH(A190,PT_DIFFERENTIATION_VTAR_ID,0))</f>
        <v>Тариф на водоотведение</v>
      </c>
      <c r="G190" s="3240" t="str">
        <f>INDEX(PT_DIFFERENTIATION_NTAR,MATCH(B190,PT_DIFFERENTIATION_NTAR_ID,0))</f>
        <v/>
      </c>
      <c r="H190" s="2778"/>
      <c r="I190" s="2654"/>
      <c r="J190" s="2688"/>
      <c r="K190" s="2693"/>
      <c r="L190" s="2778" t="s">
        <v>297</v>
      </c>
      <c r="M190" s="1253"/>
      <c r="N190" s="1246"/>
      <c r="O190" s="2539"/>
      <c r="P190" s="2539"/>
    </row>
    <row s="40257" customFormat="1" customHeight="1" ht="18.75" hidden="1">
      <c r="A191" s="2695"/>
      <c r="B191" s="2695"/>
      <c r="C191" s="1281" t="s">
        <v>1121</v>
      </c>
      <c r="D191" s="3279"/>
      <c r="E191" s="3028"/>
      <c r="F191" s="3200"/>
      <c r="G191" s="3240"/>
      <c r="H191" s="2415"/>
      <c r="I191" s="1563" t="s">
        <v>1120</v>
      </c>
      <c r="J191" s="1483"/>
      <c r="K191" s="2415"/>
      <c r="L191" s="1126"/>
      <c r="M191" s="1253"/>
      <c r="N191" s="1246"/>
      <c r="O191" s="2539"/>
      <c r="P191" s="2539"/>
    </row>
    <row s="40257" customFormat="1" customHeight="1" ht="0.75" hidden="1">
      <c r="A192" s="2695"/>
      <c r="B192" s="2695"/>
      <c r="C192" s="1281" t="s">
        <v>1128</v>
      </c>
      <c r="D192" s="3279"/>
      <c r="E192" s="3028"/>
      <c r="F192" s="3200"/>
      <c r="G192" s="1312"/>
      <c r="H192" s="2415"/>
      <c r="I192" s="1563"/>
      <c r="J192" s="1483"/>
      <c r="K192" s="2415"/>
      <c r="L192" s="1126"/>
      <c r="M192" s="1253"/>
      <c r="N192" s="1246"/>
      <c r="O192" s="2539"/>
      <c r="P192" s="2539"/>
    </row>
    <row s="40257" customFormat="1" customHeight="1" ht="18.75" hidden="1">
      <c r="A193" s="2695" t="s">
        <v>261</v>
      </c>
      <c r="B193" s="2695" t="s">
        <v>262</v>
      </c>
      <c r="C193" s="1281"/>
      <c r="D193" s="3279"/>
      <c r="E193" s="3028"/>
      <c r="F193" s="3200" t="str">
        <f>INDEX(PT_DIFFERENTIATION_VTAR,MATCH(A193,PT_DIFFERENTIATION_VTAR_ID,0))</f>
        <v>Тариф на транспортировку сточных вод</v>
      </c>
      <c r="G193" s="3240" t="str">
        <f>INDEX(PT_DIFFERENTIATION_NTAR,MATCH(B193,PT_DIFFERENTIATION_NTAR_ID,0))</f>
        <v/>
      </c>
      <c r="H193" s="2778"/>
      <c r="I193" s="2654"/>
      <c r="J193" s="2688"/>
      <c r="K193" s="2693"/>
      <c r="L193" s="2778" t="s">
        <v>297</v>
      </c>
      <c r="M193" s="1253"/>
      <c r="N193" s="1246"/>
      <c r="O193" s="2539"/>
      <c r="P193" s="2539"/>
    </row>
    <row s="40257" customFormat="1" customHeight="1" ht="18.75" hidden="1">
      <c r="A194" s="2695"/>
      <c r="B194" s="2695"/>
      <c r="C194" s="1281" t="s">
        <v>1121</v>
      </c>
      <c r="D194" s="3279"/>
      <c r="E194" s="3028"/>
      <c r="F194" s="3200"/>
      <c r="G194" s="3240"/>
      <c r="H194" s="2415"/>
      <c r="I194" s="1563" t="s">
        <v>1120</v>
      </c>
      <c r="J194" s="1483"/>
      <c r="K194" s="2415"/>
      <c r="L194" s="1126"/>
      <c r="M194" s="1253"/>
      <c r="N194" s="1246"/>
      <c r="O194" s="2539"/>
      <c r="P194" s="2539"/>
    </row>
    <row s="40257" customFormat="1" customHeight="1" ht="0.75" hidden="1">
      <c r="A195" s="2695"/>
      <c r="B195" s="2695"/>
      <c r="C195" s="1281" t="s">
        <v>1128</v>
      </c>
      <c r="D195" s="3279"/>
      <c r="E195" s="3028"/>
      <c r="F195" s="3200"/>
      <c r="G195" s="1312"/>
      <c r="H195" s="2415"/>
      <c r="I195" s="1563"/>
      <c r="J195" s="1483"/>
      <c r="K195" s="2415"/>
      <c r="L195" s="1126"/>
      <c r="M195" s="1253"/>
      <c r="N195" s="1246"/>
      <c r="O195" s="2539"/>
      <c r="P195" s="2539"/>
    </row>
    <row s="40257" customFormat="1" customHeight="1" ht="18.75" hidden="1">
      <c r="A196" s="2695" t="s">
        <v>266</v>
      </c>
      <c r="B196" s="2695" t="s">
        <v>267</v>
      </c>
      <c r="C196" s="1281"/>
      <c r="D196" s="3279"/>
      <c r="E196" s="3028"/>
      <c r="F196" s="3200" t="str">
        <f>INDEX(PT_DIFFERENTIATION_VTAR,MATCH(A196,PT_DIFFERENTIATION_VTAR_ID,0))</f>
        <v>Тариф на подключение (технологическое присоединение) к централизованной системе водоотведения</v>
      </c>
      <c r="G196" s="3240" t="str">
        <f>INDEX(PT_DIFFERENTIATION_NTAR,MATCH(B196,PT_DIFFERENTIATION_NTAR_ID,0))</f>
        <v/>
      </c>
      <c r="H196" s="2778"/>
      <c r="I196" s="2654"/>
      <c r="J196" s="2688"/>
      <c r="K196" s="2693"/>
      <c r="L196" s="2778" t="s">
        <v>297</v>
      </c>
      <c r="M196" s="1253"/>
      <c r="N196" s="1246"/>
      <c r="O196" s="2539"/>
      <c r="P196" s="2539"/>
    </row>
    <row s="40257" customFormat="1" customHeight="1" ht="18.75" hidden="1">
      <c r="A197" s="2695"/>
      <c r="B197" s="2695"/>
      <c r="C197" s="1281" t="s">
        <v>1121</v>
      </c>
      <c r="D197" s="3279"/>
      <c r="E197" s="3028"/>
      <c r="F197" s="3200"/>
      <c r="G197" s="3240"/>
      <c r="H197" s="2415"/>
      <c r="I197" s="1563" t="s">
        <v>1120</v>
      </c>
      <c r="J197" s="1483"/>
      <c r="K197" s="2415"/>
      <c r="L197" s="1126"/>
      <c r="M197" s="1253"/>
      <c r="N197" s="1246"/>
      <c r="O197" s="2539"/>
      <c r="P197" s="2539"/>
    </row>
    <row s="40257" customFormat="1" customHeight="1" ht="0.75">
      <c r="A198" s="2695"/>
      <c r="B198" s="2695"/>
      <c r="C198" s="1281" t="s">
        <v>1128</v>
      </c>
      <c r="D198" s="3279"/>
      <c r="E198" s="3028"/>
      <c r="F198" s="3200"/>
      <c r="G198" s="1312"/>
      <c r="H198" s="2415"/>
      <c r="I198" s="1563"/>
      <c r="J198" s="1483"/>
      <c r="K198" s="2415"/>
      <c r="L198" s="1126"/>
      <c r="M198" s="1253"/>
      <c r="N198" s="1246"/>
      <c r="O198" s="2539"/>
      <c r="P198" s="2539"/>
    </row>
    <row customHeight="1" ht="26.25">
      <c r="A199" s="2695"/>
      <c r="B199" s="2695"/>
      <c r="D199" s="1288"/>
      <c r="E199" s="1060" t="s">
        <v>104</v>
      </c>
      <c r="F199" s="32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277"/>
      <c r="H199" s="3277"/>
      <c r="I199" s="3277"/>
      <c r="J199" s="3277"/>
      <c r="K199" s="3277"/>
      <c r="L199" s="3277"/>
      <c r="M199" s="1209"/>
      <c r="N199" s="1246"/>
    </row>
    <row s="40257" customFormat="1" customHeight="1" ht="60.75" hidden="1">
      <c r="A200" s="2695" t="s">
        <v>148</v>
      </c>
      <c r="B200" s="2695" t="s">
        <v>149</v>
      </c>
      <c r="C200" s="1281"/>
      <c r="D200" s="3279"/>
      <c r="E200" s="3028"/>
      <c r="F200" s="320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240" t="str">
        <f>INDEX(PT_DIFFERENTIATION_NTAR,MATCH(B200,PT_DIFFERENTIATION_NTAR_ID,0))</f>
        <v/>
      </c>
      <c r="H200" s="2778"/>
      <c r="I200" s="2654"/>
      <c r="J200" s="2688"/>
      <c r="K200" s="2693"/>
      <c r="L200" s="2778" t="s">
        <v>297</v>
      </c>
      <c r="M200"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1246"/>
      <c r="O200" s="2539"/>
      <c r="P200" s="2539"/>
    </row>
    <row s="40257" customFormat="1" customHeight="1" ht="18.75" hidden="1">
      <c r="A201" s="2695"/>
      <c r="B201" s="2695"/>
      <c r="C201" s="1281" t="s">
        <v>1121</v>
      </c>
      <c r="D201" s="3279"/>
      <c r="E201" s="3028"/>
      <c r="F201" s="3200"/>
      <c r="G201" s="3240"/>
      <c r="H201" s="2415"/>
      <c r="I201" s="1563" t="s">
        <v>1120</v>
      </c>
      <c r="J201" s="1483"/>
      <c r="K201" s="2415"/>
      <c r="L201" s="1126"/>
      <c r="M201" s="2994"/>
      <c r="N201" s="1246"/>
      <c r="O201" s="2539"/>
      <c r="P201" s="2539"/>
    </row>
    <row s="40257" customFormat="1" customHeight="1" ht="0.75" hidden="1">
      <c r="A202" s="2695"/>
      <c r="B202" s="2695"/>
      <c r="C202" s="1281" t="s">
        <v>1128</v>
      </c>
      <c r="D202" s="3279"/>
      <c r="E202" s="3028"/>
      <c r="F202" s="3200"/>
      <c r="G202" s="1312"/>
      <c r="H202" s="2415"/>
      <c r="I202" s="1563"/>
      <c r="J202" s="1483"/>
      <c r="K202" s="2415"/>
      <c r="L202" s="1126"/>
      <c r="M202" s="2994"/>
      <c r="N202" s="1246"/>
      <c r="O202" s="2539"/>
      <c r="P202" s="2539"/>
    </row>
    <row s="40257" customFormat="1" customHeight="1" ht="45" hidden="1">
      <c r="A203" s="2695" t="s">
        <v>154</v>
      </c>
      <c r="B203" s="2695" t="s">
        <v>155</v>
      </c>
      <c r="C203" s="1281"/>
      <c r="D203" s="3279"/>
      <c r="E203" s="3028"/>
      <c r="F203" s="320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240" t="str">
        <f>INDEX(PT_DIFFERENTIATION_NTAR,MATCH(B203,PT_DIFFERENTIATION_NTAR_ID,0))</f>
        <v/>
      </c>
      <c r="H203" s="2778"/>
      <c r="I203" s="2654"/>
      <c r="J203" s="2688"/>
      <c r="K203" s="2693"/>
      <c r="L203" s="2778" t="s">
        <v>297</v>
      </c>
      <c r="M203" s="2995"/>
      <c r="N203" s="1246"/>
      <c r="O203" s="2539"/>
      <c r="P203" s="2539"/>
    </row>
    <row s="40257" customFormat="1" customHeight="1" ht="18.75" hidden="1">
      <c r="A204" s="2695"/>
      <c r="B204" s="2695"/>
      <c r="C204" s="1281" t="s">
        <v>1121</v>
      </c>
      <c r="D204" s="3279"/>
      <c r="E204" s="3028"/>
      <c r="F204" s="3200"/>
      <c r="G204" s="3240"/>
      <c r="H204" s="2415"/>
      <c r="I204" s="1563" t="s">
        <v>1120</v>
      </c>
      <c r="J204" s="1483"/>
      <c r="K204" s="2415"/>
      <c r="L204" s="1126"/>
      <c r="M204" s="2777"/>
      <c r="N204" s="1246"/>
      <c r="O204" s="2539"/>
      <c r="P204" s="2539"/>
    </row>
    <row s="40257" customFormat="1" customHeight="1" ht="0.75" hidden="1">
      <c r="A205" s="2695"/>
      <c r="B205" s="2695"/>
      <c r="C205" s="1281" t="s">
        <v>1128</v>
      </c>
      <c r="D205" s="3279"/>
      <c r="E205" s="3028"/>
      <c r="F205" s="3200"/>
      <c r="G205" s="1312"/>
      <c r="H205" s="2415"/>
      <c r="I205" s="1563"/>
      <c r="J205" s="1483"/>
      <c r="K205" s="2415"/>
      <c r="L205" s="1126"/>
      <c r="M205" s="1253"/>
      <c r="N205" s="1246"/>
      <c r="O205" s="2539"/>
      <c r="P205" s="2539"/>
    </row>
    <row s="40257" customFormat="1" customHeight="1" ht="45" hidden="1">
      <c r="A206" s="2695" t="s">
        <v>160</v>
      </c>
      <c r="B206" s="2695" t="s">
        <v>161</v>
      </c>
      <c r="C206" s="1281"/>
      <c r="D206" s="3279"/>
      <c r="E206" s="3028"/>
      <c r="F206" s="320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240" t="str">
        <f>INDEX(PT_DIFFERENTIATION_NTAR,MATCH(B206,PT_DIFFERENTIATION_NTAR_ID,0))</f>
        <v/>
      </c>
      <c r="H206" s="2778"/>
      <c r="I206" s="2654"/>
      <c r="J206" s="2688"/>
      <c r="K206" s="2693"/>
      <c r="L206" s="2778" t="s">
        <v>297</v>
      </c>
      <c r="M206" s="1253"/>
      <c r="N206" s="1246"/>
      <c r="O206" s="2539"/>
      <c r="P206" s="2539"/>
    </row>
    <row s="40257" customFormat="1" customHeight="1" ht="18.75" hidden="1">
      <c r="A207" s="2695"/>
      <c r="B207" s="2695"/>
      <c r="C207" s="1281" t="s">
        <v>1121</v>
      </c>
      <c r="D207" s="3279"/>
      <c r="E207" s="3028"/>
      <c r="F207" s="3200"/>
      <c r="G207" s="3240"/>
      <c r="H207" s="2415"/>
      <c r="I207" s="1563" t="s">
        <v>1120</v>
      </c>
      <c r="J207" s="1483"/>
      <c r="K207" s="2415"/>
      <c r="L207" s="1126"/>
      <c r="M207" s="1253"/>
      <c r="N207" s="1246"/>
      <c r="O207" s="2539"/>
      <c r="P207" s="2539"/>
    </row>
    <row s="40257" customFormat="1" customHeight="1" ht="0.75" hidden="1">
      <c r="A208" s="2695"/>
      <c r="B208" s="2695"/>
      <c r="C208" s="1281" t="s">
        <v>1128</v>
      </c>
      <c r="D208" s="3279"/>
      <c r="E208" s="3028"/>
      <c r="F208" s="3200"/>
      <c r="G208" s="1312"/>
      <c r="H208" s="2415"/>
      <c r="I208" s="1563"/>
      <c r="J208" s="1483"/>
      <c r="K208" s="2415"/>
      <c r="L208" s="1126"/>
      <c r="M208" s="1253"/>
      <c r="N208" s="1246"/>
      <c r="O208" s="2539"/>
      <c r="P208" s="2539"/>
    </row>
    <row s="40257" customFormat="1" customHeight="1" ht="45" hidden="1">
      <c r="A209" s="2695" t="s">
        <v>166</v>
      </c>
      <c r="B209" s="2695" t="s">
        <v>167</v>
      </c>
      <c r="C209" s="1281"/>
      <c r="D209" s="3279"/>
      <c r="E209" s="3028"/>
      <c r="F209" s="320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240" t="str">
        <f>INDEX(PT_DIFFERENTIATION_NTAR,MATCH(B209,PT_DIFFERENTIATION_NTAR_ID,0))</f>
        <v/>
      </c>
      <c r="H209" s="2778"/>
      <c r="I209" s="2654"/>
      <c r="J209" s="2688"/>
      <c r="K209" s="2693"/>
      <c r="L209" s="2778" t="s">
        <v>297</v>
      </c>
      <c r="M209" s="1253"/>
      <c r="N209" s="1246"/>
      <c r="O209" s="2539"/>
      <c r="P209" s="2539"/>
    </row>
    <row s="40257" customFormat="1" customHeight="1" ht="18.75" hidden="1">
      <c r="A210" s="2695"/>
      <c r="B210" s="2695"/>
      <c r="C210" s="1281" t="s">
        <v>1121</v>
      </c>
      <c r="D210" s="3279"/>
      <c r="E210" s="3028"/>
      <c r="F210" s="3200"/>
      <c r="G210" s="3240"/>
      <c r="H210" s="2415"/>
      <c r="I210" s="1563" t="s">
        <v>1120</v>
      </c>
      <c r="J210" s="1483"/>
      <c r="K210" s="2415"/>
      <c r="L210" s="1126"/>
      <c r="M210" s="1253"/>
      <c r="N210" s="1246"/>
      <c r="O210" s="2539"/>
      <c r="P210" s="2539"/>
    </row>
    <row s="40257" customFormat="1" customHeight="1" ht="0.75" hidden="1">
      <c r="A211" s="2695"/>
      <c r="B211" s="2695"/>
      <c r="C211" s="1281" t="s">
        <v>1128</v>
      </c>
      <c r="D211" s="3279"/>
      <c r="E211" s="3028"/>
      <c r="F211" s="3200"/>
      <c r="G211" s="1312"/>
      <c r="H211" s="2415"/>
      <c r="I211" s="1563"/>
      <c r="J211" s="1483"/>
      <c r="K211" s="2415"/>
      <c r="L211" s="1126"/>
      <c r="M211" s="1253"/>
      <c r="N211" s="1246"/>
      <c r="O211" s="2539"/>
      <c r="P211" s="2539"/>
    </row>
    <row s="40257" customFormat="1" customHeight="1" ht="18.75" hidden="1">
      <c r="A212" s="2695" t="s">
        <v>172</v>
      </c>
      <c r="B212" s="2695" t="s">
        <v>173</v>
      </c>
      <c r="C212" s="1281"/>
      <c r="D212" s="3279"/>
      <c r="E212" s="3028"/>
      <c r="F212" s="3200" t="str">
        <f>INDEX(PT_DIFFERENTIATION_VTAR,MATCH(A212,PT_DIFFERENTIATION_VTAR_ID,0))</f>
        <v>Тарифы на услуги по передаче тепловой энергии</v>
      </c>
      <c r="G212" s="3240" t="str">
        <f>INDEX(PT_DIFFERENTIATION_NTAR,MATCH(B212,PT_DIFFERENTIATION_NTAR_ID,0))</f>
        <v/>
      </c>
      <c r="H212" s="2778"/>
      <c r="I212" s="2654"/>
      <c r="J212" s="2688"/>
      <c r="K212" s="2693"/>
      <c r="L212" s="2778" t="s">
        <v>297</v>
      </c>
      <c r="M212" s="1253"/>
      <c r="N212" s="1246"/>
      <c r="O212" s="2539"/>
      <c r="P212" s="2539"/>
    </row>
    <row s="40257" customFormat="1" customHeight="1" ht="18.75" hidden="1">
      <c r="A213" s="2695"/>
      <c r="B213" s="2695"/>
      <c r="C213" s="1281" t="s">
        <v>1121</v>
      </c>
      <c r="D213" s="3279"/>
      <c r="E213" s="3028"/>
      <c r="F213" s="3200"/>
      <c r="G213" s="3240"/>
      <c r="H213" s="2415"/>
      <c r="I213" s="1563" t="s">
        <v>1120</v>
      </c>
      <c r="J213" s="1483"/>
      <c r="K213" s="2415"/>
      <c r="L213" s="1126"/>
      <c r="M213" s="1253"/>
      <c r="N213" s="1246"/>
      <c r="O213" s="2539"/>
      <c r="P213" s="2539"/>
    </row>
    <row s="40257" customFormat="1" customHeight="1" ht="0.75" hidden="1">
      <c r="A214" s="2695"/>
      <c r="B214" s="2695"/>
      <c r="C214" s="1281" t="s">
        <v>1128</v>
      </c>
      <c r="D214" s="3279"/>
      <c r="E214" s="3028"/>
      <c r="F214" s="3200"/>
      <c r="G214" s="1312"/>
      <c r="H214" s="2415"/>
      <c r="I214" s="1563"/>
      <c r="J214" s="1483"/>
      <c r="K214" s="2415"/>
      <c r="L214" s="1126"/>
      <c r="M214" s="1253"/>
      <c r="N214" s="1246"/>
      <c r="O214" s="2539"/>
      <c r="P214" s="2539"/>
    </row>
    <row s="40257" customFormat="1" customHeight="1" ht="18.75" hidden="1">
      <c r="A215" s="2695" t="s">
        <v>178</v>
      </c>
      <c r="B215" s="2695" t="s">
        <v>179</v>
      </c>
      <c r="C215" s="1281"/>
      <c r="D215" s="3279"/>
      <c r="E215" s="3028"/>
      <c r="F215" s="3200" t="str">
        <f>INDEX(PT_DIFFERENTIATION_VTAR,MATCH(A215,PT_DIFFERENTIATION_VTAR_ID,0))</f>
        <v>Тарифы на услуги по передаче теплоносителя</v>
      </c>
      <c r="G215" s="3240" t="str">
        <f>INDEX(PT_DIFFERENTIATION_NTAR,MATCH(B215,PT_DIFFERENTIATION_NTAR_ID,0))</f>
        <v/>
      </c>
      <c r="H215" s="2778"/>
      <c r="I215" s="2654"/>
      <c r="J215" s="2688"/>
      <c r="K215" s="2693"/>
      <c r="L215" s="2778" t="s">
        <v>297</v>
      </c>
      <c r="M215" s="1253"/>
      <c r="N215" s="1246"/>
      <c r="O215" s="2539"/>
      <c r="P215" s="2539"/>
    </row>
    <row s="40257" customFormat="1" customHeight="1" ht="18.75" hidden="1">
      <c r="A216" s="2695"/>
      <c r="B216" s="2695"/>
      <c r="C216" s="1281" t="s">
        <v>1121</v>
      </c>
      <c r="D216" s="3279"/>
      <c r="E216" s="3028"/>
      <c r="F216" s="3200"/>
      <c r="G216" s="3240"/>
      <c r="H216" s="2415"/>
      <c r="I216" s="1563" t="s">
        <v>1120</v>
      </c>
      <c r="J216" s="1483"/>
      <c r="K216" s="2415"/>
      <c r="L216" s="1126"/>
      <c r="M216" s="1253"/>
      <c r="N216" s="1246"/>
      <c r="O216" s="2539"/>
      <c r="P216" s="2539"/>
    </row>
    <row s="40257" customFormat="1" customHeight="1" ht="0.75" hidden="1">
      <c r="A217" s="2695"/>
      <c r="B217" s="2695"/>
      <c r="C217" s="1281" t="s">
        <v>1128</v>
      </c>
      <c r="D217" s="3279"/>
      <c r="E217" s="3028"/>
      <c r="F217" s="3200"/>
      <c r="G217" s="1312"/>
      <c r="H217" s="2415"/>
      <c r="I217" s="1563"/>
      <c r="J217" s="1483"/>
      <c r="K217" s="2415"/>
      <c r="L217" s="1126"/>
      <c r="M217" s="1253"/>
      <c r="N217" s="1246"/>
      <c r="O217" s="2539"/>
      <c r="P217" s="2539"/>
    </row>
    <row s="40257" customFormat="1" customHeight="1" ht="18.75" hidden="1">
      <c r="A218" s="2695" t="s">
        <v>184</v>
      </c>
      <c r="B218" s="2695" t="s">
        <v>185</v>
      </c>
      <c r="C218" s="1281"/>
      <c r="D218" s="3279"/>
      <c r="E218" s="3028"/>
      <c r="F218" s="320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240" t="str">
        <f>INDEX(PT_DIFFERENTIATION_NTAR,MATCH(B218,PT_DIFFERENTIATION_NTAR_ID,0))</f>
        <v/>
      </c>
      <c r="H218" s="2778"/>
      <c r="I218" s="2654"/>
      <c r="J218" s="2688"/>
      <c r="K218" s="2693"/>
      <c r="L218" s="2778" t="s">
        <v>297</v>
      </c>
      <c r="M218" s="1253"/>
      <c r="N218" s="1246"/>
      <c r="O218" s="2539"/>
      <c r="P218" s="2539"/>
    </row>
    <row s="40257" customFormat="1" customHeight="1" ht="18.75" hidden="1">
      <c r="A219" s="2695"/>
      <c r="B219" s="2695"/>
      <c r="C219" s="1281" t="s">
        <v>1121</v>
      </c>
      <c r="D219" s="3279"/>
      <c r="E219" s="3028"/>
      <c r="F219" s="3200"/>
      <c r="G219" s="3240"/>
      <c r="H219" s="2415"/>
      <c r="I219" s="1563" t="s">
        <v>1120</v>
      </c>
      <c r="J219" s="1483"/>
      <c r="K219" s="2415"/>
      <c r="L219" s="1126"/>
      <c r="M219" s="1253"/>
      <c r="N219" s="1246"/>
      <c r="O219" s="2539"/>
      <c r="P219" s="2539"/>
    </row>
    <row s="40257" customFormat="1" customHeight="1" ht="0.75" hidden="1">
      <c r="A220" s="2695"/>
      <c r="B220" s="2695"/>
      <c r="C220" s="1281" t="s">
        <v>1128</v>
      </c>
      <c r="D220" s="3279"/>
      <c r="E220" s="3028"/>
      <c r="F220" s="3200"/>
      <c r="G220" s="1312"/>
      <c r="H220" s="2415"/>
      <c r="I220" s="1563"/>
      <c r="J220" s="1483"/>
      <c r="K220" s="2415"/>
      <c r="L220" s="1126"/>
      <c r="M220" s="1253"/>
      <c r="N220" s="1246"/>
      <c r="O220" s="2539"/>
      <c r="P220" s="2539"/>
    </row>
    <row s="40257" customFormat="1" customHeight="1" ht="18.75" hidden="1">
      <c r="A221" s="2695" t="s">
        <v>190</v>
      </c>
      <c r="B221" s="2695" t="s">
        <v>191</v>
      </c>
      <c r="C221" s="1281"/>
      <c r="D221" s="3279"/>
      <c r="E221" s="3028"/>
      <c r="F221" s="3200" t="str">
        <f>INDEX(PT_DIFFERENTIATION_VTAR,MATCH(A221,PT_DIFFERENTIATION_VTAR_ID,0))</f>
        <v>Плата за подключение (технологическое присоединение) к системе теплоснабжения</v>
      </c>
      <c r="G221" s="3240" t="str">
        <f>INDEX(PT_DIFFERENTIATION_NTAR,MATCH(B221,PT_DIFFERENTIATION_NTAR_ID,0))</f>
        <v/>
      </c>
      <c r="H221" s="2778"/>
      <c r="I221" s="2654"/>
      <c r="J221" s="2688"/>
      <c r="K221" s="2693"/>
      <c r="L221" s="2778" t="s">
        <v>297</v>
      </c>
      <c r="M221" s="1253"/>
      <c r="N221" s="1246"/>
      <c r="O221" s="2539"/>
      <c r="P221" s="2539"/>
    </row>
    <row s="40257" customFormat="1" customHeight="1" ht="18.75" hidden="1">
      <c r="A222" s="2695"/>
      <c r="B222" s="2695"/>
      <c r="C222" s="1281" t="s">
        <v>1121</v>
      </c>
      <c r="D222" s="3279"/>
      <c r="E222" s="3028"/>
      <c r="F222" s="3200"/>
      <c r="G222" s="3240"/>
      <c r="H222" s="2415"/>
      <c r="I222" s="1563" t="s">
        <v>1120</v>
      </c>
      <c r="J222" s="1483"/>
      <c r="K222" s="2415"/>
      <c r="L222" s="1126"/>
      <c r="M222" s="1253"/>
      <c r="N222" s="1246"/>
      <c r="O222" s="2539"/>
      <c r="P222" s="2539"/>
    </row>
    <row s="40257" customFormat="1" customHeight="1" ht="0.75" hidden="1">
      <c r="A223" s="2695"/>
      <c r="B223" s="2695"/>
      <c r="C223" s="1281" t="s">
        <v>1128</v>
      </c>
      <c r="D223" s="3279"/>
      <c r="E223" s="3028"/>
      <c r="F223" s="3200"/>
      <c r="G223" s="1312"/>
      <c r="H223" s="2415"/>
      <c r="I223" s="1563"/>
      <c r="J223" s="1483"/>
      <c r="K223" s="2415"/>
      <c r="L223" s="1126"/>
      <c r="M223" s="1253"/>
      <c r="N223" s="1246"/>
      <c r="O223" s="2539"/>
      <c r="P223" s="2539"/>
    </row>
    <row s="40257" customFormat="1" customHeight="1" ht="18.75" hidden="1">
      <c r="A224" s="2695" t="s">
        <v>216</v>
      </c>
      <c r="B224" s="2695" t="s">
        <v>217</v>
      </c>
      <c r="C224" s="1281"/>
      <c r="D224" s="3279"/>
      <c r="E224" s="3028"/>
      <c r="F224" s="3200" t="str">
        <f>INDEX(PT_DIFFERENTIATION_VTAR,MATCH(A224,PT_DIFFERENTIATION_VTAR_ID,0))</f>
        <v>Тариф на питьевую воду (питьевое водоснабжение)</v>
      </c>
      <c r="G224" s="3240" t="str">
        <f>INDEX(PT_DIFFERENTIATION_NTAR,MATCH(B224,PT_DIFFERENTIATION_NTAR_ID,0))</f>
        <v/>
      </c>
      <c r="H224" s="2778"/>
      <c r="I224" s="2654"/>
      <c r="J224" s="2688"/>
      <c r="K224" s="2693"/>
      <c r="L224" s="2778" t="s">
        <v>297</v>
      </c>
      <c r="M224" s="1253"/>
      <c r="N224" s="1246"/>
      <c r="O224" s="2539"/>
      <c r="P224" s="2539"/>
    </row>
    <row s="40257" customFormat="1" customHeight="1" ht="18.75" hidden="1">
      <c r="A225" s="2695"/>
      <c r="B225" s="2695"/>
      <c r="C225" s="1281" t="s">
        <v>1121</v>
      </c>
      <c r="D225" s="3279"/>
      <c r="E225" s="3028"/>
      <c r="F225" s="3200"/>
      <c r="G225" s="3240"/>
      <c r="H225" s="2415"/>
      <c r="I225" s="1563" t="s">
        <v>1120</v>
      </c>
      <c r="J225" s="1483"/>
      <c r="K225" s="2415"/>
      <c r="L225" s="1126"/>
      <c r="M225" s="1253"/>
      <c r="N225" s="1246"/>
      <c r="O225" s="2539"/>
      <c r="P225" s="2539"/>
    </row>
    <row s="40257" customFormat="1" customHeight="1" ht="0.75" hidden="1">
      <c r="A226" s="2695"/>
      <c r="B226" s="2695"/>
      <c r="C226" s="1281" t="s">
        <v>1128</v>
      </c>
      <c r="D226" s="3279"/>
      <c r="E226" s="3028"/>
      <c r="F226" s="3200"/>
      <c r="G226" s="1312"/>
      <c r="H226" s="2415"/>
      <c r="I226" s="1563"/>
      <c r="J226" s="1483"/>
      <c r="K226" s="2415"/>
      <c r="L226" s="1126"/>
      <c r="M226" s="1253"/>
      <c r="N226" s="1246"/>
      <c r="O226" s="2539"/>
      <c r="P226" s="2539"/>
    </row>
    <row s="40257" customFormat="1" customHeight="1" ht="18.75" hidden="1">
      <c r="A227" s="2695" t="s">
        <v>221</v>
      </c>
      <c r="B227" s="2695" t="s">
        <v>222</v>
      </c>
      <c r="C227" s="1281"/>
      <c r="D227" s="3279"/>
      <c r="E227" s="3028"/>
      <c r="F227" s="3200" t="str">
        <f>INDEX(PT_DIFFERENTIATION_VTAR,MATCH(A227,PT_DIFFERENTIATION_VTAR_ID,0))</f>
        <v>Тариф на техническую воду</v>
      </c>
      <c r="G227" s="3240" t="str">
        <f>INDEX(PT_DIFFERENTIATION_NTAR,MATCH(B227,PT_DIFFERENTIATION_NTAR_ID,0))</f>
        <v/>
      </c>
      <c r="H227" s="2778"/>
      <c r="I227" s="2654"/>
      <c r="J227" s="2688"/>
      <c r="K227" s="2693"/>
      <c r="L227" s="2778" t="s">
        <v>297</v>
      </c>
      <c r="M227" s="1253"/>
      <c r="N227" s="1246"/>
      <c r="O227" s="2539"/>
      <c r="P227" s="2539"/>
    </row>
    <row s="40257" customFormat="1" customHeight="1" ht="18.75" hidden="1">
      <c r="A228" s="2695"/>
      <c r="B228" s="2695"/>
      <c r="C228" s="1281" t="s">
        <v>1121</v>
      </c>
      <c r="D228" s="3279"/>
      <c r="E228" s="3028"/>
      <c r="F228" s="3200"/>
      <c r="G228" s="3240"/>
      <c r="H228" s="2415"/>
      <c r="I228" s="1563" t="s">
        <v>1120</v>
      </c>
      <c r="J228" s="1483"/>
      <c r="K228" s="2415"/>
      <c r="L228" s="1126"/>
      <c r="M228" s="1253"/>
      <c r="N228" s="1246"/>
      <c r="O228" s="2539"/>
      <c r="P228" s="2539"/>
    </row>
    <row s="40257" customFormat="1" customHeight="1" ht="0.75" hidden="1">
      <c r="A229" s="2695"/>
      <c r="B229" s="2695"/>
      <c r="C229" s="1281" t="s">
        <v>1128</v>
      </c>
      <c r="D229" s="3279"/>
      <c r="E229" s="3028"/>
      <c r="F229" s="3200"/>
      <c r="G229" s="1312"/>
      <c r="H229" s="2415"/>
      <c r="I229" s="1563"/>
      <c r="J229" s="1483"/>
      <c r="K229" s="2415"/>
      <c r="L229" s="1126"/>
      <c r="M229" s="1253"/>
      <c r="N229" s="1246"/>
      <c r="O229" s="2539"/>
      <c r="P229" s="2539"/>
    </row>
    <row s="40257" customFormat="1" customHeight="1" ht="18.75" hidden="1">
      <c r="A230" s="2695" t="s">
        <v>226</v>
      </c>
      <c r="B230" s="2695" t="s">
        <v>227</v>
      </c>
      <c r="C230" s="1281"/>
      <c r="D230" s="3279"/>
      <c r="E230" s="3028"/>
      <c r="F230" s="3200" t="str">
        <f>INDEX(PT_DIFFERENTIATION_VTAR,MATCH(A230,PT_DIFFERENTIATION_VTAR_ID,0))</f>
        <v>Тариф на транспортировку воды</v>
      </c>
      <c r="G230" s="3240" t="str">
        <f>INDEX(PT_DIFFERENTIATION_NTAR,MATCH(B230,PT_DIFFERENTIATION_NTAR_ID,0))</f>
        <v/>
      </c>
      <c r="H230" s="2778"/>
      <c r="I230" s="2654"/>
      <c r="J230" s="2688"/>
      <c r="K230" s="2693"/>
      <c r="L230" s="2778" t="s">
        <v>297</v>
      </c>
      <c r="M230" s="1253"/>
      <c r="N230" s="1246"/>
      <c r="O230" s="2539"/>
      <c r="P230" s="2539"/>
    </row>
    <row s="40257" customFormat="1" customHeight="1" ht="18.75" hidden="1">
      <c r="A231" s="2695"/>
      <c r="B231" s="2695"/>
      <c r="C231" s="1281" t="s">
        <v>1121</v>
      </c>
      <c r="D231" s="3279"/>
      <c r="E231" s="3028"/>
      <c r="F231" s="3200"/>
      <c r="G231" s="3240"/>
      <c r="H231" s="2415"/>
      <c r="I231" s="1563" t="s">
        <v>1120</v>
      </c>
      <c r="J231" s="1483"/>
      <c r="K231" s="2415"/>
      <c r="L231" s="1126"/>
      <c r="M231" s="1253"/>
      <c r="N231" s="1246"/>
      <c r="O231" s="2539"/>
      <c r="P231" s="2539"/>
    </row>
    <row s="40257" customFormat="1" customHeight="1" ht="0.75" hidden="1">
      <c r="A232" s="2695"/>
      <c r="B232" s="2695"/>
      <c r="C232" s="1281" t="s">
        <v>1128</v>
      </c>
      <c r="D232" s="3279"/>
      <c r="E232" s="3028"/>
      <c r="F232" s="3200"/>
      <c r="G232" s="1312"/>
      <c r="H232" s="2415"/>
      <c r="I232" s="1563"/>
      <c r="J232" s="1483"/>
      <c r="K232" s="2415"/>
      <c r="L232" s="1126"/>
      <c r="M232" s="1253"/>
      <c r="N232" s="1246"/>
      <c r="O232" s="2539"/>
      <c r="P232" s="2539"/>
    </row>
    <row s="40257" customFormat="1" customHeight="1" ht="18.75" hidden="1">
      <c r="A233" s="2695" t="s">
        <v>231</v>
      </c>
      <c r="B233" s="2695" t="s">
        <v>232</v>
      </c>
      <c r="C233" s="1281"/>
      <c r="D233" s="3279"/>
      <c r="E233" s="3028"/>
      <c r="F233" s="3200" t="str">
        <f>INDEX(PT_DIFFERENTIATION_VTAR,MATCH(A233,PT_DIFFERENTIATION_VTAR_ID,0))</f>
        <v>Тариф на подвоз воды</v>
      </c>
      <c r="G233" s="3240" t="str">
        <f>INDEX(PT_DIFFERENTIATION_NTAR,MATCH(B233,PT_DIFFERENTIATION_NTAR_ID,0))</f>
        <v/>
      </c>
      <c r="H233" s="2778"/>
      <c r="I233" s="2654"/>
      <c r="J233" s="2688"/>
      <c r="K233" s="2693"/>
      <c r="L233" s="2778" t="s">
        <v>297</v>
      </c>
      <c r="M233" s="1253"/>
      <c r="N233" s="1246"/>
      <c r="O233" s="2539"/>
      <c r="P233" s="2539"/>
    </row>
    <row s="40257" customFormat="1" customHeight="1" ht="18.75" hidden="1">
      <c r="A234" s="2695"/>
      <c r="B234" s="2695"/>
      <c r="C234" s="1281" t="s">
        <v>1121</v>
      </c>
      <c r="D234" s="3279"/>
      <c r="E234" s="3028"/>
      <c r="F234" s="3200"/>
      <c r="G234" s="3240"/>
      <c r="H234" s="2415"/>
      <c r="I234" s="1563" t="s">
        <v>1120</v>
      </c>
      <c r="J234" s="1483"/>
      <c r="K234" s="2415"/>
      <c r="L234" s="1126"/>
      <c r="M234" s="1253"/>
      <c r="N234" s="1246"/>
      <c r="O234" s="2539"/>
      <c r="P234" s="2539"/>
    </row>
    <row s="40257" customFormat="1" customHeight="1" ht="0.75" hidden="1">
      <c r="A235" s="2695"/>
      <c r="B235" s="2695"/>
      <c r="C235" s="1281" t="s">
        <v>1128</v>
      </c>
      <c r="D235" s="3279"/>
      <c r="E235" s="3028"/>
      <c r="F235" s="3200"/>
      <c r="G235" s="1312"/>
      <c r="H235" s="2415"/>
      <c r="I235" s="1563"/>
      <c r="J235" s="1483"/>
      <c r="K235" s="2415"/>
      <c r="L235" s="1126"/>
      <c r="M235" s="1253"/>
      <c r="N235" s="1246"/>
      <c r="O235" s="2539"/>
      <c r="P235" s="2539"/>
    </row>
    <row s="40257" customFormat="1" customHeight="1" ht="18.75" hidden="1">
      <c r="A236" s="2695" t="s">
        <v>236</v>
      </c>
      <c r="B236" s="2695" t="s">
        <v>237</v>
      </c>
      <c r="C236" s="1281"/>
      <c r="D236" s="3279"/>
      <c r="E236" s="3028"/>
      <c r="F236" s="320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240" t="str">
        <f>INDEX(PT_DIFFERENTIATION_NTAR,MATCH(B236,PT_DIFFERENTIATION_NTAR_ID,0))</f>
        <v/>
      </c>
      <c r="H236" s="2778"/>
      <c r="I236" s="2654"/>
      <c r="J236" s="2688"/>
      <c r="K236" s="2693"/>
      <c r="L236" s="2778" t="s">
        <v>297</v>
      </c>
      <c r="M236" s="1253"/>
      <c r="N236" s="1246"/>
      <c r="O236" s="2539"/>
      <c r="P236" s="2539"/>
    </row>
    <row s="40257" customFormat="1" customHeight="1" ht="18.75" hidden="1">
      <c r="A237" s="2695"/>
      <c r="B237" s="2695"/>
      <c r="C237" s="1281" t="s">
        <v>1121</v>
      </c>
      <c r="D237" s="3279"/>
      <c r="E237" s="3028"/>
      <c r="F237" s="3200"/>
      <c r="G237" s="3240"/>
      <c r="H237" s="2415"/>
      <c r="I237" s="1563" t="s">
        <v>1120</v>
      </c>
      <c r="J237" s="1483"/>
      <c r="K237" s="2415"/>
      <c r="L237" s="1126"/>
      <c r="M237" s="1253"/>
      <c r="N237" s="1246"/>
      <c r="O237" s="2539"/>
      <c r="P237" s="2539"/>
    </row>
    <row s="40257" customFormat="1" customHeight="1" ht="0.75" hidden="1">
      <c r="A238" s="2695"/>
      <c r="B238" s="2695"/>
      <c r="C238" s="1281" t="s">
        <v>1128</v>
      </c>
      <c r="D238" s="3279"/>
      <c r="E238" s="3028"/>
      <c r="F238" s="3200"/>
      <c r="G238" s="1312"/>
      <c r="H238" s="2415"/>
      <c r="I238" s="1563"/>
      <c r="J238" s="1483"/>
      <c r="K238" s="2415"/>
      <c r="L238" s="1126"/>
      <c r="M238" s="1253"/>
      <c r="N238" s="1246"/>
      <c r="O238" s="2539"/>
      <c r="P238" s="2539"/>
    </row>
    <row s="40257" customFormat="1" customHeight="1" ht="18.75" hidden="1">
      <c r="A239" s="2695" t="s">
        <v>241</v>
      </c>
      <c r="B239" s="2695" t="s">
        <v>242</v>
      </c>
      <c r="C239" s="1281"/>
      <c r="D239" s="3279"/>
      <c r="E239" s="3028"/>
      <c r="F239" s="3200" t="str">
        <f>INDEX(PT_DIFFERENTIATION_VTAR,MATCH(A239,PT_DIFFERENTIATION_VTAR_ID,0))</f>
        <v>Тариф на горячую воду (горячее водоснабжение)</v>
      </c>
      <c r="G239" s="3240" t="str">
        <f>INDEX(PT_DIFFERENTIATION_NTAR,MATCH(B239,PT_DIFFERENTIATION_NTAR_ID,0))</f>
        <v/>
      </c>
      <c r="H239" s="2778"/>
      <c r="I239" s="2654"/>
      <c r="J239" s="2688"/>
      <c r="K239" s="2693"/>
      <c r="L239" s="2778" t="s">
        <v>297</v>
      </c>
      <c r="M239" s="1253"/>
      <c r="N239" s="1246"/>
      <c r="O239" s="2539"/>
      <c r="P239" s="2539"/>
    </row>
    <row s="40257" customFormat="1" customHeight="1" ht="18.75" hidden="1">
      <c r="A240" s="2695"/>
      <c r="B240" s="2695"/>
      <c r="C240" s="1281" t="s">
        <v>1121</v>
      </c>
      <c r="D240" s="3279"/>
      <c r="E240" s="3028"/>
      <c r="F240" s="3200"/>
      <c r="G240" s="3240"/>
      <c r="H240" s="2415"/>
      <c r="I240" s="1563" t="s">
        <v>1120</v>
      </c>
      <c r="J240" s="1483"/>
      <c r="K240" s="2415"/>
      <c r="L240" s="1126"/>
      <c r="M240" s="1253"/>
      <c r="N240" s="1246"/>
      <c r="O240" s="2539"/>
      <c r="P240" s="2539"/>
    </row>
    <row s="40257" customFormat="1" customHeight="1" ht="0.75" hidden="1">
      <c r="A241" s="2695"/>
      <c r="B241" s="2695"/>
      <c r="C241" s="1281" t="s">
        <v>1128</v>
      </c>
      <c r="D241" s="3279"/>
      <c r="E241" s="3028"/>
      <c r="F241" s="3200"/>
      <c r="G241" s="1312"/>
      <c r="H241" s="2415"/>
      <c r="I241" s="1563"/>
      <c r="J241" s="1483"/>
      <c r="K241" s="2415"/>
      <c r="L241" s="1126"/>
      <c r="M241" s="1253"/>
      <c r="N241" s="1246"/>
      <c r="O241" s="2539"/>
      <c r="P241" s="2539"/>
    </row>
    <row s="40257" customFormat="1" customHeight="1" ht="18.75" hidden="1">
      <c r="A242" s="2695" t="s">
        <v>246</v>
      </c>
      <c r="B242" s="2695" t="s">
        <v>247</v>
      </c>
      <c r="C242" s="1281"/>
      <c r="D242" s="3279"/>
      <c r="E242" s="3028"/>
      <c r="F242" s="3200" t="str">
        <f>INDEX(PT_DIFFERENTIATION_VTAR,MATCH(A242,PT_DIFFERENTIATION_VTAR_ID,0))</f>
        <v>Тариф на транспортировку горячей воды</v>
      </c>
      <c r="G242" s="3240" t="str">
        <f>INDEX(PT_DIFFERENTIATION_NTAR,MATCH(B242,PT_DIFFERENTIATION_NTAR_ID,0))</f>
        <v/>
      </c>
      <c r="H242" s="2778"/>
      <c r="I242" s="2654"/>
      <c r="J242" s="2688"/>
      <c r="K242" s="2693"/>
      <c r="L242" s="2778" t="s">
        <v>297</v>
      </c>
      <c r="M242" s="1253"/>
      <c r="N242" s="1246"/>
      <c r="O242" s="2539"/>
      <c r="P242" s="2539"/>
    </row>
    <row s="40257" customFormat="1" customHeight="1" ht="18.75" hidden="1">
      <c r="A243" s="2695"/>
      <c r="B243" s="2695"/>
      <c r="C243" s="1281" t="s">
        <v>1121</v>
      </c>
      <c r="D243" s="3279"/>
      <c r="E243" s="3028"/>
      <c r="F243" s="3200"/>
      <c r="G243" s="3240"/>
      <c r="H243" s="2415"/>
      <c r="I243" s="1563" t="s">
        <v>1120</v>
      </c>
      <c r="J243" s="1483"/>
      <c r="K243" s="2415"/>
      <c r="L243" s="1126"/>
      <c r="M243" s="1253"/>
      <c r="N243" s="1246"/>
      <c r="O243" s="2539"/>
      <c r="P243" s="2539"/>
    </row>
    <row s="40257" customFormat="1" customHeight="1" ht="0.75" hidden="1">
      <c r="A244" s="2695"/>
      <c r="B244" s="2695"/>
      <c r="C244" s="1281" t="s">
        <v>1128</v>
      </c>
      <c r="D244" s="3279"/>
      <c r="E244" s="3028"/>
      <c r="F244" s="3200"/>
      <c r="G244" s="1312"/>
      <c r="H244" s="2415"/>
      <c r="I244" s="1563"/>
      <c r="J244" s="1483"/>
      <c r="K244" s="2415"/>
      <c r="L244" s="1126"/>
      <c r="M244" s="1253"/>
      <c r="N244" s="1246"/>
      <c r="O244" s="2539"/>
      <c r="P244" s="2539"/>
    </row>
    <row s="40257" customFormat="1" customHeight="1" ht="18.75" hidden="1">
      <c r="A245" s="2695" t="s">
        <v>251</v>
      </c>
      <c r="B245" s="2695" t="s">
        <v>252</v>
      </c>
      <c r="C245" s="1281"/>
      <c r="D245" s="3279"/>
      <c r="E245" s="3028"/>
      <c r="F245" s="3200" t="str">
        <f>INDEX(PT_DIFFERENTIATION_VTAR,MATCH(A245,PT_DIFFERENTIATION_VTAR_ID,0))</f>
        <v>Тариф на подключение (технологическое присоединение) к централизованной системе горячего водоснабжения</v>
      </c>
      <c r="G245" s="3240" t="str">
        <f>INDEX(PT_DIFFERENTIATION_NTAR,MATCH(B245,PT_DIFFERENTIATION_NTAR_ID,0))</f>
        <v/>
      </c>
      <c r="H245" s="2778"/>
      <c r="I245" s="2654"/>
      <c r="J245" s="2688"/>
      <c r="K245" s="2693"/>
      <c r="L245" s="2778" t="s">
        <v>297</v>
      </c>
      <c r="M245" s="1253"/>
      <c r="N245" s="1246"/>
      <c r="O245" s="2539"/>
      <c r="P245" s="2539"/>
    </row>
    <row s="40257" customFormat="1" customHeight="1" ht="18.75" hidden="1">
      <c r="A246" s="2695"/>
      <c r="B246" s="2695"/>
      <c r="C246" s="1281" t="s">
        <v>1121</v>
      </c>
      <c r="D246" s="3279"/>
      <c r="E246" s="3028"/>
      <c r="F246" s="3200"/>
      <c r="G246" s="3240"/>
      <c r="H246" s="2415"/>
      <c r="I246" s="1563" t="s">
        <v>1120</v>
      </c>
      <c r="J246" s="1483"/>
      <c r="K246" s="2415"/>
      <c r="L246" s="1126"/>
      <c r="M246" s="1253"/>
      <c r="N246" s="1246"/>
      <c r="O246" s="2539"/>
      <c r="P246" s="2539"/>
    </row>
    <row s="40257" customFormat="1" customHeight="1" ht="0.75" hidden="1">
      <c r="A247" s="2695"/>
      <c r="B247" s="2695"/>
      <c r="C247" s="1281" t="s">
        <v>1128</v>
      </c>
      <c r="D247" s="3279"/>
      <c r="E247" s="3028"/>
      <c r="F247" s="3200"/>
      <c r="G247" s="1312"/>
      <c r="H247" s="2415"/>
      <c r="I247" s="1563"/>
      <c r="J247" s="1483"/>
      <c r="K247" s="2415"/>
      <c r="L247" s="1126"/>
      <c r="M247" s="1253"/>
      <c r="N247" s="1246"/>
      <c r="O247" s="2539"/>
      <c r="P247" s="2539"/>
    </row>
    <row s="40257" customFormat="1" customHeight="1" ht="18.75" hidden="1">
      <c r="A248" s="2695" t="s">
        <v>256</v>
      </c>
      <c r="B248" s="2695" t="s">
        <v>257</v>
      </c>
      <c r="C248" s="1281"/>
      <c r="D248" s="3279"/>
      <c r="E248" s="3028"/>
      <c r="F248" s="3200" t="str">
        <f>INDEX(PT_DIFFERENTIATION_VTAR,MATCH(A248,PT_DIFFERENTIATION_VTAR_ID,0))</f>
        <v>Тариф на водоотведение</v>
      </c>
      <c r="G248" s="3240" t="str">
        <f>INDEX(PT_DIFFERENTIATION_NTAR,MATCH(B248,PT_DIFFERENTIATION_NTAR_ID,0))</f>
        <v/>
      </c>
      <c r="H248" s="2778"/>
      <c r="I248" s="2654"/>
      <c r="J248" s="2688"/>
      <c r="K248" s="2693"/>
      <c r="L248" s="2778" t="s">
        <v>297</v>
      </c>
      <c r="M248" s="1253"/>
      <c r="N248" s="1246"/>
      <c r="O248" s="2539"/>
      <c r="P248" s="2539"/>
    </row>
    <row s="40257" customFormat="1" customHeight="1" ht="18.75" hidden="1">
      <c r="A249" s="2695"/>
      <c r="B249" s="2695"/>
      <c r="C249" s="1281" t="s">
        <v>1121</v>
      </c>
      <c r="D249" s="3279"/>
      <c r="E249" s="3028"/>
      <c r="F249" s="3200"/>
      <c r="G249" s="3240"/>
      <c r="H249" s="2415"/>
      <c r="I249" s="1563" t="s">
        <v>1120</v>
      </c>
      <c r="J249" s="1483"/>
      <c r="K249" s="2415"/>
      <c r="L249" s="1126"/>
      <c r="M249" s="1253"/>
      <c r="N249" s="1246"/>
      <c r="O249" s="2539"/>
      <c r="P249" s="2539"/>
    </row>
    <row s="40257" customFormat="1" customHeight="1" ht="0.75" hidden="1">
      <c r="A250" s="2695"/>
      <c r="B250" s="2695"/>
      <c r="C250" s="1281" t="s">
        <v>1128</v>
      </c>
      <c r="D250" s="3279"/>
      <c r="E250" s="3028"/>
      <c r="F250" s="3200"/>
      <c r="G250" s="1312"/>
      <c r="H250" s="2415"/>
      <c r="I250" s="1563"/>
      <c r="J250" s="1483"/>
      <c r="K250" s="2415"/>
      <c r="L250" s="1126"/>
      <c r="M250" s="1253"/>
      <c r="N250" s="1246"/>
      <c r="O250" s="2539"/>
      <c r="P250" s="2539"/>
    </row>
    <row s="40257" customFormat="1" customHeight="1" ht="18.75" hidden="1">
      <c r="A251" s="2695" t="s">
        <v>261</v>
      </c>
      <c r="B251" s="2695" t="s">
        <v>262</v>
      </c>
      <c r="C251" s="1281"/>
      <c r="D251" s="3279"/>
      <c r="E251" s="3028"/>
      <c r="F251" s="3200" t="str">
        <f>INDEX(PT_DIFFERENTIATION_VTAR,MATCH(A251,PT_DIFFERENTIATION_VTAR_ID,0))</f>
        <v>Тариф на транспортировку сточных вод</v>
      </c>
      <c r="G251" s="3240" t="str">
        <f>INDEX(PT_DIFFERENTIATION_NTAR,MATCH(B251,PT_DIFFERENTIATION_NTAR_ID,0))</f>
        <v/>
      </c>
      <c r="H251" s="2778"/>
      <c r="I251" s="2654"/>
      <c r="J251" s="2688"/>
      <c r="K251" s="2693"/>
      <c r="L251" s="2778" t="s">
        <v>297</v>
      </c>
      <c r="M251" s="1253"/>
      <c r="N251" s="1246"/>
      <c r="O251" s="2539"/>
      <c r="P251" s="2539"/>
    </row>
    <row s="40257" customFormat="1" customHeight="1" ht="18.75" hidden="1">
      <c r="A252" s="2695"/>
      <c r="B252" s="2695"/>
      <c r="C252" s="1281" t="s">
        <v>1121</v>
      </c>
      <c r="D252" s="3279"/>
      <c r="E252" s="3028"/>
      <c r="F252" s="3200"/>
      <c r="G252" s="3240"/>
      <c r="H252" s="2415"/>
      <c r="I252" s="1563" t="s">
        <v>1120</v>
      </c>
      <c r="J252" s="1483"/>
      <c r="K252" s="2415"/>
      <c r="L252" s="1126"/>
      <c r="M252" s="1253"/>
      <c r="N252" s="1246"/>
      <c r="O252" s="2539"/>
      <c r="P252" s="2539"/>
    </row>
    <row s="40257" customFormat="1" customHeight="1" ht="0.75" hidden="1">
      <c r="A253" s="2695"/>
      <c r="B253" s="2695"/>
      <c r="C253" s="1281" t="s">
        <v>1128</v>
      </c>
      <c r="D253" s="3279"/>
      <c r="E253" s="3028"/>
      <c r="F253" s="3200"/>
      <c r="G253" s="1312"/>
      <c r="H253" s="2415"/>
      <c r="I253" s="1563"/>
      <c r="J253" s="1483"/>
      <c r="K253" s="2415"/>
      <c r="L253" s="1126"/>
      <c r="M253" s="1253"/>
      <c r="N253" s="1246"/>
      <c r="O253" s="2539"/>
      <c r="P253" s="2539"/>
    </row>
    <row s="40257" customFormat="1" customHeight="1" ht="18.75" hidden="1">
      <c r="A254" s="2695" t="s">
        <v>266</v>
      </c>
      <c r="B254" s="2695" t="s">
        <v>267</v>
      </c>
      <c r="C254" s="1281"/>
      <c r="D254" s="3279"/>
      <c r="E254" s="3028"/>
      <c r="F254" s="3200" t="str">
        <f>INDEX(PT_DIFFERENTIATION_VTAR,MATCH(A254,PT_DIFFERENTIATION_VTAR_ID,0))</f>
        <v>Тариф на подключение (технологическое присоединение) к централизованной системе водоотведения</v>
      </c>
      <c r="G254" s="3240" t="str">
        <f>INDEX(PT_DIFFERENTIATION_NTAR,MATCH(B254,PT_DIFFERENTIATION_NTAR_ID,0))</f>
        <v/>
      </c>
      <c r="H254" s="2778"/>
      <c r="I254" s="2654"/>
      <c r="J254" s="2688"/>
      <c r="K254" s="2693"/>
      <c r="L254" s="2778" t="s">
        <v>297</v>
      </c>
      <c r="M254" s="1253"/>
      <c r="N254" s="1246"/>
      <c r="O254" s="2539"/>
      <c r="P254" s="2539"/>
    </row>
    <row s="40257" customFormat="1" customHeight="1" ht="18.75" hidden="1">
      <c r="A255" s="2695"/>
      <c r="B255" s="2695"/>
      <c r="C255" s="1281" t="s">
        <v>1121</v>
      </c>
      <c r="D255" s="3279"/>
      <c r="E255" s="3028"/>
      <c r="F255" s="3200"/>
      <c r="G255" s="3240"/>
      <c r="H255" s="2415"/>
      <c r="I255" s="1563" t="s">
        <v>1120</v>
      </c>
      <c r="J255" s="1483"/>
      <c r="K255" s="2415"/>
      <c r="L255" s="1126"/>
      <c r="M255" s="1253"/>
      <c r="N255" s="1246"/>
      <c r="O255" s="2539"/>
      <c r="P255" s="2539"/>
    </row>
    <row s="40257" customFormat="1" customHeight="1" ht="0.75">
      <c r="A256" s="2695"/>
      <c r="B256" s="2695"/>
      <c r="C256" s="1281" t="s">
        <v>1128</v>
      </c>
      <c r="D256" s="3279"/>
      <c r="E256" s="3028"/>
      <c r="F256" s="3200"/>
      <c r="G256" s="1312"/>
      <c r="H256" s="2415"/>
      <c r="I256" s="1563"/>
      <c r="J256" s="1483"/>
      <c r="K256" s="2415"/>
      <c r="L256" s="1126"/>
      <c r="M256" s="1253"/>
      <c r="N256" s="1246"/>
      <c r="O256" s="2539"/>
      <c r="P256" s="2539"/>
    </row>
    <row customHeight="1" ht="25.5">
      <c r="A257" s="2695"/>
      <c r="B257" s="2695"/>
      <c r="D257" s="1288"/>
      <c r="E257" s="1060" t="s">
        <v>88</v>
      </c>
      <c r="F257" s="32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277"/>
      <c r="H257" s="3277"/>
      <c r="I257" s="3277"/>
      <c r="J257" s="3277"/>
      <c r="K257" s="3277"/>
      <c r="L257" s="3277"/>
      <c r="M257" s="1209"/>
      <c r="N257" s="1246"/>
    </row>
    <row s="40257" customFormat="1" customHeight="1" ht="60.75" hidden="1">
      <c r="A258" s="2695" t="s">
        <v>148</v>
      </c>
      <c r="B258" s="2695" t="s">
        <v>149</v>
      </c>
      <c r="C258" s="1281"/>
      <c r="D258" s="3279"/>
      <c r="E258" s="3028"/>
      <c r="F258" s="320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240" t="str">
        <f>INDEX(PT_DIFFERENTIATION_NTAR,MATCH(B258,PT_DIFFERENTIATION_NTAR_ID,0))</f>
        <v/>
      </c>
      <c r="H258" s="2778"/>
      <c r="I258" s="2654"/>
      <c r="J258" s="2688"/>
      <c r="K258" s="2693"/>
      <c r="L258" s="2778" t="s">
        <v>297</v>
      </c>
      <c r="M258"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1246"/>
      <c r="O258" s="2539"/>
      <c r="P258" s="2539"/>
    </row>
    <row s="40257" customFormat="1" customHeight="1" ht="18.75" hidden="1">
      <c r="A259" s="2695"/>
      <c r="B259" s="2695"/>
      <c r="C259" s="1281" t="s">
        <v>1121</v>
      </c>
      <c r="D259" s="3279"/>
      <c r="E259" s="3028"/>
      <c r="F259" s="3200"/>
      <c r="G259" s="3240"/>
      <c r="H259" s="2415"/>
      <c r="I259" s="1563" t="s">
        <v>1120</v>
      </c>
      <c r="J259" s="1483"/>
      <c r="K259" s="2415"/>
      <c r="L259" s="1126"/>
      <c r="M259" s="2994"/>
      <c r="N259" s="1246"/>
      <c r="O259" s="2539"/>
      <c r="P259" s="2539"/>
    </row>
    <row s="40257" customFormat="1" customHeight="1" ht="0.75" hidden="1">
      <c r="A260" s="2695"/>
      <c r="B260" s="2695"/>
      <c r="C260" s="1281" t="s">
        <v>1128</v>
      </c>
      <c r="D260" s="3279"/>
      <c r="E260" s="3028"/>
      <c r="F260" s="3200"/>
      <c r="G260" s="1312"/>
      <c r="H260" s="2415"/>
      <c r="I260" s="1563"/>
      <c r="J260" s="1483"/>
      <c r="K260" s="2415"/>
      <c r="L260" s="1126"/>
      <c r="M260" s="2994"/>
      <c r="N260" s="1246"/>
      <c r="O260" s="2539"/>
      <c r="P260" s="2539"/>
    </row>
    <row s="40257" customFormat="1" customHeight="1" ht="45" hidden="1">
      <c r="A261" s="2695" t="s">
        <v>154</v>
      </c>
      <c r="B261" s="2695" t="s">
        <v>155</v>
      </c>
      <c r="C261" s="1281"/>
      <c r="D261" s="3279"/>
      <c r="E261" s="3028"/>
      <c r="F261" s="320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240" t="str">
        <f>INDEX(PT_DIFFERENTIATION_NTAR,MATCH(B261,PT_DIFFERENTIATION_NTAR_ID,0))</f>
        <v/>
      </c>
      <c r="H261" s="2778"/>
      <c r="I261" s="2654"/>
      <c r="J261" s="2688"/>
      <c r="K261" s="2693"/>
      <c r="L261" s="2778" t="s">
        <v>297</v>
      </c>
      <c r="M261" s="2995"/>
      <c r="N261" s="1246"/>
      <c r="O261" s="2539"/>
      <c r="P261" s="2539"/>
    </row>
    <row s="40257" customFormat="1" customHeight="1" ht="18.75" hidden="1">
      <c r="A262" s="2695"/>
      <c r="B262" s="2695"/>
      <c r="C262" s="1281" t="s">
        <v>1121</v>
      </c>
      <c r="D262" s="3279"/>
      <c r="E262" s="3028"/>
      <c r="F262" s="3200"/>
      <c r="G262" s="3240"/>
      <c r="H262" s="2415"/>
      <c r="I262" s="1563" t="s">
        <v>1120</v>
      </c>
      <c r="J262" s="1483"/>
      <c r="K262" s="2415"/>
      <c r="L262" s="1126"/>
      <c r="M262" s="2777"/>
      <c r="N262" s="1246"/>
      <c r="O262" s="2539"/>
      <c r="P262" s="2539"/>
    </row>
    <row s="40257" customFormat="1" customHeight="1" ht="0.75" hidden="1">
      <c r="A263" s="2695"/>
      <c r="B263" s="2695"/>
      <c r="C263" s="1281" t="s">
        <v>1128</v>
      </c>
      <c r="D263" s="3279"/>
      <c r="E263" s="3028"/>
      <c r="F263" s="3200"/>
      <c r="G263" s="1312"/>
      <c r="H263" s="2415"/>
      <c r="I263" s="1563"/>
      <c r="J263" s="1483"/>
      <c r="K263" s="2415"/>
      <c r="L263" s="1126"/>
      <c r="M263" s="1253"/>
      <c r="N263" s="1246"/>
      <c r="O263" s="2539"/>
      <c r="P263" s="2539"/>
    </row>
    <row s="40257" customFormat="1" customHeight="1" ht="45" hidden="1">
      <c r="A264" s="2695" t="s">
        <v>160</v>
      </c>
      <c r="B264" s="2695" t="s">
        <v>161</v>
      </c>
      <c r="C264" s="1281"/>
      <c r="D264" s="3279"/>
      <c r="E264" s="3028"/>
      <c r="F264" s="320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240" t="str">
        <f>INDEX(PT_DIFFERENTIATION_NTAR,MATCH(B264,PT_DIFFERENTIATION_NTAR_ID,0))</f>
        <v/>
      </c>
      <c r="H264" s="2778"/>
      <c r="I264" s="2654"/>
      <c r="J264" s="2688"/>
      <c r="K264" s="2693"/>
      <c r="L264" s="2778" t="s">
        <v>297</v>
      </c>
      <c r="M264" s="1253"/>
      <c r="N264" s="1246"/>
      <c r="O264" s="2539"/>
      <c r="P264" s="2539"/>
    </row>
    <row s="40257" customFormat="1" customHeight="1" ht="18.75" hidden="1">
      <c r="A265" s="2695"/>
      <c r="B265" s="2695"/>
      <c r="C265" s="1281" t="s">
        <v>1121</v>
      </c>
      <c r="D265" s="3279"/>
      <c r="E265" s="3028"/>
      <c r="F265" s="3200"/>
      <c r="G265" s="3240"/>
      <c r="H265" s="2415"/>
      <c r="I265" s="1563" t="s">
        <v>1120</v>
      </c>
      <c r="J265" s="1483"/>
      <c r="K265" s="2415"/>
      <c r="L265" s="1126"/>
      <c r="M265" s="1253"/>
      <c r="N265" s="1246"/>
      <c r="O265" s="2539"/>
      <c r="P265" s="2539"/>
    </row>
    <row s="40257" customFormat="1" customHeight="1" ht="0.75" hidden="1">
      <c r="A266" s="2695"/>
      <c r="B266" s="2695"/>
      <c r="C266" s="1281" t="s">
        <v>1128</v>
      </c>
      <c r="D266" s="3279"/>
      <c r="E266" s="3028"/>
      <c r="F266" s="3200"/>
      <c r="G266" s="1312"/>
      <c r="H266" s="2415"/>
      <c r="I266" s="1563"/>
      <c r="J266" s="1483"/>
      <c r="K266" s="2415"/>
      <c r="L266" s="1126"/>
      <c r="M266" s="1253"/>
      <c r="N266" s="1246"/>
      <c r="O266" s="2539"/>
      <c r="P266" s="2539"/>
    </row>
    <row s="40257" customFormat="1" customHeight="1" ht="45" hidden="1">
      <c r="A267" s="2695" t="s">
        <v>166</v>
      </c>
      <c r="B267" s="2695" t="s">
        <v>167</v>
      </c>
      <c r="C267" s="1281"/>
      <c r="D267" s="3279"/>
      <c r="E267" s="3028"/>
      <c r="F267" s="320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240" t="str">
        <f>INDEX(PT_DIFFERENTIATION_NTAR,MATCH(B267,PT_DIFFERENTIATION_NTAR_ID,0))</f>
        <v/>
      </c>
      <c r="H267" s="2778"/>
      <c r="I267" s="2654"/>
      <c r="J267" s="2688"/>
      <c r="K267" s="2693"/>
      <c r="L267" s="2778" t="s">
        <v>297</v>
      </c>
      <c r="M267" s="1253"/>
      <c r="N267" s="1246"/>
      <c r="O267" s="2539"/>
      <c r="P267" s="2539"/>
    </row>
    <row s="40257" customFormat="1" customHeight="1" ht="18.75" hidden="1">
      <c r="A268" s="2695"/>
      <c r="B268" s="2695"/>
      <c r="C268" s="1281" t="s">
        <v>1121</v>
      </c>
      <c r="D268" s="3279"/>
      <c r="E268" s="3028"/>
      <c r="F268" s="3200"/>
      <c r="G268" s="3240"/>
      <c r="H268" s="2415"/>
      <c r="I268" s="1563" t="s">
        <v>1120</v>
      </c>
      <c r="J268" s="1483"/>
      <c r="K268" s="2415"/>
      <c r="L268" s="1126"/>
      <c r="M268" s="1253"/>
      <c r="N268" s="1246"/>
      <c r="O268" s="2539"/>
      <c r="P268" s="2539"/>
    </row>
    <row s="40257" customFormat="1" customHeight="1" ht="0.75" hidden="1">
      <c r="A269" s="2695"/>
      <c r="B269" s="2695"/>
      <c r="C269" s="1281" t="s">
        <v>1128</v>
      </c>
      <c r="D269" s="3279"/>
      <c r="E269" s="3028"/>
      <c r="F269" s="3200"/>
      <c r="G269" s="1312"/>
      <c r="H269" s="2415"/>
      <c r="I269" s="1563"/>
      <c r="J269" s="1483"/>
      <c r="K269" s="2415"/>
      <c r="L269" s="1126"/>
      <c r="M269" s="1253"/>
      <c r="N269" s="1246"/>
      <c r="O269" s="2539"/>
      <c r="P269" s="2539"/>
    </row>
    <row s="40257" customFormat="1" customHeight="1" ht="18.75" hidden="1">
      <c r="A270" s="2695" t="s">
        <v>172</v>
      </c>
      <c r="B270" s="2695" t="s">
        <v>173</v>
      </c>
      <c r="C270" s="1281"/>
      <c r="D270" s="3279"/>
      <c r="E270" s="3028"/>
      <c r="F270" s="3200" t="str">
        <f>INDEX(PT_DIFFERENTIATION_VTAR,MATCH(A270,PT_DIFFERENTIATION_VTAR_ID,0))</f>
        <v>Тарифы на услуги по передаче тепловой энергии</v>
      </c>
      <c r="G270" s="3240" t="str">
        <f>INDEX(PT_DIFFERENTIATION_NTAR,MATCH(B270,PT_DIFFERENTIATION_NTAR_ID,0))</f>
        <v/>
      </c>
      <c r="H270" s="2778"/>
      <c r="I270" s="2654"/>
      <c r="J270" s="2688"/>
      <c r="K270" s="2693"/>
      <c r="L270" s="2778" t="s">
        <v>297</v>
      </c>
      <c r="M270" s="1253"/>
      <c r="N270" s="1246"/>
      <c r="O270" s="2539"/>
      <c r="P270" s="2539"/>
    </row>
    <row s="40257" customFormat="1" customHeight="1" ht="18.75" hidden="1">
      <c r="A271" s="2695"/>
      <c r="B271" s="2695"/>
      <c r="C271" s="1281" t="s">
        <v>1121</v>
      </c>
      <c r="D271" s="3279"/>
      <c r="E271" s="3028"/>
      <c r="F271" s="3200"/>
      <c r="G271" s="3240"/>
      <c r="H271" s="2415"/>
      <c r="I271" s="1563" t="s">
        <v>1120</v>
      </c>
      <c r="J271" s="1483"/>
      <c r="K271" s="2415"/>
      <c r="L271" s="1126"/>
      <c r="M271" s="1253"/>
      <c r="N271" s="1246"/>
      <c r="O271" s="2539"/>
      <c r="P271" s="2539"/>
    </row>
    <row s="40257" customFormat="1" customHeight="1" ht="0.75" hidden="1">
      <c r="A272" s="2695"/>
      <c r="B272" s="2695"/>
      <c r="C272" s="1281" t="s">
        <v>1128</v>
      </c>
      <c r="D272" s="3279"/>
      <c r="E272" s="3028"/>
      <c r="F272" s="3200"/>
      <c r="G272" s="1312"/>
      <c r="H272" s="2415"/>
      <c r="I272" s="1563"/>
      <c r="J272" s="1483"/>
      <c r="K272" s="2415"/>
      <c r="L272" s="1126"/>
      <c r="M272" s="1253"/>
      <c r="N272" s="1246"/>
      <c r="O272" s="2539"/>
      <c r="P272" s="2539"/>
    </row>
    <row s="40257" customFormat="1" customHeight="1" ht="18.75" hidden="1">
      <c r="A273" s="2695" t="s">
        <v>178</v>
      </c>
      <c r="B273" s="2695" t="s">
        <v>179</v>
      </c>
      <c r="C273" s="1281"/>
      <c r="D273" s="3279"/>
      <c r="E273" s="3028"/>
      <c r="F273" s="3200" t="str">
        <f>INDEX(PT_DIFFERENTIATION_VTAR,MATCH(A273,PT_DIFFERENTIATION_VTAR_ID,0))</f>
        <v>Тарифы на услуги по передаче теплоносителя</v>
      </c>
      <c r="G273" s="3240" t="str">
        <f>INDEX(PT_DIFFERENTIATION_NTAR,MATCH(B273,PT_DIFFERENTIATION_NTAR_ID,0))</f>
        <v/>
      </c>
      <c r="H273" s="2778"/>
      <c r="I273" s="2654"/>
      <c r="J273" s="2688"/>
      <c r="K273" s="2693"/>
      <c r="L273" s="2778" t="s">
        <v>297</v>
      </c>
      <c r="M273" s="1253"/>
      <c r="N273" s="1246"/>
      <c r="O273" s="2539"/>
      <c r="P273" s="2539"/>
    </row>
    <row s="40257" customFormat="1" customHeight="1" ht="18.75" hidden="1">
      <c r="A274" s="2695"/>
      <c r="B274" s="2695"/>
      <c r="C274" s="1281" t="s">
        <v>1121</v>
      </c>
      <c r="D274" s="3279"/>
      <c r="E274" s="3028"/>
      <c r="F274" s="3200"/>
      <c r="G274" s="3240"/>
      <c r="H274" s="2415"/>
      <c r="I274" s="1563" t="s">
        <v>1120</v>
      </c>
      <c r="J274" s="1483"/>
      <c r="K274" s="2415"/>
      <c r="L274" s="1126"/>
      <c r="M274" s="1253"/>
      <c r="N274" s="1246"/>
      <c r="O274" s="2539"/>
      <c r="P274" s="2539"/>
    </row>
    <row s="40257" customFormat="1" customHeight="1" ht="0.75" hidden="1">
      <c r="A275" s="2695"/>
      <c r="B275" s="2695"/>
      <c r="C275" s="1281" t="s">
        <v>1128</v>
      </c>
      <c r="D275" s="3279"/>
      <c r="E275" s="3028"/>
      <c r="F275" s="3200"/>
      <c r="G275" s="1312"/>
      <c r="H275" s="2415"/>
      <c r="I275" s="1563"/>
      <c r="J275" s="1483"/>
      <c r="K275" s="2415"/>
      <c r="L275" s="1126"/>
      <c r="M275" s="1253"/>
      <c r="N275" s="1246"/>
      <c r="O275" s="2539"/>
      <c r="P275" s="2539"/>
    </row>
    <row s="40257" customFormat="1" customHeight="1" ht="18.75" hidden="1">
      <c r="A276" s="2695" t="s">
        <v>184</v>
      </c>
      <c r="B276" s="2695" t="s">
        <v>185</v>
      </c>
      <c r="C276" s="1281"/>
      <c r="D276" s="3279"/>
      <c r="E276" s="3028"/>
      <c r="F276" s="320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240" t="str">
        <f>INDEX(PT_DIFFERENTIATION_NTAR,MATCH(B276,PT_DIFFERENTIATION_NTAR_ID,0))</f>
        <v/>
      </c>
      <c r="H276" s="2778"/>
      <c r="I276" s="2654"/>
      <c r="J276" s="2688"/>
      <c r="K276" s="2693"/>
      <c r="L276" s="2778" t="s">
        <v>297</v>
      </c>
      <c r="M276" s="1253"/>
      <c r="N276" s="1246"/>
      <c r="O276" s="2539"/>
      <c r="P276" s="2539"/>
    </row>
    <row s="40257" customFormat="1" customHeight="1" ht="18.75" hidden="1">
      <c r="A277" s="2695"/>
      <c r="B277" s="2695"/>
      <c r="C277" s="1281" t="s">
        <v>1121</v>
      </c>
      <c r="D277" s="3279"/>
      <c r="E277" s="3028"/>
      <c r="F277" s="3200"/>
      <c r="G277" s="3240"/>
      <c r="H277" s="2415"/>
      <c r="I277" s="1563" t="s">
        <v>1120</v>
      </c>
      <c r="J277" s="1483"/>
      <c r="K277" s="2415"/>
      <c r="L277" s="1126"/>
      <c r="M277" s="1253"/>
      <c r="N277" s="1246"/>
      <c r="O277" s="2539"/>
      <c r="P277" s="2539"/>
    </row>
    <row s="40257" customFormat="1" customHeight="1" ht="0.75" hidden="1">
      <c r="A278" s="2695"/>
      <c r="B278" s="2695"/>
      <c r="C278" s="1281" t="s">
        <v>1128</v>
      </c>
      <c r="D278" s="3279"/>
      <c r="E278" s="3028"/>
      <c r="F278" s="3200"/>
      <c r="G278" s="1312"/>
      <c r="H278" s="2415"/>
      <c r="I278" s="1563"/>
      <c r="J278" s="1483"/>
      <c r="K278" s="2415"/>
      <c r="L278" s="1126"/>
      <c r="M278" s="1253"/>
      <c r="N278" s="1246"/>
      <c r="O278" s="2539"/>
      <c r="P278" s="2539"/>
    </row>
    <row s="40257" customFormat="1" customHeight="1" ht="18.75" hidden="1">
      <c r="A279" s="2695" t="s">
        <v>190</v>
      </c>
      <c r="B279" s="2695" t="s">
        <v>191</v>
      </c>
      <c r="C279" s="1281"/>
      <c r="D279" s="3279"/>
      <c r="E279" s="3028"/>
      <c r="F279" s="3200" t="str">
        <f>INDEX(PT_DIFFERENTIATION_VTAR,MATCH(A279,PT_DIFFERENTIATION_VTAR_ID,0))</f>
        <v>Плата за подключение (технологическое присоединение) к системе теплоснабжения</v>
      </c>
      <c r="G279" s="3240" t="str">
        <f>INDEX(PT_DIFFERENTIATION_NTAR,MATCH(B279,PT_DIFFERENTIATION_NTAR_ID,0))</f>
        <v/>
      </c>
      <c r="H279" s="2778"/>
      <c r="I279" s="2654"/>
      <c r="J279" s="2688"/>
      <c r="K279" s="2693"/>
      <c r="L279" s="2778" t="s">
        <v>297</v>
      </c>
      <c r="M279" s="1253"/>
      <c r="N279" s="1246"/>
      <c r="O279" s="2539"/>
      <c r="P279" s="2539"/>
    </row>
    <row s="40257" customFormat="1" customHeight="1" ht="18.75" hidden="1">
      <c r="A280" s="2695"/>
      <c r="B280" s="2695"/>
      <c r="C280" s="1281" t="s">
        <v>1121</v>
      </c>
      <c r="D280" s="3279"/>
      <c r="E280" s="3028"/>
      <c r="F280" s="3200"/>
      <c r="G280" s="3240"/>
      <c r="H280" s="2415"/>
      <c r="I280" s="1563" t="s">
        <v>1120</v>
      </c>
      <c r="J280" s="1483"/>
      <c r="K280" s="2415"/>
      <c r="L280" s="1126"/>
      <c r="M280" s="1253"/>
      <c r="N280" s="1246"/>
      <c r="O280" s="2539"/>
      <c r="P280" s="2539"/>
    </row>
    <row s="40257" customFormat="1" customHeight="1" ht="0.75" hidden="1">
      <c r="A281" s="2695"/>
      <c r="B281" s="2695"/>
      <c r="C281" s="1281" t="s">
        <v>1128</v>
      </c>
      <c r="D281" s="3279"/>
      <c r="E281" s="3028"/>
      <c r="F281" s="3200"/>
      <c r="G281" s="1312"/>
      <c r="H281" s="2415"/>
      <c r="I281" s="1563"/>
      <c r="J281" s="1483"/>
      <c r="K281" s="2415"/>
      <c r="L281" s="1126"/>
      <c r="M281" s="1253"/>
      <c r="N281" s="1246"/>
      <c r="O281" s="2539"/>
      <c r="P281" s="2539"/>
    </row>
    <row s="40257" customFormat="1" customHeight="1" ht="18.75" hidden="1">
      <c r="A282" s="2695" t="s">
        <v>216</v>
      </c>
      <c r="B282" s="2695" t="s">
        <v>217</v>
      </c>
      <c r="C282" s="1281"/>
      <c r="D282" s="3279"/>
      <c r="E282" s="3028"/>
      <c r="F282" s="3200" t="str">
        <f>INDEX(PT_DIFFERENTIATION_VTAR,MATCH(A282,PT_DIFFERENTIATION_VTAR_ID,0))</f>
        <v>Тариф на питьевую воду (питьевое водоснабжение)</v>
      </c>
      <c r="G282" s="3240" t="str">
        <f>INDEX(PT_DIFFERENTIATION_NTAR,MATCH(B282,PT_DIFFERENTIATION_NTAR_ID,0))</f>
        <v/>
      </c>
      <c r="H282" s="2778"/>
      <c r="I282" s="2654"/>
      <c r="J282" s="2688"/>
      <c r="K282" s="2693"/>
      <c r="L282" s="2778" t="s">
        <v>297</v>
      </c>
      <c r="M282" s="1253"/>
      <c r="N282" s="1246"/>
      <c r="O282" s="2539"/>
      <c r="P282" s="2539"/>
    </row>
    <row s="40257" customFormat="1" customHeight="1" ht="18.75" hidden="1">
      <c r="A283" s="2695"/>
      <c r="B283" s="2695"/>
      <c r="C283" s="1281" t="s">
        <v>1121</v>
      </c>
      <c r="D283" s="3279"/>
      <c r="E283" s="3028"/>
      <c r="F283" s="3200"/>
      <c r="G283" s="3240"/>
      <c r="H283" s="2415"/>
      <c r="I283" s="1563" t="s">
        <v>1120</v>
      </c>
      <c r="J283" s="1483"/>
      <c r="K283" s="2415"/>
      <c r="L283" s="1126"/>
      <c r="M283" s="1253"/>
      <c r="N283" s="1246"/>
      <c r="O283" s="2539"/>
      <c r="P283" s="2539"/>
    </row>
    <row s="40257" customFormat="1" customHeight="1" ht="0.75" hidden="1">
      <c r="A284" s="2695"/>
      <c r="B284" s="2695"/>
      <c r="C284" s="1281" t="s">
        <v>1128</v>
      </c>
      <c r="D284" s="3279"/>
      <c r="E284" s="3028"/>
      <c r="F284" s="3200"/>
      <c r="G284" s="1312"/>
      <c r="H284" s="2415"/>
      <c r="I284" s="1563"/>
      <c r="J284" s="1483"/>
      <c r="K284" s="2415"/>
      <c r="L284" s="1126"/>
      <c r="M284" s="1253"/>
      <c r="N284" s="1246"/>
      <c r="O284" s="2539"/>
      <c r="P284" s="2539"/>
    </row>
    <row s="40257" customFormat="1" customHeight="1" ht="18.75" hidden="1">
      <c r="A285" s="2695" t="s">
        <v>221</v>
      </c>
      <c r="B285" s="2695" t="s">
        <v>222</v>
      </c>
      <c r="C285" s="1281"/>
      <c r="D285" s="3279"/>
      <c r="E285" s="3028"/>
      <c r="F285" s="3200" t="str">
        <f>INDEX(PT_DIFFERENTIATION_VTAR,MATCH(A285,PT_DIFFERENTIATION_VTAR_ID,0))</f>
        <v>Тариф на техническую воду</v>
      </c>
      <c r="G285" s="3240" t="str">
        <f>INDEX(PT_DIFFERENTIATION_NTAR,MATCH(B285,PT_DIFFERENTIATION_NTAR_ID,0))</f>
        <v/>
      </c>
      <c r="H285" s="2778"/>
      <c r="I285" s="2654"/>
      <c r="J285" s="2688"/>
      <c r="K285" s="2693"/>
      <c r="L285" s="2778" t="s">
        <v>297</v>
      </c>
      <c r="M285" s="1253"/>
      <c r="N285" s="1246"/>
      <c r="O285" s="2539"/>
      <c r="P285" s="2539"/>
    </row>
    <row s="40257" customFormat="1" customHeight="1" ht="18.75" hidden="1">
      <c r="A286" s="2695"/>
      <c r="B286" s="2695"/>
      <c r="C286" s="1281" t="s">
        <v>1121</v>
      </c>
      <c r="D286" s="3279"/>
      <c r="E286" s="3028"/>
      <c r="F286" s="3200"/>
      <c r="G286" s="3240"/>
      <c r="H286" s="2415"/>
      <c r="I286" s="1563" t="s">
        <v>1120</v>
      </c>
      <c r="J286" s="1483"/>
      <c r="K286" s="2415"/>
      <c r="L286" s="1126"/>
      <c r="M286" s="1253"/>
      <c r="N286" s="1246"/>
      <c r="O286" s="2539"/>
      <c r="P286" s="2539"/>
    </row>
    <row s="40257" customFormat="1" customHeight="1" ht="0.75" hidden="1">
      <c r="A287" s="2695"/>
      <c r="B287" s="2695"/>
      <c r="C287" s="1281" t="s">
        <v>1128</v>
      </c>
      <c r="D287" s="3279"/>
      <c r="E287" s="3028"/>
      <c r="F287" s="3200"/>
      <c r="G287" s="1312"/>
      <c r="H287" s="2415"/>
      <c r="I287" s="1563"/>
      <c r="J287" s="1483"/>
      <c r="K287" s="2415"/>
      <c r="L287" s="1126"/>
      <c r="M287" s="1253"/>
      <c r="N287" s="1246"/>
      <c r="O287" s="2539"/>
      <c r="P287" s="2539"/>
    </row>
    <row s="40257" customFormat="1" customHeight="1" ht="18.75" hidden="1">
      <c r="A288" s="2695" t="s">
        <v>226</v>
      </c>
      <c r="B288" s="2695" t="s">
        <v>227</v>
      </c>
      <c r="C288" s="1281"/>
      <c r="D288" s="3279"/>
      <c r="E288" s="3028"/>
      <c r="F288" s="3200" t="str">
        <f>INDEX(PT_DIFFERENTIATION_VTAR,MATCH(A288,PT_DIFFERENTIATION_VTAR_ID,0))</f>
        <v>Тариф на транспортировку воды</v>
      </c>
      <c r="G288" s="3240" t="str">
        <f>INDEX(PT_DIFFERENTIATION_NTAR,MATCH(B288,PT_DIFFERENTIATION_NTAR_ID,0))</f>
        <v/>
      </c>
      <c r="H288" s="2778"/>
      <c r="I288" s="2654"/>
      <c r="J288" s="2688"/>
      <c r="K288" s="2693"/>
      <c r="L288" s="2778" t="s">
        <v>297</v>
      </c>
      <c r="M288" s="1253"/>
      <c r="N288" s="1246"/>
      <c r="O288" s="2539"/>
      <c r="P288" s="2539"/>
    </row>
    <row s="40257" customFormat="1" customHeight="1" ht="18.75" hidden="1">
      <c r="A289" s="2695"/>
      <c r="B289" s="2695"/>
      <c r="C289" s="1281" t="s">
        <v>1121</v>
      </c>
      <c r="D289" s="3279"/>
      <c r="E289" s="3028"/>
      <c r="F289" s="3200"/>
      <c r="G289" s="3240"/>
      <c r="H289" s="2415"/>
      <c r="I289" s="1563" t="s">
        <v>1120</v>
      </c>
      <c r="J289" s="1483"/>
      <c r="K289" s="2415"/>
      <c r="L289" s="1126"/>
      <c r="M289" s="1253"/>
      <c r="N289" s="1246"/>
      <c r="O289" s="2539"/>
      <c r="P289" s="2539"/>
    </row>
    <row s="40257" customFormat="1" customHeight="1" ht="0.75" hidden="1">
      <c r="A290" s="2695"/>
      <c r="B290" s="2695"/>
      <c r="C290" s="1281" t="s">
        <v>1128</v>
      </c>
      <c r="D290" s="3279"/>
      <c r="E290" s="3028"/>
      <c r="F290" s="3200"/>
      <c r="G290" s="1312"/>
      <c r="H290" s="2415"/>
      <c r="I290" s="1563"/>
      <c r="J290" s="1483"/>
      <c r="K290" s="2415"/>
      <c r="L290" s="1126"/>
      <c r="M290" s="1253"/>
      <c r="N290" s="1246"/>
      <c r="O290" s="2539"/>
      <c r="P290" s="2539"/>
    </row>
    <row s="40257" customFormat="1" customHeight="1" ht="18.75" hidden="1">
      <c r="A291" s="2695" t="s">
        <v>231</v>
      </c>
      <c r="B291" s="2695" t="s">
        <v>232</v>
      </c>
      <c r="C291" s="1281"/>
      <c r="D291" s="3279"/>
      <c r="E291" s="3028"/>
      <c r="F291" s="3200" t="str">
        <f>INDEX(PT_DIFFERENTIATION_VTAR,MATCH(A291,PT_DIFFERENTIATION_VTAR_ID,0))</f>
        <v>Тариф на подвоз воды</v>
      </c>
      <c r="G291" s="3240" t="str">
        <f>INDEX(PT_DIFFERENTIATION_NTAR,MATCH(B291,PT_DIFFERENTIATION_NTAR_ID,0))</f>
        <v/>
      </c>
      <c r="H291" s="2778"/>
      <c r="I291" s="2654"/>
      <c r="J291" s="2688"/>
      <c r="K291" s="2693"/>
      <c r="L291" s="2778" t="s">
        <v>297</v>
      </c>
      <c r="M291" s="1253"/>
      <c r="N291" s="1246"/>
      <c r="O291" s="2539"/>
      <c r="P291" s="2539"/>
    </row>
    <row s="40257" customFormat="1" customHeight="1" ht="18.75" hidden="1">
      <c r="A292" s="2695"/>
      <c r="B292" s="2695"/>
      <c r="C292" s="1281" t="s">
        <v>1121</v>
      </c>
      <c r="D292" s="3279"/>
      <c r="E292" s="3028"/>
      <c r="F292" s="3200"/>
      <c r="G292" s="3240"/>
      <c r="H292" s="2415"/>
      <c r="I292" s="1563" t="s">
        <v>1120</v>
      </c>
      <c r="J292" s="1483"/>
      <c r="K292" s="2415"/>
      <c r="L292" s="1126"/>
      <c r="M292" s="1253"/>
      <c r="N292" s="1246"/>
      <c r="O292" s="2539"/>
      <c r="P292" s="2539"/>
    </row>
    <row s="40257" customFormat="1" customHeight="1" ht="0.75" hidden="1">
      <c r="A293" s="2695"/>
      <c r="B293" s="2695"/>
      <c r="C293" s="1281" t="s">
        <v>1128</v>
      </c>
      <c r="D293" s="3279"/>
      <c r="E293" s="3028"/>
      <c r="F293" s="3200"/>
      <c r="G293" s="1312"/>
      <c r="H293" s="2415"/>
      <c r="I293" s="1563"/>
      <c r="J293" s="1483"/>
      <c r="K293" s="2415"/>
      <c r="L293" s="1126"/>
      <c r="M293" s="1253"/>
      <c r="N293" s="1246"/>
      <c r="O293" s="2539"/>
      <c r="P293" s="2539"/>
    </row>
    <row s="40257" customFormat="1" customHeight="1" ht="18.75" hidden="1">
      <c r="A294" s="2695" t="s">
        <v>236</v>
      </c>
      <c r="B294" s="2695" t="s">
        <v>237</v>
      </c>
      <c r="C294" s="1281"/>
      <c r="D294" s="3279"/>
      <c r="E294" s="3028"/>
      <c r="F294" s="320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240" t="str">
        <f>INDEX(PT_DIFFERENTIATION_NTAR,MATCH(B294,PT_DIFFERENTIATION_NTAR_ID,0))</f>
        <v/>
      </c>
      <c r="H294" s="2778"/>
      <c r="I294" s="2654"/>
      <c r="J294" s="2688"/>
      <c r="K294" s="2693"/>
      <c r="L294" s="2778" t="s">
        <v>297</v>
      </c>
      <c r="M294" s="1253"/>
      <c r="N294" s="1246"/>
      <c r="O294" s="2539"/>
      <c r="P294" s="2539"/>
    </row>
    <row s="40257" customFormat="1" customHeight="1" ht="18.75" hidden="1">
      <c r="A295" s="2695"/>
      <c r="B295" s="2695"/>
      <c r="C295" s="1281" t="s">
        <v>1121</v>
      </c>
      <c r="D295" s="3279"/>
      <c r="E295" s="3028"/>
      <c r="F295" s="3200"/>
      <c r="G295" s="3240"/>
      <c r="H295" s="2415"/>
      <c r="I295" s="1563" t="s">
        <v>1120</v>
      </c>
      <c r="J295" s="1483"/>
      <c r="K295" s="2415"/>
      <c r="L295" s="1126"/>
      <c r="M295" s="1253"/>
      <c r="N295" s="1246"/>
      <c r="O295" s="2539"/>
      <c r="P295" s="2539"/>
    </row>
    <row s="40257" customFormat="1" customHeight="1" ht="0.75" hidden="1">
      <c r="A296" s="2695"/>
      <c r="B296" s="2695"/>
      <c r="C296" s="1281" t="s">
        <v>1128</v>
      </c>
      <c r="D296" s="3279"/>
      <c r="E296" s="3028"/>
      <c r="F296" s="3200"/>
      <c r="G296" s="1312"/>
      <c r="H296" s="2415"/>
      <c r="I296" s="1563"/>
      <c r="J296" s="1483"/>
      <c r="K296" s="2415"/>
      <c r="L296" s="1126"/>
      <c r="M296" s="1253"/>
      <c r="N296" s="1246"/>
      <c r="O296" s="2539"/>
      <c r="P296" s="2539"/>
    </row>
    <row s="40257" customFormat="1" customHeight="1" ht="18.75" hidden="1">
      <c r="A297" s="2695" t="s">
        <v>241</v>
      </c>
      <c r="B297" s="2695" t="s">
        <v>242</v>
      </c>
      <c r="C297" s="1281"/>
      <c r="D297" s="3279"/>
      <c r="E297" s="3028"/>
      <c r="F297" s="3200" t="str">
        <f>INDEX(PT_DIFFERENTIATION_VTAR,MATCH(A297,PT_DIFFERENTIATION_VTAR_ID,0))</f>
        <v>Тариф на горячую воду (горячее водоснабжение)</v>
      </c>
      <c r="G297" s="3240" t="str">
        <f>INDEX(PT_DIFFERENTIATION_NTAR,MATCH(B297,PT_DIFFERENTIATION_NTAR_ID,0))</f>
        <v/>
      </c>
      <c r="H297" s="2778"/>
      <c r="I297" s="2654"/>
      <c r="J297" s="2688"/>
      <c r="K297" s="2693"/>
      <c r="L297" s="2778" t="s">
        <v>297</v>
      </c>
      <c r="M297" s="1253"/>
      <c r="N297" s="1246"/>
      <c r="O297" s="2539"/>
      <c r="P297" s="2539"/>
    </row>
    <row s="40257" customFormat="1" customHeight="1" ht="18.75" hidden="1">
      <c r="A298" s="2695"/>
      <c r="B298" s="2695"/>
      <c r="C298" s="1281" t="s">
        <v>1121</v>
      </c>
      <c r="D298" s="3279"/>
      <c r="E298" s="3028"/>
      <c r="F298" s="3200"/>
      <c r="G298" s="3240"/>
      <c r="H298" s="2415"/>
      <c r="I298" s="1563" t="s">
        <v>1120</v>
      </c>
      <c r="J298" s="1483"/>
      <c r="K298" s="2415"/>
      <c r="L298" s="1126"/>
      <c r="M298" s="1253"/>
      <c r="N298" s="1246"/>
      <c r="O298" s="2539"/>
      <c r="P298" s="2539"/>
    </row>
    <row s="40257" customFormat="1" customHeight="1" ht="0.75" hidden="1">
      <c r="A299" s="2695"/>
      <c r="B299" s="2695"/>
      <c r="C299" s="1281" t="s">
        <v>1128</v>
      </c>
      <c r="D299" s="3279"/>
      <c r="E299" s="3028"/>
      <c r="F299" s="3200"/>
      <c r="G299" s="1312"/>
      <c r="H299" s="2415"/>
      <c r="I299" s="1563"/>
      <c r="J299" s="1483"/>
      <c r="K299" s="2415"/>
      <c r="L299" s="1126"/>
      <c r="M299" s="1253"/>
      <c r="N299" s="1246"/>
      <c r="O299" s="2539"/>
      <c r="P299" s="2539"/>
    </row>
    <row s="40257" customFormat="1" customHeight="1" ht="18.75" hidden="1">
      <c r="A300" s="2695" t="s">
        <v>246</v>
      </c>
      <c r="B300" s="2695" t="s">
        <v>247</v>
      </c>
      <c r="C300" s="1281"/>
      <c r="D300" s="3279"/>
      <c r="E300" s="3028"/>
      <c r="F300" s="3200" t="str">
        <f>INDEX(PT_DIFFERENTIATION_VTAR,MATCH(A300,PT_DIFFERENTIATION_VTAR_ID,0))</f>
        <v>Тариф на транспортировку горячей воды</v>
      </c>
      <c r="G300" s="3240" t="str">
        <f>INDEX(PT_DIFFERENTIATION_NTAR,MATCH(B300,PT_DIFFERENTIATION_NTAR_ID,0))</f>
        <v/>
      </c>
      <c r="H300" s="2778"/>
      <c r="I300" s="2654"/>
      <c r="J300" s="2688"/>
      <c r="K300" s="2693"/>
      <c r="L300" s="2778" t="s">
        <v>297</v>
      </c>
      <c r="M300" s="1253"/>
      <c r="N300" s="1246"/>
      <c r="O300" s="2539"/>
      <c r="P300" s="2539"/>
    </row>
    <row s="40257" customFormat="1" customHeight="1" ht="18.75" hidden="1">
      <c r="A301" s="2695"/>
      <c r="B301" s="2695"/>
      <c r="C301" s="1281" t="s">
        <v>1121</v>
      </c>
      <c r="D301" s="3279"/>
      <c r="E301" s="3028"/>
      <c r="F301" s="3200"/>
      <c r="G301" s="3240"/>
      <c r="H301" s="2415"/>
      <c r="I301" s="1563" t="s">
        <v>1120</v>
      </c>
      <c r="J301" s="1483"/>
      <c r="K301" s="2415"/>
      <c r="L301" s="1126"/>
      <c r="M301" s="1253"/>
      <c r="N301" s="1246"/>
      <c r="O301" s="2539"/>
      <c r="P301" s="2539"/>
    </row>
    <row s="40257" customFormat="1" customHeight="1" ht="0.75" hidden="1">
      <c r="A302" s="2695"/>
      <c r="B302" s="2695"/>
      <c r="C302" s="1281" t="s">
        <v>1128</v>
      </c>
      <c r="D302" s="3279"/>
      <c r="E302" s="3028"/>
      <c r="F302" s="3200"/>
      <c r="G302" s="1312"/>
      <c r="H302" s="2415"/>
      <c r="I302" s="1563"/>
      <c r="J302" s="1483"/>
      <c r="K302" s="2415"/>
      <c r="L302" s="1126"/>
      <c r="M302" s="1253"/>
      <c r="N302" s="1246"/>
      <c r="O302" s="2539"/>
      <c r="P302" s="2539"/>
    </row>
    <row s="40257" customFormat="1" customHeight="1" ht="18.75" hidden="1">
      <c r="A303" s="2695" t="s">
        <v>251</v>
      </c>
      <c r="B303" s="2695" t="s">
        <v>252</v>
      </c>
      <c r="C303" s="1281"/>
      <c r="D303" s="3279"/>
      <c r="E303" s="3028"/>
      <c r="F303" s="3200" t="str">
        <f>INDEX(PT_DIFFERENTIATION_VTAR,MATCH(A303,PT_DIFFERENTIATION_VTAR_ID,0))</f>
        <v>Тариф на подключение (технологическое присоединение) к централизованной системе горячего водоснабжения</v>
      </c>
      <c r="G303" s="3240" t="str">
        <f>INDEX(PT_DIFFERENTIATION_NTAR,MATCH(B303,PT_DIFFERENTIATION_NTAR_ID,0))</f>
        <v/>
      </c>
      <c r="H303" s="2778"/>
      <c r="I303" s="2654"/>
      <c r="J303" s="2688"/>
      <c r="K303" s="2693"/>
      <c r="L303" s="2778" t="s">
        <v>297</v>
      </c>
      <c r="M303" s="1253"/>
      <c r="N303" s="1246"/>
      <c r="O303" s="2539"/>
      <c r="P303" s="2539"/>
    </row>
    <row s="40257" customFormat="1" customHeight="1" ht="18.75" hidden="1">
      <c r="A304" s="2695"/>
      <c r="B304" s="2695"/>
      <c r="C304" s="1281" t="s">
        <v>1121</v>
      </c>
      <c r="D304" s="3279"/>
      <c r="E304" s="3028"/>
      <c r="F304" s="3200"/>
      <c r="G304" s="3240"/>
      <c r="H304" s="2415"/>
      <c r="I304" s="1563" t="s">
        <v>1120</v>
      </c>
      <c r="J304" s="1483"/>
      <c r="K304" s="2415"/>
      <c r="L304" s="1126"/>
      <c r="M304" s="1253"/>
      <c r="N304" s="1246"/>
      <c r="O304" s="2539"/>
      <c r="P304" s="2539"/>
    </row>
    <row s="40257" customFormat="1" customHeight="1" ht="0.75" hidden="1">
      <c r="A305" s="2695"/>
      <c r="B305" s="2695"/>
      <c r="C305" s="1281" t="s">
        <v>1128</v>
      </c>
      <c r="D305" s="3279"/>
      <c r="E305" s="3028"/>
      <c r="F305" s="3200"/>
      <c r="G305" s="1312"/>
      <c r="H305" s="2415"/>
      <c r="I305" s="1563"/>
      <c r="J305" s="1483"/>
      <c r="K305" s="2415"/>
      <c r="L305" s="1126"/>
      <c r="M305" s="1253"/>
      <c r="N305" s="1246"/>
      <c r="O305" s="2539"/>
      <c r="P305" s="2539"/>
    </row>
    <row s="40257" customFormat="1" customHeight="1" ht="18.75" hidden="1">
      <c r="A306" s="2695" t="s">
        <v>256</v>
      </c>
      <c r="B306" s="2695" t="s">
        <v>257</v>
      </c>
      <c r="C306" s="1281"/>
      <c r="D306" s="3279"/>
      <c r="E306" s="3028"/>
      <c r="F306" s="3200" t="str">
        <f>INDEX(PT_DIFFERENTIATION_VTAR,MATCH(A306,PT_DIFFERENTIATION_VTAR_ID,0))</f>
        <v>Тариф на водоотведение</v>
      </c>
      <c r="G306" s="3240" t="str">
        <f>INDEX(PT_DIFFERENTIATION_NTAR,MATCH(B306,PT_DIFFERENTIATION_NTAR_ID,0))</f>
        <v/>
      </c>
      <c r="H306" s="2778"/>
      <c r="I306" s="2654"/>
      <c r="J306" s="2688"/>
      <c r="K306" s="2693"/>
      <c r="L306" s="2778" t="s">
        <v>297</v>
      </c>
      <c r="M306" s="1253"/>
      <c r="N306" s="1246"/>
      <c r="O306" s="2539"/>
      <c r="P306" s="2539"/>
    </row>
    <row s="40257" customFormat="1" customHeight="1" ht="18.75" hidden="1">
      <c r="A307" s="2695"/>
      <c r="B307" s="2695"/>
      <c r="C307" s="1281" t="s">
        <v>1121</v>
      </c>
      <c r="D307" s="3279"/>
      <c r="E307" s="3028"/>
      <c r="F307" s="3200"/>
      <c r="G307" s="3240"/>
      <c r="H307" s="2415"/>
      <c r="I307" s="1563" t="s">
        <v>1120</v>
      </c>
      <c r="J307" s="1483"/>
      <c r="K307" s="2415"/>
      <c r="L307" s="1126"/>
      <c r="M307" s="1253"/>
      <c r="N307" s="1246"/>
      <c r="O307" s="2539"/>
      <c r="P307" s="2539"/>
    </row>
    <row s="40257" customFormat="1" customHeight="1" ht="0.75" hidden="1">
      <c r="A308" s="2695"/>
      <c r="B308" s="2695"/>
      <c r="C308" s="1281" t="s">
        <v>1128</v>
      </c>
      <c r="D308" s="3279"/>
      <c r="E308" s="3028"/>
      <c r="F308" s="3200"/>
      <c r="G308" s="1312"/>
      <c r="H308" s="2415"/>
      <c r="I308" s="1563"/>
      <c r="J308" s="1483"/>
      <c r="K308" s="2415"/>
      <c r="L308" s="1126"/>
      <c r="M308" s="1253"/>
      <c r="N308" s="1246"/>
      <c r="O308" s="2539"/>
      <c r="P308" s="2539"/>
    </row>
    <row s="40257" customFormat="1" customHeight="1" ht="18.75" hidden="1">
      <c r="A309" s="2695" t="s">
        <v>261</v>
      </c>
      <c r="B309" s="2695" t="s">
        <v>262</v>
      </c>
      <c r="C309" s="1281"/>
      <c r="D309" s="3279"/>
      <c r="E309" s="3028"/>
      <c r="F309" s="3200" t="str">
        <f>INDEX(PT_DIFFERENTIATION_VTAR,MATCH(A309,PT_DIFFERENTIATION_VTAR_ID,0))</f>
        <v>Тариф на транспортировку сточных вод</v>
      </c>
      <c r="G309" s="3240" t="str">
        <f>INDEX(PT_DIFFERENTIATION_NTAR,MATCH(B309,PT_DIFFERENTIATION_NTAR_ID,0))</f>
        <v/>
      </c>
      <c r="H309" s="2778"/>
      <c r="I309" s="2654"/>
      <c r="J309" s="2688"/>
      <c r="K309" s="2693"/>
      <c r="L309" s="2778" t="s">
        <v>297</v>
      </c>
      <c r="M309" s="1253"/>
      <c r="N309" s="1246"/>
      <c r="O309" s="2539"/>
      <c r="P309" s="2539"/>
    </row>
    <row s="40257" customFormat="1" customHeight="1" ht="18.75" hidden="1">
      <c r="A310" s="2695"/>
      <c r="B310" s="2695"/>
      <c r="C310" s="1281" t="s">
        <v>1121</v>
      </c>
      <c r="D310" s="3279"/>
      <c r="E310" s="3028"/>
      <c r="F310" s="3200"/>
      <c r="G310" s="3240"/>
      <c r="H310" s="2415"/>
      <c r="I310" s="1563" t="s">
        <v>1120</v>
      </c>
      <c r="J310" s="1483"/>
      <c r="K310" s="2415"/>
      <c r="L310" s="1126"/>
      <c r="M310" s="1253"/>
      <c r="N310" s="1246"/>
      <c r="O310" s="2539"/>
      <c r="P310" s="2539"/>
    </row>
    <row s="40257" customFormat="1" customHeight="1" ht="0.75" hidden="1">
      <c r="A311" s="2695"/>
      <c r="B311" s="2695"/>
      <c r="C311" s="1281" t="s">
        <v>1128</v>
      </c>
      <c r="D311" s="3279"/>
      <c r="E311" s="3028"/>
      <c r="F311" s="3200"/>
      <c r="G311" s="1312"/>
      <c r="H311" s="2415"/>
      <c r="I311" s="1563"/>
      <c r="J311" s="1483"/>
      <c r="K311" s="2415"/>
      <c r="L311" s="1126"/>
      <c r="M311" s="1253"/>
      <c r="N311" s="1246"/>
      <c r="O311" s="2539"/>
      <c r="P311" s="2539"/>
    </row>
    <row s="40257" customFormat="1" customHeight="1" ht="18.75" hidden="1">
      <c r="A312" s="2695" t="s">
        <v>266</v>
      </c>
      <c r="B312" s="2695" t="s">
        <v>267</v>
      </c>
      <c r="C312" s="1281"/>
      <c r="D312" s="3279"/>
      <c r="E312" s="3028"/>
      <c r="F312" s="3200" t="str">
        <f>INDEX(PT_DIFFERENTIATION_VTAR,MATCH(A312,PT_DIFFERENTIATION_VTAR_ID,0))</f>
        <v>Тариф на подключение (технологическое присоединение) к централизованной системе водоотведения</v>
      </c>
      <c r="G312" s="3240" t="str">
        <f>INDEX(PT_DIFFERENTIATION_NTAR,MATCH(B312,PT_DIFFERENTIATION_NTAR_ID,0))</f>
        <v/>
      </c>
      <c r="H312" s="2778"/>
      <c r="I312" s="2654"/>
      <c r="J312" s="2688"/>
      <c r="K312" s="2693"/>
      <c r="L312" s="2778" t="s">
        <v>297</v>
      </c>
      <c r="M312" s="1253"/>
      <c r="N312" s="1246"/>
      <c r="O312" s="2539"/>
      <c r="P312" s="2539"/>
    </row>
    <row s="40257" customFormat="1" customHeight="1" ht="18.75" hidden="1">
      <c r="A313" s="2695"/>
      <c r="B313" s="2695"/>
      <c r="C313" s="1281" t="s">
        <v>1121</v>
      </c>
      <c r="D313" s="3279"/>
      <c r="E313" s="3028"/>
      <c r="F313" s="3200"/>
      <c r="G313" s="3240"/>
      <c r="H313" s="2415"/>
      <c r="I313" s="1563" t="s">
        <v>1120</v>
      </c>
      <c r="J313" s="1483"/>
      <c r="K313" s="2415"/>
      <c r="L313" s="1126"/>
      <c r="M313" s="1253"/>
      <c r="N313" s="1246"/>
      <c r="O313" s="2539"/>
      <c r="P313" s="2539"/>
    </row>
    <row s="40257" customFormat="1" customHeight="1" ht="0.75">
      <c r="A314" s="2695"/>
      <c r="B314" s="2695"/>
      <c r="C314" s="1281" t="s">
        <v>1128</v>
      </c>
      <c r="D314" s="3279"/>
      <c r="E314" s="3028"/>
      <c r="F314" s="3200"/>
      <c r="G314" s="1312"/>
      <c r="H314" s="2415"/>
      <c r="I314" s="1563"/>
      <c r="J314" s="1483"/>
      <c r="K314" s="2415"/>
      <c r="L314" s="1126"/>
      <c r="M314" s="1253"/>
      <c r="N314" s="1246"/>
      <c r="O314" s="2539"/>
      <c r="P314" s="2539"/>
    </row>
    <row s="41387" customFormat="1" customHeight="1" ht="3">
      <c r="A315" s="2695"/>
      <c r="B315" s="2695"/>
      <c r="C315" s="2696"/>
      <c r="E315" s="1314"/>
      <c r="F315" s="1314"/>
      <c r="G315" s="1314"/>
      <c r="H315" s="1314"/>
      <c r="I315" s="1314"/>
      <c r="J315" s="1314"/>
      <c r="K315" s="1314"/>
      <c r="L315" s="1314"/>
      <c r="M315" s="1314"/>
      <c r="O315" s="1108"/>
      <c r="P315" s="1108"/>
    </row>
    <row customHeight="1" ht="24.75">
      <c r="E316" s="1114"/>
      <c r="F316" s="3109"/>
      <c r="G316" s="3109"/>
      <c r="H316" s="3109"/>
      <c r="I316" s="3109"/>
      <c r="J316" s="3109"/>
      <c r="K316" s="3109"/>
      <c r="L316" s="3109"/>
      <c r="M316" s="3109"/>
    </row>
  </sheetData>
  <sheetProtection formatColumns="0" formatRows="0" autoFilter="0" sort="0" insertRows="0" insertColumns="1" deleteRows="0" deleteColumns="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596CA1-D84B-2956-EA7A-FDBCEEDDBE58}"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41443" width="9.140625" hidden="1" customWidth="1"/>
    <col min="2" max="2" style="41366" width="9.140625" hidden="1" customWidth="1"/>
    <col min="3" max="3" style="40213" width="3.7109375" customWidth="1"/>
    <col min="4" max="4" style="41428" width="6.28125" customWidth="1"/>
    <col min="5" max="5" style="41428" width="53.8515625" customWidth="1"/>
    <col min="6" max="7" style="41428" width="35.7109375" customWidth="1"/>
    <col min="8" max="8" style="41428" width="89.57421875" customWidth="1"/>
    <col min="9" max="9" style="41428" width="10.57421875"/>
    <col min="10" max="11" style="41429" width="10.57421875"/>
    <col min="12" max="17" style="41428" width="10.57421875"/>
  </cols>
  <sheetData>
    <row customHeight="1" ht="14.25" hidden="1">
      <c r="N1" s="1167"/>
      <c r="O1" s="1167"/>
      <c r="Q1" s="1167"/>
    </row>
    <row s="40257" customFormat="1" customHeight="1" ht="18.75" hidden="1">
      <c r="A2" s="1015"/>
      <c r="B2" s="2074"/>
      <c r="C2" s="2645" t="s">
        <v>844</v>
      </c>
      <c r="D2" s="2588"/>
      <c r="E2" s="2597"/>
      <c r="F2" s="1169"/>
      <c r="G2" s="2075"/>
      <c r="H2" s="1286"/>
      <c r="I2" s="2539"/>
      <c r="J2" s="2539"/>
    </row>
    <row customHeight="1" ht="14.25" hidden="1"/>
    <row customHeight="1" ht="6">
      <c r="C4" s="1288"/>
      <c r="D4" s="1275"/>
      <c r="E4" s="1275"/>
      <c r="F4" s="1275"/>
      <c r="G4" s="997"/>
      <c r="H4" s="997"/>
    </row>
    <row customHeight="1" ht="33">
      <c r="C5" s="1288"/>
      <c r="D5" s="32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71"/>
      <c r="F5" s="3271"/>
      <c r="G5" s="3272"/>
      <c r="H5" s="1178"/>
    </row>
    <row s="40257" customFormat="1" customHeight="1" ht="17.25">
      <c r="A6" s="2584"/>
      <c r="B6" s="2074"/>
      <c r="C6" s="1288"/>
      <c r="D6" s="3273" t="str">
        <f>IF(org=0,"Не определено",org)</f>
        <v>ПАО "ТГК-1" филиал "Невский"</v>
      </c>
      <c r="E6" s="3274"/>
      <c r="F6" s="3274"/>
      <c r="G6" s="3275"/>
      <c r="H6" s="1178"/>
      <c r="J6" s="2539"/>
      <c r="K6" s="2539"/>
    </row>
    <row customHeight="1" ht="14.25">
      <c r="C7" s="1288"/>
      <c r="D7" s="1275"/>
      <c r="E7" s="1301"/>
      <c r="F7" s="1301"/>
      <c r="G7" s="1664"/>
      <c r="H7" s="1105"/>
    </row>
    <row customHeight="1" ht="14.25">
      <c r="C8" s="1288"/>
      <c r="D8" s="3033" t="s">
        <v>291</v>
      </c>
      <c r="E8" s="3033"/>
      <c r="F8" s="3033"/>
      <c r="G8" s="3033"/>
      <c r="H8" s="3276" t="s">
        <v>292</v>
      </c>
    </row>
    <row customHeight="1" ht="14.25">
      <c r="C9" s="1288"/>
      <c r="D9" s="1298" t="s">
        <v>84</v>
      </c>
      <c r="E9" s="1021" t="s">
        <v>293</v>
      </c>
      <c r="F9" s="1021" t="s">
        <v>294</v>
      </c>
      <c r="G9" s="1021" t="s">
        <v>381</v>
      </c>
      <c r="H9" s="3276"/>
    </row>
    <row customHeight="1" ht="14.25">
      <c r="A10" s="1255"/>
      <c r="C10" s="1288"/>
      <c r="D10" s="1060" t="s">
        <v>102</v>
      </c>
      <c r="E10" s="2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169"/>
      <c r="G10" s="1125"/>
      <c r="H10" s="2993" t="s">
        <v>1129</v>
      </c>
    </row>
    <row customHeight="1" ht="14.25">
      <c r="A11" s="1255"/>
      <c r="C11" s="1288"/>
      <c r="D11" s="1060" t="s">
        <v>103</v>
      </c>
      <c r="E11" s="2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169"/>
      <c r="G11" s="1125"/>
      <c r="H11" s="2994"/>
    </row>
    <row customHeight="1" ht="14.25">
      <c r="A12" s="1015"/>
      <c r="C12" s="1299"/>
      <c r="D12" s="1060" t="s">
        <v>86</v>
      </c>
      <c r="E12" s="1300" t="str">
        <f>"Сведения о планировании закупочных процедур"&amp;IF(TEMPLATE_SPHERE="TKO"," &lt;1&gt;","")</f>
        <v>Сведения о планировании закупочных процедур</v>
      </c>
      <c r="F12" s="1169"/>
      <c r="G12" s="1125"/>
      <c r="H12" s="29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262"/>
      <c r="K12" s="1286"/>
    </row>
    <row customHeight="1" ht="14.25">
      <c r="A13" s="1015"/>
      <c r="C13" s="1299"/>
      <c r="D13" s="1060" t="s">
        <v>87</v>
      </c>
      <c r="E13" s="1300" t="str">
        <f>"Сведения о результатах проведения закупочных процедур"&amp;IF(TEMPLATE_SPHERE="TKO"," &lt;1&gt;","")</f>
        <v>Сведения о результатах проведения закупочных процедур</v>
      </c>
      <c r="F13" s="1169"/>
      <c r="G13" s="1125"/>
      <c r="H13" s="2994"/>
      <c r="I13" s="1262"/>
      <c r="K13" s="1286"/>
    </row>
    <row customHeight="1" ht="14.25">
      <c r="A14" s="1255"/>
      <c r="C14" s="1288"/>
      <c r="D14" s="1259"/>
      <c r="E14" s="1307" t="s">
        <v>313</v>
      </c>
      <c r="F14" s="1261"/>
      <c r="G14" s="1113"/>
      <c r="H14" s="2995"/>
    </row>
    <row s="40257" customFormat="1" customHeight="1" ht="14.25">
      <c r="A15" s="1255"/>
      <c r="B15" s="2074"/>
      <c r="C15" s="1288"/>
      <c r="D15" s="1308"/>
      <c r="E15" s="2592"/>
      <c r="F15" s="2593"/>
      <c r="G15" s="2594"/>
      <c r="H15" s="2595"/>
      <c r="J15" s="2539"/>
      <c r="K15" s="2539"/>
    </row>
    <row customHeight="1" ht="14.25">
      <c r="D16" s="2596"/>
      <c r="E16" s="3205"/>
      <c r="F16" s="3205"/>
      <c r="G16" s="3205"/>
      <c r="H16" s="3205"/>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ABAA13-BC8E-3E01-AF8F-10D7BFBDB0CA}" mc:Ignorable="x14ac xr xr2 xr3">
  <sheetPr>
    <tabColor theme="2" tint="-0.1"/>
  </sheetPr>
  <dimension ref="A1:U29"/>
  <sheetViews>
    <sheetView topLeftCell="C4" showGridLines="0" zoomScale="90" workbookViewId="0">
      <selection activeCell="A1" sqref="A1"/>
    </sheetView>
  </sheetViews>
  <sheetFormatPr defaultColWidth="10.57421875" customHeight="1" defaultRowHeight="15"/>
  <cols>
    <col min="1" max="1" style="39981" width="9.140625" hidden="1" customWidth="1"/>
    <col min="2" max="2" style="39984" width="9.140625" hidden="1" customWidth="1"/>
    <col min="3" max="3" style="40820" width="4.7109375" customWidth="1"/>
    <col min="4" max="4" style="39984" width="6.28125" customWidth="1"/>
    <col min="5" max="5" style="39984" width="47.8515625" customWidth="1"/>
    <col min="6" max="6" style="39984" width="9.57421875" customWidth="1"/>
    <col min="7" max="7" style="39538" width="25.7109375" hidden="1" customWidth="1"/>
    <col min="8" max="8" style="39538" width="34.00390625" hidden="1" customWidth="1"/>
    <col min="9" max="9" style="39984" width="25.7109375" customWidth="1"/>
    <col min="10" max="10" style="39984" width="34.00390625" customWidth="1"/>
    <col min="11" max="11" style="39539" width="50.8515625" customWidth="1"/>
    <col min="12" max="20" style="39984" width="10.57421875"/>
    <col min="21" max="21" style="40821" width="10.57421875"/>
  </cols>
  <sheetData>
    <row s="39539" customFormat="1" customHeight="1" ht="15" hidden="1">
      <c r="C1" s="1584"/>
      <c r="G1" s="1329">
        <v>4</v>
      </c>
      <c r="I1" s="1329">
        <v>4</v>
      </c>
      <c r="U1" s="1332"/>
    </row>
    <row s="40633" customFormat="1" customHeight="1" ht="15" hidden="1">
      <c r="A2" s="1274"/>
      <c r="C2" s="1089"/>
      <c r="D2" s="1258"/>
      <c r="E2" s="1585"/>
      <c r="F2" s="1434"/>
      <c r="G2" s="1528"/>
      <c r="H2" s="1528"/>
      <c r="I2" s="1528"/>
      <c r="J2" s="1528"/>
      <c r="U2" s="1586"/>
    </row>
    <row s="39539" customFormat="1" customHeight="1" ht="15" hidden="1">
      <c r="C3" s="1584"/>
      <c r="U3" s="1332"/>
    </row>
    <row customHeight="1" ht="15">
      <c r="C4" s="1089"/>
      <c r="D4" s="1421"/>
      <c r="E4" s="1421"/>
      <c r="F4" s="1421"/>
      <c r="G4" s="1421"/>
      <c r="H4" s="1421"/>
      <c r="I4" s="1421"/>
      <c r="J4" s="1421"/>
    </row>
    <row customHeight="1" ht="63">
      <c r="C5" s="1089"/>
      <c r="D5" s="3061" t="s">
        <v>1130</v>
      </c>
      <c r="E5" s="3061"/>
      <c r="F5" s="3061"/>
      <c r="G5" s="3061"/>
      <c r="H5" s="3061"/>
      <c r="I5" s="3061"/>
      <c r="J5" s="3061"/>
    </row>
    <row customHeight="1" ht="15">
      <c r="C6" s="1089"/>
      <c r="D6" s="3000" t="str">
        <f>IF(org=0,"Не определено",org)</f>
        <v>ПАО "ТГК-1" филиал "Невский"</v>
      </c>
      <c r="E6" s="3000"/>
      <c r="F6" s="3000"/>
      <c r="G6" s="3000"/>
      <c r="H6" s="3000"/>
      <c r="I6" s="3000"/>
      <c r="J6" s="3000"/>
      <c r="K6" s="1449"/>
    </row>
    <row customHeight="1" ht="15">
      <c r="C7" s="1089"/>
      <c r="D7" s="1664"/>
      <c r="E7" s="1421"/>
      <c r="F7" s="1421"/>
      <c r="G7" s="1449">
        <v>22</v>
      </c>
      <c r="I7" s="1449">
        <v>1</v>
      </c>
      <c r="J7" s="1664"/>
    </row>
    <row s="39538" customFormat="1" customHeight="1" ht="0.75">
      <c r="A8" s="1671"/>
      <c r="C8" s="1089"/>
      <c r="D8" s="1421"/>
      <c r="E8" s="1421"/>
      <c r="F8" s="1421"/>
      <c r="G8" s="1449"/>
      <c r="H8" s="1664"/>
      <c r="I8" s="1449" t="s">
        <v>110</v>
      </c>
      <c r="J8" s="1664"/>
      <c r="K8" s="1329"/>
      <c r="U8" s="1587"/>
    </row>
    <row customHeight="1" ht="15">
      <c r="C9" s="1089"/>
      <c r="D9" s="1623"/>
      <c r="E9" s="3184" t="s">
        <v>98</v>
      </c>
      <c r="F9" s="3185"/>
      <c r="G9" s="3208" t="str">
        <f>IF(G8="","",INDEX(DIFFERENTIATION_UNMERGE_VD,MATCH(G8,DIFFERENTIATION_ID_DIFF,0)))</f>
        <v/>
      </c>
      <c r="H9" s="3209"/>
      <c r="I9" s="3208">
        <f>IF(I8="","",INDEX(DIFFERENTIATION_UNMERGE_VD,MATCH(I8,DIFFERENTIATION_ID_DIFF,0)))</f>
        <v>0</v>
      </c>
      <c r="J9" s="3209"/>
      <c r="K9" s="2999" t="s">
        <v>292</v>
      </c>
    </row>
    <row s="39538" customFormat="1" customHeight="1" ht="15">
      <c r="A10" s="1671"/>
      <c r="C10" s="1089"/>
      <c r="D10" s="1623"/>
      <c r="E10" s="3184" t="s">
        <v>556</v>
      </c>
      <c r="F10" s="3185"/>
      <c r="G10" s="3208" t="str">
        <f>IF(G8="","",INDEX(DIFFERENTIATION_UNMERGE_AREA,MATCH(G8,DIFFERENTIATION_ID_DIFF,0)))</f>
        <v/>
      </c>
      <c r="H10" s="3209"/>
      <c r="I10" s="3208" t="str">
        <f>IF(I8="","",INDEX(DIFFERENTIATION_UNMERGE_AREA,MATCH(I8,DIFFERENTIATION_ID_DIFF,0)))</f>
        <v/>
      </c>
      <c r="J10" s="3209"/>
      <c r="K10" s="3023"/>
      <c r="U10" s="1587"/>
    </row>
    <row s="39538" customFormat="1" customHeight="1" ht="15">
      <c r="A11" s="1671"/>
      <c r="C11" s="1089"/>
      <c r="D11" s="1623"/>
      <c r="E11" s="3184" t="s">
        <v>557</v>
      </c>
      <c r="F11" s="3185"/>
      <c r="G11" s="3208" t="str">
        <f>IF(G8="","",INDEX(DIFFERENTIATION_UNMERGE_SYSTEM,MATCH(G8,DIFFERENTIATION_ID_DIFF,0)))</f>
        <v/>
      </c>
      <c r="H11" s="3209"/>
      <c r="I11" s="3208" t="str">
        <f>IF(I8="","",INDEX(DIFFERENTIATION_UNMERGE_SYSTEM,MATCH(I8,DIFFERENTIATION_ID_DIFF,0)))</f>
        <v>без дифференциации</v>
      </c>
      <c r="J11" s="3209"/>
      <c r="K11" s="3023"/>
      <c r="U11" s="1587"/>
    </row>
    <row s="39538" customFormat="1" customHeight="1" ht="15">
      <c r="A12" s="1671"/>
      <c r="C12" s="1089"/>
      <c r="D12" s="3186" t="s">
        <v>291</v>
      </c>
      <c r="E12" s="3187"/>
      <c r="F12" s="3187"/>
      <c r="G12" s="1799"/>
      <c r="H12" s="1799"/>
      <c r="I12" s="1799"/>
      <c r="J12" s="1799"/>
      <c r="K12" s="3023"/>
      <c r="U12" s="1587"/>
    </row>
    <row customHeight="1" ht="33.75">
      <c r="C13" s="1089"/>
      <c r="D13" s="1717" t="s">
        <v>84</v>
      </c>
      <c r="E13" s="1719" t="s">
        <v>293</v>
      </c>
      <c r="F13" s="1719" t="s">
        <v>558</v>
      </c>
      <c r="G13" s="1720" t="s">
        <v>294</v>
      </c>
      <c r="H13" s="1719" t="s">
        <v>381</v>
      </c>
      <c r="I13" s="1720" t="s">
        <v>294</v>
      </c>
      <c r="J13" s="1719" t="s">
        <v>381</v>
      </c>
      <c r="K13" s="3056"/>
    </row>
    <row customHeight="1" ht="15" hidden="1">
      <c r="C14" s="1089"/>
      <c r="D14" s="1505" t="s">
        <v>102</v>
      </c>
      <c r="E14" s="1505" t="s">
        <v>103</v>
      </c>
      <c r="F14" s="1505" t="s">
        <v>86</v>
      </c>
      <c r="G14" s="1571" t="str">
        <f>G1&amp;".1"</f>
        <v>4.1</v>
      </c>
      <c r="H14" s="1571"/>
      <c r="I14" s="1571" t="str">
        <f>I1&amp;".1"</f>
        <v>4.1</v>
      </c>
      <c r="J14" s="1571"/>
      <c r="K14" s="1201"/>
    </row>
    <row customHeight="1" ht="22.5" hidden="1">
      <c r="A15" s="1417"/>
      <c r="C15" s="1438"/>
      <c r="D15" s="1433">
        <v>1</v>
      </c>
      <c r="E15" s="1589" t="s">
        <v>715</v>
      </c>
      <c r="F15" s="1433" t="s">
        <v>716</v>
      </c>
      <c r="G15" s="1590"/>
      <c r="H15" s="1590"/>
      <c r="I15" s="1590"/>
      <c r="J15" s="1590"/>
      <c r="K15" s="1201" t="s">
        <v>717</v>
      </c>
    </row>
    <row customHeight="1" ht="22.5" hidden="1">
      <c r="A16" s="1417"/>
      <c r="C16" s="1438"/>
      <c r="D16" s="1433">
        <v>2</v>
      </c>
      <c r="E16" s="1191" t="s">
        <v>718</v>
      </c>
      <c r="F16" s="1433" t="s">
        <v>719</v>
      </c>
      <c r="G16" s="1590"/>
      <c r="H16" s="1590"/>
      <c r="I16" s="1590"/>
      <c r="J16" s="1590"/>
      <c r="K16" s="1201" t="s">
        <v>720</v>
      </c>
    </row>
    <row customHeight="1" ht="123.75" hidden="1">
      <c r="A17" s="1417"/>
      <c r="C17" s="1438"/>
      <c r="D17" s="1433">
        <v>3</v>
      </c>
      <c r="E17" s="1191" t="s">
        <v>1131</v>
      </c>
      <c r="F17" s="1433" t="s">
        <v>297</v>
      </c>
      <c r="G17" s="1590"/>
      <c r="H17" s="1590"/>
      <c r="I17" s="1590"/>
      <c r="J17" s="1590"/>
      <c r="K17" s="1201" t="s">
        <v>1132</v>
      </c>
    </row>
    <row customHeight="1" ht="45">
      <c r="A18" s="1417"/>
      <c r="C18" s="1438"/>
      <c r="D18" s="1433">
        <v>3</v>
      </c>
      <c r="E18" s="1191" t="s">
        <v>721</v>
      </c>
      <c r="F18" s="1433" t="s">
        <v>297</v>
      </c>
      <c r="G18" s="1721" t="s">
        <v>297</v>
      </c>
      <c r="H18" s="1722" t="s">
        <v>297</v>
      </c>
      <c r="I18" s="1433" t="s">
        <v>297</v>
      </c>
      <c r="J18" s="1490" t="s">
        <v>297</v>
      </c>
      <c r="K18" s="1201" t="s">
        <v>1133</v>
      </c>
    </row>
    <row customHeight="1" ht="33.75">
      <c r="A19" s="1417"/>
      <c r="C19" s="1438"/>
      <c r="D19" s="1451" t="s">
        <v>315</v>
      </c>
      <c r="E19" s="1471" t="s">
        <v>723</v>
      </c>
      <c r="F19" s="1433" t="s">
        <v>724</v>
      </c>
      <c r="G19" s="1729"/>
      <c r="H19" s="1019"/>
      <c r="I19" s="1729"/>
      <c r="J19" s="1730"/>
      <c r="K19" s="1591"/>
    </row>
    <row customHeight="1" ht="33.75">
      <c r="A20" s="1417"/>
      <c r="C20" s="1438"/>
      <c r="D20" s="2806" t="s">
        <v>323</v>
      </c>
      <c r="E20" s="1471" t="s">
        <v>725</v>
      </c>
      <c r="F20" s="1433" t="s">
        <v>726</v>
      </c>
      <c r="G20" s="1729"/>
      <c r="H20" s="1019"/>
      <c r="I20" s="1729"/>
      <c r="J20" s="1019"/>
      <c r="K20" s="1591"/>
    </row>
    <row customHeight="1" ht="45">
      <c r="A21" s="1417"/>
      <c r="C21" s="1438"/>
      <c r="D21" s="2806" t="s">
        <v>325</v>
      </c>
      <c r="E21" s="1471" t="s">
        <v>727</v>
      </c>
      <c r="F21" s="1433" t="s">
        <v>563</v>
      </c>
      <c r="G21" s="1592"/>
      <c r="H21" s="1019"/>
      <c r="I21" s="1592"/>
      <c r="J21" s="1019"/>
      <c r="K21" s="1591"/>
    </row>
    <row customHeight="1" ht="67.5" hidden="1">
      <c r="A22" s="1417"/>
      <c r="C22" s="1438"/>
      <c r="D22" s="1433">
        <v>5</v>
      </c>
      <c r="E22" s="1191" t="s">
        <v>1134</v>
      </c>
      <c r="F22" s="1433" t="s">
        <v>550</v>
      </c>
      <c r="G22" s="1593"/>
      <c r="H22" s="1594"/>
      <c r="I22" s="1593"/>
      <c r="J22" s="1594"/>
      <c r="K22" s="1201" t="s">
        <v>1135</v>
      </c>
    </row>
    <row customHeight="1" ht="33.75" hidden="1">
      <c r="C23" s="1363"/>
      <c r="D23" s="1433">
        <v>6</v>
      </c>
      <c r="E23" s="1191" t="s">
        <v>1136</v>
      </c>
      <c r="F23" s="1433" t="s">
        <v>1137</v>
      </c>
      <c r="G23" s="1593"/>
      <c r="H23" s="1593"/>
      <c r="I23" s="1593"/>
      <c r="J23" s="1593"/>
      <c r="K23" s="1201" t="s">
        <v>1138</v>
      </c>
    </row>
    <row r="29" customHeight="1" ht="15">
      <c r="J29" s="1731"/>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A813F62-8C62-1652-382F-74257379928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1553" width="32.57421875" customWidth="1"/>
    <col min="2" max="2" style="41554" width="11.00390625" customWidth="1"/>
    <col min="3" max="3" style="41554" width="9.140625"/>
    <col min="4" max="4" style="41554" width="26.57421875" customWidth="1"/>
    <col min="5" max="5" style="41555" width="27.7109375" customWidth="1"/>
    <col min="6" max="6" style="41555" width="23.57421875" customWidth="1"/>
    <col min="7" max="7" style="41555" width="31.421875" customWidth="1"/>
    <col min="8" max="8" style="41555" width="40.8515625" customWidth="1"/>
    <col min="9" max="9" style="41555" width="14.57421875" customWidth="1"/>
    <col min="10" max="10" style="41555" width="26.8515625" customWidth="1"/>
    <col min="11" max="11" style="41555" width="50.00390625" customWidth="1"/>
    <col min="12" max="12" style="41555" width="52.421875" customWidth="1"/>
    <col min="13" max="13" style="41555" width="10.7109375" customWidth="1"/>
    <col min="14" max="14" style="41555" width="55.140625" customWidth="1"/>
    <col min="15" max="15" style="41555" width="31.8515625" customWidth="1"/>
    <col min="16" max="16" style="41555" width="23.8515625" customWidth="1"/>
    <col min="17" max="17" style="41555" width="46.57421875" customWidth="1"/>
    <col min="18" max="18" style="41555" width="24.00390625" customWidth="1"/>
    <col min="19" max="19" style="41555" width="20.57421875" customWidth="1"/>
    <col min="20" max="20" style="41555" width="22.00390625" customWidth="1"/>
    <col min="21" max="22" style="41555" width="26.421875" customWidth="1"/>
    <col min="23" max="23" style="41555" width="8.28125" hidden="1" customWidth="1"/>
    <col min="24" max="24" style="41555" width="59.7109375" customWidth="1"/>
    <col min="25" max="25" style="41555" width="49.140625" customWidth="1"/>
    <col min="26" max="26" style="41555" width="11.140625" customWidth="1"/>
    <col min="27" max="30" style="41555" width="29.00390625" customWidth="1"/>
    <col min="31" max="31" style="41555" width="9.140625"/>
    <col min="32" max="32" style="41555" width="34.7109375" customWidth="1"/>
    <col min="33" max="33" style="41555" width="9.140625"/>
    <col min="34" max="35" style="41555" width="34.421875" customWidth="1"/>
    <col min="36" max="36" style="41555" width="9.140625"/>
    <col min="37" max="37" style="41555" width="24.57421875" customWidth="1"/>
    <col min="38" max="38" style="41555" width="9.140625"/>
    <col min="39" max="39" style="41555" width="26.140625" customWidth="1"/>
    <col min="40" max="40" style="41555" width="1.7109375" customWidth="1"/>
    <col min="41" max="41" style="41555" width="9.140625"/>
    <col min="42" max="43" style="41555" width="47.8515625" customWidth="1"/>
    <col min="44" max="44" style="41555" width="1.7109375" customWidth="1"/>
    <col min="45" max="45" style="41555" width="21.421875" customWidth="1"/>
    <col min="46" max="46" style="41555" width="1.7109375" customWidth="1"/>
    <col min="47" max="47" style="41555" width="31.28125" customWidth="1"/>
    <col min="48" max="48" style="41555" width="1.7109375" customWidth="1"/>
    <col min="49" max="50" style="41556" width="9.140625"/>
    <col min="51" max="51" style="41555" width="3.7109375" customWidth="1"/>
    <col min="52" max="52" style="41555" width="60.8515625" customWidth="1"/>
    <col min="53" max="53" style="41555" width="49.28125" customWidth="1"/>
    <col min="54" max="54" style="41555" width="35.140625" customWidth="1"/>
    <col min="55" max="55" style="41555" width="9.140625"/>
    <col min="56" max="56" style="41555" width="1.7109375" customWidth="1"/>
    <col min="57" max="57" style="41557" width="12.57421875" customWidth="1"/>
    <col min="58" max="58" style="41557" width="14.28125" customWidth="1"/>
    <col min="59" max="59" style="41555" width="30.7109375" customWidth="1"/>
    <col min="60" max="60" style="41558" width="40.7109375" customWidth="1"/>
    <col min="61" max="61" style="41558" width="15.00390625" customWidth="1"/>
    <col min="62" max="62" style="41558" width="40.7109375" customWidth="1"/>
    <col min="63" max="63" style="41558" width="2.7109375" customWidth="1"/>
    <col min="64" max="64" style="41558" width="44.7109375" customWidth="1"/>
    <col min="65" max="65" style="41558" width="2.7109375" customWidth="1"/>
    <col min="66" max="66" style="41558" width="40.7109375" customWidth="1"/>
    <col min="67" max="68" style="41555" width="9.140625"/>
    <col min="69" max="69" style="41555" width="18.140625" customWidth="1"/>
    <col min="70" max="70" style="41555" width="57.8515625" customWidth="1"/>
    <col min="71" max="71" style="41559" width="1.7109375" customWidth="1"/>
    <col min="72" max="72" style="41555" width="22.57421875" customWidth="1"/>
    <col min="73" max="73" style="41555" width="57.8515625" customWidth="1"/>
    <col min="74" max="74" style="41555" width="1.7109375" customWidth="1"/>
    <col min="75" max="75" style="41555" width="22.57421875" customWidth="1"/>
    <col min="76" max="76" style="41555" width="57.8515625" customWidth="1"/>
    <col min="77" max="77" style="41555" width="1.7109375" customWidth="1"/>
    <col min="78" max="78" style="41555" width="22.57421875" customWidth="1"/>
    <col min="79" max="79" style="41555" width="57.8515625" customWidth="1"/>
    <col min="80" max="81" style="41555" width="9.140625"/>
    <col min="82" max="82" style="41555" width="49.57421875" customWidth="1"/>
  </cols>
  <sheetData>
    <row s="41456" customFormat="1" customHeight="1" ht="11.25">
      <c r="A1" s="1980" t="s">
        <v>1139</v>
      </c>
      <c r="B1" s="1980" t="s">
        <v>1140</v>
      </c>
      <c r="C1" s="1980" t="s">
        <v>1141</v>
      </c>
      <c r="D1" s="1980" t="s">
        <v>1142</v>
      </c>
      <c r="E1" s="1980" t="s">
        <v>1143</v>
      </c>
      <c r="F1" s="1980" t="s">
        <v>1144</v>
      </c>
      <c r="G1" s="1980" t="s">
        <v>1145</v>
      </c>
      <c r="H1" s="1980" t="s">
        <v>1146</v>
      </c>
      <c r="I1" s="1980" t="s">
        <v>1147</v>
      </c>
      <c r="J1" s="1980" t="s">
        <v>1148</v>
      </c>
      <c r="K1" s="1980" t="s">
        <v>1149</v>
      </c>
      <c r="L1" s="1980" t="s">
        <v>1150</v>
      </c>
      <c r="M1" s="1980"/>
      <c r="N1" s="1980" t="s">
        <v>1151</v>
      </c>
      <c r="O1" s="1980" t="s">
        <v>1152</v>
      </c>
      <c r="P1" s="1980" t="s">
        <v>1153</v>
      </c>
      <c r="Q1" s="1980" t="s">
        <v>1154</v>
      </c>
      <c r="R1" s="1980" t="s">
        <v>1155</v>
      </c>
      <c r="S1" s="1980" t="s">
        <v>1156</v>
      </c>
      <c r="T1" s="1980" t="s">
        <v>1157</v>
      </c>
      <c r="U1" s="1980" t="s">
        <v>1158</v>
      </c>
      <c r="V1" s="1980"/>
      <c r="W1" s="1709" t="s">
        <v>1159</v>
      </c>
      <c r="X1" s="1980" t="s">
        <v>1160</v>
      </c>
      <c r="Y1" s="1980" t="s">
        <v>1161</v>
      </c>
      <c r="Z1" s="1980"/>
      <c r="AA1" s="1980" t="s">
        <v>1162</v>
      </c>
      <c r="AB1" s="1980"/>
      <c r="AC1" s="1980" t="s">
        <v>1163</v>
      </c>
      <c r="AD1" s="1980"/>
      <c r="AF1" s="1980" t="s">
        <v>1164</v>
      </c>
      <c r="AH1" s="1980" t="s">
        <v>1165</v>
      </c>
      <c r="AI1" s="1980" t="s">
        <v>1166</v>
      </c>
      <c r="AK1" s="1980" t="s">
        <v>1167</v>
      </c>
      <c r="AM1" s="1980" t="s">
        <v>1168</v>
      </c>
      <c r="AP1" s="1980" t="s">
        <v>1169</v>
      </c>
      <c r="AQ1" s="1980" t="s">
        <v>1170</v>
      </c>
      <c r="AS1" s="1980" t="s">
        <v>1171</v>
      </c>
      <c r="AU1" s="1980" t="s">
        <v>1172</v>
      </c>
      <c r="AW1" s="1980" t="s">
        <v>1173</v>
      </c>
      <c r="AX1" s="1980" t="s">
        <v>1174</v>
      </c>
      <c r="AZ1" s="2066" t="s">
        <v>1175</v>
      </c>
      <c r="BB1" s="1980" t="s">
        <v>1176</v>
      </c>
      <c r="BC1" s="1980"/>
      <c r="BE1" s="1980" t="s">
        <v>1177</v>
      </c>
      <c r="BF1" s="1980" t="s">
        <v>1178</v>
      </c>
      <c r="BH1" s="1982" t="s">
        <v>714</v>
      </c>
      <c r="BI1" s="1983"/>
      <c r="BJ1" s="1984" t="s">
        <v>1179</v>
      </c>
      <c r="BK1" s="1983"/>
      <c r="BL1" s="1985" t="s">
        <v>815</v>
      </c>
      <c r="BM1" s="1983"/>
      <c r="BN1" s="1986" t="s">
        <v>1180</v>
      </c>
      <c r="BS1" s="2342"/>
    </row>
    <row customHeight="1" ht="11.25">
      <c r="A2" s="1987" t="s">
        <v>1181</v>
      </c>
      <c r="B2" s="1988">
        <v>2000</v>
      </c>
      <c r="C2" s="1988">
        <v>2022</v>
      </c>
      <c r="D2" s="1988" t="s">
        <v>62</v>
      </c>
      <c r="E2" s="1989" t="s">
        <v>1182</v>
      </c>
      <c r="F2" s="1989" t="s">
        <v>1183</v>
      </c>
      <c r="G2" s="1989" t="s">
        <v>1184</v>
      </c>
      <c r="H2" s="1990" t="s">
        <v>50</v>
      </c>
      <c r="I2" s="1989" t="s">
        <v>102</v>
      </c>
      <c r="J2" s="1989" t="s">
        <v>1185</v>
      </c>
      <c r="K2" s="1991" t="s">
        <v>1186</v>
      </c>
      <c r="L2" s="1992"/>
      <c r="M2" s="1991">
        <v>1</v>
      </c>
      <c r="N2" s="2076" t="s">
        <v>1187</v>
      </c>
      <c r="O2" s="1990" t="s">
        <v>1188</v>
      </c>
      <c r="P2" s="1993" t="s">
        <v>33</v>
      </c>
      <c r="Q2" s="1994" t="s">
        <v>1189</v>
      </c>
      <c r="R2" s="1056" t="s">
        <v>1190</v>
      </c>
      <c r="S2" s="1056" t="s">
        <v>1191</v>
      </c>
      <c r="T2" s="1995" t="s">
        <v>1192</v>
      </c>
      <c r="U2" s="1992" t="s">
        <v>1193</v>
      </c>
      <c r="V2" s="1996">
        <v>1</v>
      </c>
      <c r="W2" s="1997"/>
      <c r="X2" s="1997" t="s">
        <v>1194</v>
      </c>
      <c r="Y2" s="1988" t="s">
        <v>1195</v>
      </c>
      <c r="Z2" s="1998"/>
      <c r="AA2" s="1988" t="s">
        <v>1196</v>
      </c>
      <c r="AB2" s="1999" t="s">
        <v>1196</v>
      </c>
      <c r="AC2" s="1988" t="s">
        <v>1197</v>
      </c>
      <c r="AD2" s="1999" t="s">
        <v>1197</v>
      </c>
      <c r="AF2" s="1990" t="s">
        <v>1193</v>
      </c>
      <c r="AH2" s="1989" t="s">
        <v>1198</v>
      </c>
      <c r="AI2" s="1989" t="s">
        <v>1198</v>
      </c>
      <c r="AK2" s="1989" t="s">
        <v>1199</v>
      </c>
      <c r="AM2" s="1989" t="s">
        <v>1200</v>
      </c>
      <c r="AP2" s="2000" t="s">
        <v>1194</v>
      </c>
      <c r="AQ2" s="2001" t="s">
        <v>1194</v>
      </c>
      <c r="AS2" s="1988" t="s">
        <v>1201</v>
      </c>
      <c r="AU2" s="2034" t="s">
        <v>1202</v>
      </c>
      <c r="AW2" s="2034" t="s">
        <v>1203</v>
      </c>
      <c r="AX2" s="2034" t="s">
        <v>1203</v>
      </c>
      <c r="AZ2" s="2034" t="s">
        <v>1204</v>
      </c>
      <c r="BB2" s="2034" t="s">
        <v>1205</v>
      </c>
      <c r="BC2" s="2034" t="s">
        <v>1206</v>
      </c>
      <c r="BE2" s="2034">
        <v>2000</v>
      </c>
      <c r="BF2" s="2034" t="s">
        <v>1207</v>
      </c>
    </row>
    <row customHeight="1" ht="11.25">
      <c r="A3" s="1987" t="s">
        <v>1208</v>
      </c>
      <c r="B3" s="1988">
        <v>2001</v>
      </c>
      <c r="C3" s="1988">
        <v>2023</v>
      </c>
      <c r="D3" s="1988" t="s">
        <v>52</v>
      </c>
      <c r="E3" s="1989" t="s">
        <v>1209</v>
      </c>
      <c r="F3" s="1989" t="s">
        <v>1210</v>
      </c>
      <c r="G3" s="1989" t="s">
        <v>1211</v>
      </c>
      <c r="H3" s="1990" t="s">
        <v>1212</v>
      </c>
      <c r="I3" s="1989" t="s">
        <v>103</v>
      </c>
      <c r="J3" s="1989" t="s">
        <v>548</v>
      </c>
      <c r="K3" s="1991" t="s">
        <v>1213</v>
      </c>
      <c r="L3" s="1992">
        <f>_xlfn.IFERROR(MATCH(K3,OFFER_METHOD,0),0)</f>
        <v>0</v>
      </c>
      <c r="M3" s="1991">
        <v>2</v>
      </c>
      <c r="N3" s="2076" t="s">
        <v>1214</v>
      </c>
      <c r="O3" s="1990" t="s">
        <v>1215</v>
      </c>
      <c r="P3" s="1993" t="s">
        <v>1216</v>
      </c>
      <c r="Q3" s="1994" t="s">
        <v>1217</v>
      </c>
      <c r="R3" s="1056" t="s">
        <v>1218</v>
      </c>
      <c r="S3" s="1056" t="s">
        <v>1219</v>
      </c>
      <c r="T3" s="1995" t="s">
        <v>1220</v>
      </c>
      <c r="U3" s="1992" t="s">
        <v>1221</v>
      </c>
      <c r="V3" s="1996">
        <v>2</v>
      </c>
      <c r="W3" s="1997"/>
      <c r="X3" s="1997" t="s">
        <v>1222</v>
      </c>
      <c r="Y3" s="1988" t="s">
        <v>1195</v>
      </c>
      <c r="Z3" s="1998"/>
      <c r="AA3" s="1988" t="s">
        <v>1223</v>
      </c>
      <c r="AB3" s="1999" t="s">
        <v>1223</v>
      </c>
      <c r="AC3" s="1988" t="s">
        <v>1224</v>
      </c>
      <c r="AD3" s="1999" t="s">
        <v>1224</v>
      </c>
      <c r="AF3" s="1990" t="s">
        <v>1221</v>
      </c>
      <c r="AH3" s="1989" t="s">
        <v>1225</v>
      </c>
      <c r="AI3" s="1989" t="s">
        <v>1226</v>
      </c>
      <c r="AK3" s="1989" t="s">
        <v>1227</v>
      </c>
      <c r="AM3" s="1989" t="s">
        <v>1228</v>
      </c>
      <c r="AP3" s="2000" t="s">
        <v>1229</v>
      </c>
      <c r="AQ3" s="2001" t="s">
        <v>1229</v>
      </c>
      <c r="AS3" s="1988" t="s">
        <v>1230</v>
      </c>
      <c r="AU3" s="2034" t="s">
        <v>1231</v>
      </c>
      <c r="AW3" s="2034" t="s">
        <v>1232</v>
      </c>
      <c r="AX3" s="2034" t="s">
        <v>1232</v>
      </c>
      <c r="AZ3" s="2034" t="s">
        <v>48</v>
      </c>
      <c r="BB3" s="2034" t="s">
        <v>1233</v>
      </c>
      <c r="BC3" s="2034" t="s">
        <v>1206</v>
      </c>
      <c r="BE3" s="2034">
        <v>2001</v>
      </c>
      <c r="BF3" s="2034" t="s">
        <v>1234</v>
      </c>
      <c r="BH3" s="1980" t="s">
        <v>1235</v>
      </c>
      <c r="BJ3" s="1980" t="s">
        <v>1236</v>
      </c>
      <c r="BL3" s="1980" t="s">
        <v>1237</v>
      </c>
      <c r="BN3" s="1980" t="s">
        <v>1238</v>
      </c>
      <c r="BR3" s="1980" t="s">
        <v>1239</v>
      </c>
      <c r="BS3" s="2343"/>
      <c r="BT3" s="1983"/>
      <c r="BU3" s="1980" t="s">
        <v>1240</v>
      </c>
      <c r="BV3" s="1983"/>
      <c r="BW3" s="2605"/>
      <c r="BX3" s="2607" t="s">
        <v>1241</v>
      </c>
      <c r="CA3" s="1980" t="s">
        <v>1242</v>
      </c>
    </row>
    <row customHeight="1" ht="11.25">
      <c r="A4" s="1987" t="s">
        <v>1243</v>
      </c>
      <c r="B4" s="1988">
        <v>2002</v>
      </c>
      <c r="C4" s="1988">
        <v>2024</v>
      </c>
      <c r="E4" s="1989" t="s">
        <v>1244</v>
      </c>
      <c r="F4" s="1989" t="s">
        <v>1245</v>
      </c>
      <c r="H4" s="1990" t="s">
        <v>1246</v>
      </c>
      <c r="I4" s="1989" t="s">
        <v>86</v>
      </c>
      <c r="J4" s="1989" t="s">
        <v>1247</v>
      </c>
      <c r="K4" s="1991" t="s">
        <v>1248</v>
      </c>
      <c r="L4" s="1992">
        <f>_xlfn.IFERROR(MATCH(K4,OFFER_METHOD,0),0)</f>
        <v>0</v>
      </c>
      <c r="M4" s="1991">
        <v>3</v>
      </c>
      <c r="N4" s="2076" t="s">
        <v>1249</v>
      </c>
      <c r="O4" s="1989" t="s">
        <v>1250</v>
      </c>
      <c r="Q4" s="1994" t="s">
        <v>1251</v>
      </c>
      <c r="R4" s="1056" t="s">
        <v>1252</v>
      </c>
      <c r="S4" s="1056" t="s">
        <v>1253</v>
      </c>
      <c r="T4" s="1995" t="s">
        <v>1254</v>
      </c>
      <c r="U4" s="1992" t="s">
        <v>1255</v>
      </c>
      <c r="V4" s="1996">
        <v>3</v>
      </c>
      <c r="W4" s="1997"/>
      <c r="X4" s="1997" t="s">
        <v>1256</v>
      </c>
      <c r="Y4" s="1988" t="s">
        <v>1195</v>
      </c>
      <c r="Z4" s="2004"/>
      <c r="AC4" s="1988" t="s">
        <v>1257</v>
      </c>
      <c r="AD4" s="1999" t="s">
        <v>1257</v>
      </c>
      <c r="AF4" s="1990" t="s">
        <v>1255</v>
      </c>
      <c r="AH4" s="1990" t="s">
        <v>1258</v>
      </c>
      <c r="AK4" s="1989" t="s">
        <v>1259</v>
      </c>
      <c r="AM4" s="1989" t="s">
        <v>1260</v>
      </c>
      <c r="AP4" s="2000" t="s">
        <v>1222</v>
      </c>
      <c r="AQ4" s="2001" t="s">
        <v>1222</v>
      </c>
      <c r="AS4" s="1988" t="s">
        <v>1261</v>
      </c>
      <c r="AU4" s="2034" t="s">
        <v>1262</v>
      </c>
      <c r="AW4" s="2034" t="s">
        <v>1263</v>
      </c>
      <c r="AX4" s="2034" t="s">
        <v>1263</v>
      </c>
      <c r="AZ4" s="2034" t="s">
        <v>1264</v>
      </c>
      <c r="BB4" s="2034" t="s">
        <v>1265</v>
      </c>
      <c r="BC4" s="2034" t="s">
        <v>1266</v>
      </c>
      <c r="BE4" s="2034">
        <v>2002</v>
      </c>
      <c r="BF4" s="2034" t="s">
        <v>1267</v>
      </c>
      <c r="BH4" s="1981" t="s">
        <v>1268</v>
      </c>
      <c r="BJ4" s="1981" t="s">
        <v>1268</v>
      </c>
      <c r="BL4" s="1981" t="s">
        <v>1268</v>
      </c>
      <c r="BN4" s="1981" t="s">
        <v>1268</v>
      </c>
      <c r="BQ4" s="2347" t="s">
        <v>1269</v>
      </c>
      <c r="BR4" s="2073" t="s">
        <v>1270</v>
      </c>
      <c r="BS4" s="1186"/>
      <c r="BT4" s="2347" t="s">
        <v>1271</v>
      </c>
      <c r="BU4" s="2073" t="s">
        <v>1272</v>
      </c>
      <c r="BV4" s="1983"/>
      <c r="BW4" s="2612" t="s">
        <v>1273</v>
      </c>
      <c r="BX4" s="2606" t="s">
        <v>1274</v>
      </c>
      <c r="BZ4" s="2347" t="s">
        <v>1275</v>
      </c>
      <c r="CA4" s="2073" t="s">
        <v>1276</v>
      </c>
    </row>
    <row customHeight="1" ht="11.25">
      <c r="A5" s="1987" t="s">
        <v>1277</v>
      </c>
      <c r="B5" s="1988">
        <v>2003</v>
      </c>
      <c r="C5" s="1988">
        <v>2025</v>
      </c>
      <c r="E5" s="1989" t="s">
        <v>1278</v>
      </c>
      <c r="F5" s="1989" t="s">
        <v>1279</v>
      </c>
      <c r="H5" s="1990" t="s">
        <v>1280</v>
      </c>
      <c r="I5" s="1989" t="s">
        <v>87</v>
      </c>
      <c r="K5" s="1991" t="s">
        <v>1281</v>
      </c>
      <c r="L5" s="1992">
        <f>_xlfn.IFERROR(MATCH(K5,OFFER_METHOD,0),0)</f>
        <v>0</v>
      </c>
      <c r="M5" s="1991">
        <v>4</v>
      </c>
      <c r="N5" s="2005" t="s">
        <v>1282</v>
      </c>
      <c r="O5" s="1989" t="s">
        <v>1283</v>
      </c>
      <c r="Q5" s="1994" t="s">
        <v>1284</v>
      </c>
      <c r="R5" s="1056" t="s">
        <v>1285</v>
      </c>
      <c r="T5" s="1990" t="s">
        <v>1286</v>
      </c>
      <c r="U5" s="1992" t="s">
        <v>1287</v>
      </c>
      <c r="V5" s="1996">
        <v>4</v>
      </c>
      <c r="W5" s="1997"/>
      <c r="X5" s="1997" t="s">
        <v>159</v>
      </c>
      <c r="Y5" s="1988" t="s">
        <v>1288</v>
      </c>
      <c r="Z5" s="2004">
        <v>1</v>
      </c>
      <c r="AF5" s="1990" t="s">
        <v>1289</v>
      </c>
      <c r="AH5" s="1989" t="s">
        <v>1290</v>
      </c>
      <c r="AK5" s="1989" t="s">
        <v>1291</v>
      </c>
      <c r="AM5" s="1989" t="s">
        <v>1292</v>
      </c>
      <c r="AP5" s="2000" t="s">
        <v>159</v>
      </c>
      <c r="AQ5" s="2001" t="s">
        <v>159</v>
      </c>
      <c r="AU5" s="2034" t="s">
        <v>1293</v>
      </c>
      <c r="AW5" s="2034" t="s">
        <v>1294</v>
      </c>
      <c r="AX5" s="2034" t="s">
        <v>1294</v>
      </c>
      <c r="AZ5" s="2034" t="s">
        <v>1295</v>
      </c>
      <c r="BB5" s="2034" t="s">
        <v>1296</v>
      </c>
      <c r="BC5" s="2034" t="s">
        <v>1297</v>
      </c>
      <c r="BE5" s="2034">
        <v>2003</v>
      </c>
      <c r="BF5" s="2034" t="s">
        <v>1298</v>
      </c>
      <c r="BH5" s="1981" t="s">
        <v>1299</v>
      </c>
      <c r="BJ5" s="1981" t="s">
        <v>1299</v>
      </c>
      <c r="BL5" s="1981" t="s">
        <v>1299</v>
      </c>
      <c r="BN5" s="1981" t="s">
        <v>1300</v>
      </c>
      <c r="BQ5" s="2196">
        <v>4213775</v>
      </c>
      <c r="BR5" s="1981" t="s">
        <v>1194</v>
      </c>
      <c r="BS5" s="2344"/>
      <c r="BT5" s="2196">
        <v>64236871</v>
      </c>
      <c r="BU5" s="1981" t="s">
        <v>220</v>
      </c>
      <c r="BV5" s="1983"/>
      <c r="BW5" s="2610">
        <v>4213767</v>
      </c>
      <c r="BX5" s="2608" t="s">
        <v>1301</v>
      </c>
      <c r="BZ5" s="2196">
        <v>64237509</v>
      </c>
      <c r="CA5" s="2210" t="s">
        <v>1302</v>
      </c>
    </row>
    <row customHeight="1" ht="11.25">
      <c r="A6" s="1987" t="s">
        <v>1303</v>
      </c>
      <c r="B6" s="1988">
        <v>2004</v>
      </c>
      <c r="C6" s="1988">
        <v>2026</v>
      </c>
      <c r="E6" s="1989" t="s">
        <v>1304</v>
      </c>
      <c r="F6" s="2006"/>
      <c r="H6" s="1990" t="s">
        <v>1305</v>
      </c>
      <c r="I6" s="1989" t="s">
        <v>104</v>
      </c>
      <c r="J6" s="1980" t="s">
        <v>1306</v>
      </c>
      <c r="L6" s="1992">
        <f>SUM(kind_of_control_method_filter)</f>
        <v>0</v>
      </c>
      <c r="N6" s="2005" t="s">
        <v>1307</v>
      </c>
      <c r="O6" s="1989" t="s">
        <v>1308</v>
      </c>
      <c r="R6" s="1056" t="s">
        <v>1189</v>
      </c>
      <c r="T6" s="1990" t="s">
        <v>1309</v>
      </c>
      <c r="U6" s="1992" t="s">
        <v>1289</v>
      </c>
      <c r="V6" s="1996">
        <v>5</v>
      </c>
      <c r="W6" s="1997"/>
      <c r="X6" s="1988" t="s">
        <v>165</v>
      </c>
      <c r="Y6" s="1988" t="s">
        <v>1310</v>
      </c>
      <c r="Z6" s="2004"/>
      <c r="AA6" s="2007"/>
      <c r="AH6" s="1989" t="s">
        <v>1311</v>
      </c>
      <c r="AK6" s="1989" t="s">
        <v>1312</v>
      </c>
      <c r="AM6" s="1989" t="s">
        <v>1313</v>
      </c>
      <c r="AP6" s="2000" t="s">
        <v>165</v>
      </c>
      <c r="AQ6" s="2001" t="s">
        <v>165</v>
      </c>
      <c r="AU6" s="2034" t="s">
        <v>1314</v>
      </c>
      <c r="AW6" s="2034" t="s">
        <v>1315</v>
      </c>
      <c r="AX6" s="2034" t="s">
        <v>1315</v>
      </c>
      <c r="BB6" s="2034" t="s">
        <v>1316</v>
      </c>
      <c r="BC6" s="2034" t="s">
        <v>1297</v>
      </c>
      <c r="BE6" s="2034">
        <v>2004</v>
      </c>
      <c r="BF6" s="2034" t="s">
        <v>1317</v>
      </c>
      <c r="BH6" s="1981" t="s">
        <v>1318</v>
      </c>
      <c r="BJ6" s="1981" t="s">
        <v>1319</v>
      </c>
      <c r="BL6" s="1981" t="s">
        <v>1319</v>
      </c>
      <c r="BN6" s="1981" t="s">
        <v>1320</v>
      </c>
      <c r="BQ6" s="2196">
        <v>4213784</v>
      </c>
      <c r="BR6" s="2210" t="s">
        <v>1229</v>
      </c>
      <c r="BS6" s="2345"/>
      <c r="BT6" s="2196">
        <v>64236872</v>
      </c>
      <c r="BU6" s="1981" t="s">
        <v>225</v>
      </c>
      <c r="BV6" s="1983"/>
      <c r="BW6" s="2610">
        <v>4213768</v>
      </c>
      <c r="BX6" s="2608" t="s">
        <v>245</v>
      </c>
      <c r="BZ6" s="2196">
        <v>64237510</v>
      </c>
      <c r="CA6" s="1981" t="s">
        <v>1321</v>
      </c>
    </row>
    <row customHeight="1" ht="11.25">
      <c r="A7" s="1987" t="s">
        <v>1322</v>
      </c>
      <c r="B7" s="1988">
        <v>2005</v>
      </c>
      <c r="E7" s="1989" t="s">
        <v>1323</v>
      </c>
      <c r="F7" s="2006"/>
      <c r="H7" s="1990" t="s">
        <v>1324</v>
      </c>
      <c r="I7" s="1989" t="s">
        <v>88</v>
      </c>
      <c r="J7" s="1989" t="s">
        <v>1325</v>
      </c>
      <c r="N7" s="2009" t="s">
        <v>1326</v>
      </c>
      <c r="O7" s="1989" t="s">
        <v>1327</v>
      </c>
      <c r="U7" s="1992" t="s">
        <v>52</v>
      </c>
      <c r="V7" s="1282" t="s">
        <v>88</v>
      </c>
      <c r="W7" s="1997"/>
      <c r="X7" s="1988" t="s">
        <v>171</v>
      </c>
      <c r="Y7" s="1988" t="s">
        <v>1288</v>
      </c>
      <c r="Z7" s="2004"/>
      <c r="AA7" s="2007"/>
      <c r="AH7" s="1989" t="s">
        <v>1328</v>
      </c>
      <c r="AK7" s="1989" t="s">
        <v>1329</v>
      </c>
      <c r="AM7" s="1989" t="s">
        <v>1330</v>
      </c>
      <c r="AP7" s="2000" t="s">
        <v>171</v>
      </c>
      <c r="AQ7" s="2001" t="s">
        <v>171</v>
      </c>
      <c r="AU7" s="2034" t="s">
        <v>1331</v>
      </c>
      <c r="AW7" s="2034" t="s">
        <v>1332</v>
      </c>
      <c r="AX7" s="2034" t="s">
        <v>1332</v>
      </c>
      <c r="AZ7" s="1980" t="s">
        <v>1333</v>
      </c>
      <c r="BB7" s="2034" t="s">
        <v>1334</v>
      </c>
      <c r="BC7" s="2034" t="s">
        <v>1297</v>
      </c>
      <c r="BE7" s="2034">
        <v>2005</v>
      </c>
      <c r="BF7" s="2034" t="s">
        <v>1335</v>
      </c>
      <c r="BH7" s="1981" t="s">
        <v>1336</v>
      </c>
      <c r="BJ7" s="1981" t="s">
        <v>1318</v>
      </c>
      <c r="BL7" s="1981" t="s">
        <v>1318</v>
      </c>
      <c r="BN7" s="1981" t="s">
        <v>1337</v>
      </c>
      <c r="BQ7" s="2196">
        <v>4213781</v>
      </c>
      <c r="BR7" s="1981" t="s">
        <v>1222</v>
      </c>
      <c r="BS7" s="2344"/>
      <c r="BT7" s="2196">
        <v>64236873</v>
      </c>
      <c r="BU7" s="1981" t="s">
        <v>230</v>
      </c>
      <c r="BV7" s="1983"/>
      <c r="BW7" s="2610">
        <v>4213769</v>
      </c>
      <c r="BX7" s="2608" t="s">
        <v>1338</v>
      </c>
      <c r="BZ7" s="2196">
        <v>64237511</v>
      </c>
      <c r="CA7" s="1981" t="s">
        <v>260</v>
      </c>
    </row>
    <row customHeight="1" ht="11.25">
      <c r="A8" s="1987" t="s">
        <v>1339</v>
      </c>
      <c r="B8" s="1988">
        <v>2006</v>
      </c>
      <c r="E8" s="1989" t="s">
        <v>1340</v>
      </c>
      <c r="F8" s="2006"/>
      <c r="H8" s="1990" t="s">
        <v>1341</v>
      </c>
      <c r="I8" s="1989" t="s">
        <v>89</v>
      </c>
      <c r="J8" s="1989" t="s">
        <v>1342</v>
      </c>
      <c r="N8" s="2077" t="s">
        <v>1343</v>
      </c>
      <c r="O8" s="1989" t="s">
        <v>1344</v>
      </c>
      <c r="V8" s="1282" t="s">
        <v>89</v>
      </c>
      <c r="W8" s="1997"/>
      <c r="X8" s="1988" t="s">
        <v>177</v>
      </c>
      <c r="Y8" s="1988" t="s">
        <v>1288</v>
      </c>
      <c r="Z8" s="2004"/>
      <c r="AA8" s="2007"/>
      <c r="AK8" s="1989" t="s">
        <v>1345</v>
      </c>
      <c r="AP8" s="2000" t="s">
        <v>177</v>
      </c>
      <c r="AQ8" s="2001" t="s">
        <v>177</v>
      </c>
      <c r="AU8" s="2034" t="s">
        <v>1346</v>
      </c>
      <c r="AW8" s="2034" t="s">
        <v>1347</v>
      </c>
      <c r="AX8" s="2034" t="s">
        <v>1347</v>
      </c>
      <c r="AZ8" s="2034" t="s">
        <v>1348</v>
      </c>
      <c r="BB8" s="2034" t="s">
        <v>1349</v>
      </c>
      <c r="BC8" s="2034" t="s">
        <v>1297</v>
      </c>
      <c r="BE8" s="2034">
        <v>2006</v>
      </c>
      <c r="BF8" s="2034" t="s">
        <v>1350</v>
      </c>
      <c r="BH8" s="1981" t="s">
        <v>949</v>
      </c>
      <c r="BJ8" s="1981" t="s">
        <v>1351</v>
      </c>
      <c r="BL8" s="1981" t="s">
        <v>1351</v>
      </c>
      <c r="BN8" s="1981" t="s">
        <v>1352</v>
      </c>
      <c r="BQ8" s="2196">
        <v>4213776</v>
      </c>
      <c r="BR8" s="1981" t="s">
        <v>159</v>
      </c>
      <c r="BS8" s="2344"/>
      <c r="BT8" s="2196">
        <v>64236874</v>
      </c>
      <c r="BU8" s="2210" t="s">
        <v>1353</v>
      </c>
      <c r="BV8" s="1983"/>
      <c r="BW8" s="2610">
        <v>4213770</v>
      </c>
      <c r="BX8" s="2611" t="s">
        <v>1354</v>
      </c>
      <c r="BZ8" s="2196">
        <v>64237512</v>
      </c>
      <c r="CA8" s="1981" t="s">
        <v>255</v>
      </c>
    </row>
    <row customHeight="1" ht="11.25">
      <c r="A9" s="1987" t="s">
        <v>1355</v>
      </c>
      <c r="B9" s="1988">
        <v>2007</v>
      </c>
      <c r="E9" s="1989" t="s">
        <v>1356</v>
      </c>
      <c r="F9" s="2006"/>
      <c r="G9" s="1980" t="s">
        <v>1357</v>
      </c>
      <c r="H9" s="1980" t="s">
        <v>1358</v>
      </c>
      <c r="I9" s="1989" t="s">
        <v>105</v>
      </c>
      <c r="O9" s="1989" t="s">
        <v>1359</v>
      </c>
      <c r="V9" s="1282" t="s">
        <v>105</v>
      </c>
      <c r="W9" s="1997"/>
      <c r="X9" s="1988" t="s">
        <v>183</v>
      </c>
      <c r="Y9" s="1988" t="s">
        <v>1195</v>
      </c>
      <c r="Z9" s="2004">
        <v>1</v>
      </c>
      <c r="AA9" s="2007"/>
      <c r="AK9" s="1989" t="s">
        <v>1360</v>
      </c>
      <c r="AP9" s="2000" t="s">
        <v>1361</v>
      </c>
      <c r="AQ9" s="2001" t="s">
        <v>1361</v>
      </c>
      <c r="AW9" s="2034" t="s">
        <v>1362</v>
      </c>
      <c r="AX9" s="2034" t="s">
        <v>1362</v>
      </c>
      <c r="AZ9" s="2034" t="s">
        <v>64</v>
      </c>
      <c r="BB9" s="2034" t="s">
        <v>1363</v>
      </c>
      <c r="BC9" s="2034" t="s">
        <v>1297</v>
      </c>
      <c r="BE9" s="2034">
        <v>2007</v>
      </c>
      <c r="BF9" s="2034" t="s">
        <v>1364</v>
      </c>
      <c r="BH9" s="1981" t="s">
        <v>1365</v>
      </c>
      <c r="BJ9" s="1981" t="s">
        <v>1366</v>
      </c>
      <c r="BL9" s="1981" t="s">
        <v>1366</v>
      </c>
      <c r="BN9" s="1981" t="s">
        <v>1367</v>
      </c>
      <c r="BQ9" s="2196">
        <v>4213777</v>
      </c>
      <c r="BR9" s="1981" t="s">
        <v>165</v>
      </c>
      <c r="BS9" s="2344"/>
      <c r="BT9" s="2196">
        <v>64236875</v>
      </c>
      <c r="BU9" s="1981" t="s">
        <v>235</v>
      </c>
      <c r="BV9" s="1983"/>
      <c r="BW9" s="2605"/>
      <c r="BX9" s="2605"/>
    </row>
    <row customHeight="1" ht="11.25">
      <c r="A10" s="1987" t="s">
        <v>1368</v>
      </c>
      <c r="B10" s="1988">
        <v>2008</v>
      </c>
      <c r="E10" s="1989" t="s">
        <v>1369</v>
      </c>
      <c r="F10" s="2006"/>
      <c r="G10" s="1989" t="s">
        <v>1370</v>
      </c>
      <c r="H10" s="1989" t="s">
        <v>1371</v>
      </c>
      <c r="I10" s="1989" t="s">
        <v>141</v>
      </c>
      <c r="J10" s="1980" t="s">
        <v>1372</v>
      </c>
      <c r="K10" s="1980" t="s">
        <v>1373</v>
      </c>
      <c r="O10" s="1989" t="s">
        <v>1374</v>
      </c>
      <c r="V10" s="1283" t="s">
        <v>141</v>
      </c>
      <c r="W10" s="2010"/>
      <c r="X10" s="2010" t="s">
        <v>195</v>
      </c>
      <c r="Y10" s="2011" t="s">
        <v>1375</v>
      </c>
      <c r="Z10" s="2004"/>
      <c r="AP10" s="2000" t="s">
        <v>195</v>
      </c>
      <c r="AQ10" s="2001" t="s">
        <v>195</v>
      </c>
      <c r="AW10" s="2034" t="s">
        <v>1376</v>
      </c>
      <c r="AX10" s="2034" t="s">
        <v>1376</v>
      </c>
      <c r="AZ10" s="2034" t="s">
        <v>1088</v>
      </c>
      <c r="BB10" s="2034" t="s">
        <v>1377</v>
      </c>
      <c r="BC10" s="2034" t="s">
        <v>1297</v>
      </c>
      <c r="BE10" s="2034">
        <v>2008</v>
      </c>
      <c r="BF10" s="2034" t="s">
        <v>1378</v>
      </c>
      <c r="BH10" s="1981" t="s">
        <v>1379</v>
      </c>
      <c r="BJ10" s="1981" t="s">
        <v>1380</v>
      </c>
      <c r="BL10" s="1981" t="s">
        <v>1380</v>
      </c>
      <c r="BN10" s="1981" t="s">
        <v>1381</v>
      </c>
      <c r="BQ10" s="2196">
        <v>4213778</v>
      </c>
      <c r="BR10" s="1981" t="s">
        <v>171</v>
      </c>
      <c r="BS10" s="2344"/>
      <c r="BT10" s="2196">
        <v>64236876</v>
      </c>
      <c r="BU10" s="1981" t="s">
        <v>215</v>
      </c>
      <c r="BV10" s="1983"/>
      <c r="BW10" s="2605"/>
      <c r="BX10" s="2605"/>
    </row>
    <row customHeight="1" ht="11.25">
      <c r="A11" s="1987" t="s">
        <v>1382</v>
      </c>
      <c r="B11" s="1988">
        <v>2009</v>
      </c>
      <c r="E11" s="1989" t="s">
        <v>1383</v>
      </c>
      <c r="F11" s="2006"/>
      <c r="G11" s="1989" t="s">
        <v>1384</v>
      </c>
      <c r="H11" s="1989" t="s">
        <v>1385</v>
      </c>
      <c r="I11" s="1989" t="s">
        <v>142</v>
      </c>
      <c r="J11" s="1990" t="s">
        <v>1386</v>
      </c>
      <c r="K11" s="2012" t="s">
        <v>1387</v>
      </c>
      <c r="O11" s="1990" t="s">
        <v>1388</v>
      </c>
      <c r="V11" s="1282" t="s">
        <v>142</v>
      </c>
      <c r="W11" s="1187"/>
      <c r="X11" s="1997" t="s">
        <v>1361</v>
      </c>
      <c r="Y11" s="1988" t="s">
        <v>1389</v>
      </c>
      <c r="Z11" s="2004"/>
      <c r="AP11" s="2000" t="s">
        <v>183</v>
      </c>
      <c r="AQ11" s="2002" t="s">
        <v>183</v>
      </c>
      <c r="AW11" s="2034" t="s">
        <v>1390</v>
      </c>
      <c r="AX11" s="2034" t="s">
        <v>1390</v>
      </c>
      <c r="AZ11" s="2034" t="s">
        <v>1391</v>
      </c>
      <c r="BB11" s="2034" t="s">
        <v>1392</v>
      </c>
      <c r="BC11" s="2034" t="s">
        <v>1297</v>
      </c>
      <c r="BE11" s="2034">
        <v>2009</v>
      </c>
      <c r="BF11" s="2034" t="s">
        <v>1393</v>
      </c>
      <c r="BH11" s="1981" t="s">
        <v>1394</v>
      </c>
      <c r="BJ11" s="1981" t="s">
        <v>1365</v>
      </c>
      <c r="BL11" s="1981" t="s">
        <v>1365</v>
      </c>
      <c r="BN11" s="1981" t="s">
        <v>1395</v>
      </c>
      <c r="BQ11" s="2196">
        <v>4213780</v>
      </c>
      <c r="BR11" s="1981" t="s">
        <v>177</v>
      </c>
      <c r="BS11" s="2344"/>
      <c r="BW11" s="2605"/>
      <c r="BX11" s="2605"/>
    </row>
    <row customHeight="1" ht="11.25">
      <c r="A12" s="1987" t="s">
        <v>1396</v>
      </c>
      <c r="B12" s="1988">
        <v>2010</v>
      </c>
      <c r="E12" s="1989" t="s">
        <v>1397</v>
      </c>
      <c r="F12" s="2006"/>
      <c r="G12" s="1989" t="s">
        <v>1385</v>
      </c>
      <c r="I12" s="1989" t="s">
        <v>143</v>
      </c>
      <c r="J12" s="1990" t="s">
        <v>1398</v>
      </c>
      <c r="K12" s="2012" t="s">
        <v>1399</v>
      </c>
      <c r="O12" s="1990" t="s">
        <v>1189</v>
      </c>
      <c r="V12" s="1282" t="s">
        <v>143</v>
      </c>
      <c r="W12" s="2002"/>
      <c r="X12" s="1997" t="s">
        <v>1400</v>
      </c>
      <c r="Y12" s="1988" t="s">
        <v>1195</v>
      </c>
      <c r="AP12" s="2000"/>
      <c r="AW12" s="2034" t="s">
        <v>142</v>
      </c>
      <c r="AX12" s="2034" t="s">
        <v>142</v>
      </c>
      <c r="AZ12" s="2034" t="s">
        <v>1401</v>
      </c>
      <c r="BB12" s="2034" t="s">
        <v>1402</v>
      </c>
      <c r="BC12" s="2034" t="s">
        <v>1297</v>
      </c>
      <c r="BE12" s="2034">
        <v>2010</v>
      </c>
      <c r="BF12" s="2034" t="s">
        <v>1403</v>
      </c>
      <c r="BH12" s="1981" t="s">
        <v>1404</v>
      </c>
      <c r="BJ12" s="1981" t="s">
        <v>1405</v>
      </c>
      <c r="BL12" s="1981" t="s">
        <v>1405</v>
      </c>
      <c r="BN12" s="1981" t="s">
        <v>1406</v>
      </c>
      <c r="BQ12" s="2196">
        <v>4213779</v>
      </c>
      <c r="BR12" s="1981" t="s">
        <v>1361</v>
      </c>
      <c r="BS12" s="2344"/>
      <c r="BT12" s="1983"/>
      <c r="BU12" s="1983"/>
      <c r="BV12" s="1983"/>
      <c r="BW12" s="2605"/>
      <c r="BX12" s="2605"/>
    </row>
    <row customHeight="1" ht="11.25">
      <c r="A13" s="1987" t="s">
        <v>1407</v>
      </c>
      <c r="B13" s="1988">
        <v>2011</v>
      </c>
      <c r="E13" s="1989" t="s">
        <v>1408</v>
      </c>
      <c r="F13" s="2006"/>
      <c r="I13" s="1989" t="s">
        <v>144</v>
      </c>
      <c r="K13" s="2012" t="s">
        <v>1360</v>
      </c>
      <c r="V13" s="1282" t="s">
        <v>144</v>
      </c>
      <c r="W13" s="2002"/>
      <c r="X13" s="2002"/>
      <c r="Y13" s="2002"/>
      <c r="AW13" s="2034" t="s">
        <v>143</v>
      </c>
      <c r="AX13" s="2034" t="s">
        <v>143</v>
      </c>
      <c r="BB13" s="2034" t="s">
        <v>1409</v>
      </c>
      <c r="BC13" s="2034" t="s">
        <v>1410</v>
      </c>
      <c r="BE13" s="2034">
        <v>2011</v>
      </c>
      <c r="BF13" s="2034" t="s">
        <v>939</v>
      </c>
      <c r="BH13" s="1981" t="s">
        <v>1411</v>
      </c>
      <c r="BJ13" s="1981" t="s">
        <v>1394</v>
      </c>
      <c r="BL13" s="1981" t="s">
        <v>1394</v>
      </c>
      <c r="BN13" s="1981" t="s">
        <v>1412</v>
      </c>
      <c r="BQ13" s="2196">
        <v>4213783</v>
      </c>
      <c r="BR13" s="1981" t="s">
        <v>195</v>
      </c>
      <c r="BS13" s="2344"/>
      <c r="BT13" s="1983"/>
      <c r="BU13" s="1983"/>
      <c r="BV13" s="1983"/>
      <c r="BW13" s="2609"/>
      <c r="BX13" s="2605"/>
    </row>
    <row customHeight="1" ht="11.25">
      <c r="A14" s="1987" t="s">
        <v>14</v>
      </c>
      <c r="B14" s="1988">
        <v>2012</v>
      </c>
      <c r="I14" s="1989" t="s">
        <v>145</v>
      </c>
      <c r="J14" s="1980" t="s">
        <v>1413</v>
      </c>
      <c r="N14" s="1980" t="s">
        <v>1414</v>
      </c>
      <c r="V14" s="1996">
        <v>13</v>
      </c>
      <c r="W14" s="1997"/>
      <c r="X14" s="1997" t="s">
        <v>1229</v>
      </c>
      <c r="Y14" s="1988" t="s">
        <v>1195</v>
      </c>
      <c r="AW14" s="2034" t="s">
        <v>144</v>
      </c>
      <c r="AX14" s="2034" t="s">
        <v>144</v>
      </c>
      <c r="AZ14" s="1980" t="s">
        <v>1415</v>
      </c>
      <c r="BB14" s="2034" t="s">
        <v>1416</v>
      </c>
      <c r="BC14" s="2034" t="s">
        <v>1410</v>
      </c>
      <c r="BE14" s="2034">
        <v>2012</v>
      </c>
      <c r="BH14" s="1981" t="s">
        <v>1337</v>
      </c>
      <c r="BJ14" s="2131" t="s">
        <v>1417</v>
      </c>
      <c r="BL14" s="2131" t="s">
        <v>1417</v>
      </c>
      <c r="BN14" s="1981" t="s">
        <v>1418</v>
      </c>
      <c r="BQ14" s="2196">
        <v>4213782</v>
      </c>
      <c r="BR14" s="1981" t="s">
        <v>183</v>
      </c>
      <c r="BS14" s="2344"/>
      <c r="BT14" s="1983"/>
      <c r="BU14" s="1983"/>
      <c r="BV14" s="1983"/>
      <c r="BW14" s="2609"/>
      <c r="BX14" s="2605"/>
    </row>
    <row customHeight="1" ht="19.5">
      <c r="A15" s="1987" t="s">
        <v>1419</v>
      </c>
      <c r="B15" s="1988">
        <v>2013</v>
      </c>
      <c r="E15" s="2613" t="s">
        <v>1420</v>
      </c>
      <c r="G15" s="1980" t="s">
        <v>1421</v>
      </c>
      <c r="H15" s="1980" t="s">
        <v>1422</v>
      </c>
      <c r="I15" s="1991" t="s">
        <v>146</v>
      </c>
      <c r="J15" s="2002" t="s">
        <v>575</v>
      </c>
      <c r="N15" s="2072" t="s">
        <v>1423</v>
      </c>
      <c r="X15" s="2000"/>
      <c r="AW15" s="2034" t="s">
        <v>145</v>
      </c>
      <c r="AX15" s="2034" t="s">
        <v>145</v>
      </c>
      <c r="AZ15" s="2034" t="s">
        <v>1348</v>
      </c>
      <c r="BB15" s="2034" t="s">
        <v>1424</v>
      </c>
      <c r="BC15" s="2034" t="s">
        <v>1410</v>
      </c>
      <c r="BE15" s="2034">
        <v>2013</v>
      </c>
      <c r="BH15" s="1981" t="s">
        <v>1352</v>
      </c>
      <c r="BJ15" s="2131" t="s">
        <v>1425</v>
      </c>
      <c r="BL15" s="2131" t="s">
        <v>1425</v>
      </c>
      <c r="BN15" s="1981" t="s">
        <v>1426</v>
      </c>
      <c r="BR15" s="1983"/>
      <c r="BS15" s="2346"/>
      <c r="BT15" s="1983"/>
      <c r="BU15" s="1983"/>
      <c r="BV15" s="1983"/>
      <c r="BW15" s="2609"/>
      <c r="BX15" s="2605"/>
    </row>
    <row customHeight="1" ht="21">
      <c r="A16" s="2786" t="s">
        <v>1427</v>
      </c>
      <c r="B16" s="1988">
        <v>2014</v>
      </c>
      <c r="E16" s="2614" t="s">
        <v>1428</v>
      </c>
      <c r="G16" s="1989" t="s">
        <v>1429</v>
      </c>
      <c r="H16" s="1989" t="s">
        <v>1430</v>
      </c>
      <c r="I16" s="1991" t="s">
        <v>973</v>
      </c>
      <c r="J16" s="2002" t="s">
        <v>548</v>
      </c>
      <c r="N16" s="2072" t="s">
        <v>1431</v>
      </c>
      <c r="AW16" s="2034" t="s">
        <v>146</v>
      </c>
      <c r="AX16" s="2034" t="s">
        <v>146</v>
      </c>
      <c r="AZ16" s="2034" t="s">
        <v>64</v>
      </c>
      <c r="BB16" s="2034" t="s">
        <v>1432</v>
      </c>
      <c r="BC16" s="2034" t="s">
        <v>1410</v>
      </c>
      <c r="BE16" s="2034">
        <v>2014</v>
      </c>
      <c r="BH16" s="1981" t="s">
        <v>1367</v>
      </c>
      <c r="BJ16" s="2131" t="s">
        <v>1433</v>
      </c>
      <c r="BL16" s="2131" t="s">
        <v>1433</v>
      </c>
      <c r="BN16" s="1981" t="s">
        <v>1434</v>
      </c>
      <c r="BR16" s="1983"/>
      <c r="BS16" s="2346"/>
      <c r="BT16" s="1983"/>
      <c r="BU16" s="1983"/>
      <c r="BV16" s="1983"/>
      <c r="BW16" s="2609"/>
      <c r="BX16" s="2605"/>
    </row>
    <row customHeight="1" ht="21">
      <c r="A17" s="1987" t="s">
        <v>1435</v>
      </c>
      <c r="B17" s="1988">
        <v>2015</v>
      </c>
      <c r="G17" s="1989" t="s">
        <v>1385</v>
      </c>
      <c r="H17" s="1989" t="s">
        <v>1385</v>
      </c>
      <c r="I17" s="1989" t="s">
        <v>975</v>
      </c>
      <c r="N17" s="2072" t="s">
        <v>1436</v>
      </c>
      <c r="X17" s="2000"/>
      <c r="AW17" s="2034" t="s">
        <v>973</v>
      </c>
      <c r="AX17" s="2034" t="s">
        <v>973</v>
      </c>
      <c r="AZ17" s="2034" t="s">
        <v>1437</v>
      </c>
      <c r="BB17" s="2034" t="s">
        <v>1438</v>
      </c>
      <c r="BC17" s="2034" t="s">
        <v>1297</v>
      </c>
      <c r="BE17" s="2034">
        <v>2015</v>
      </c>
      <c r="BH17" s="1981" t="s">
        <v>1381</v>
      </c>
      <c r="BJ17" s="2131" t="s">
        <v>1439</v>
      </c>
      <c r="BL17" s="2131" t="s">
        <v>1439</v>
      </c>
      <c r="BN17" s="1981" t="s">
        <v>1440</v>
      </c>
      <c r="BR17" s="1980" t="s">
        <v>1239</v>
      </c>
      <c r="BS17" s="2343"/>
      <c r="BU17" s="1980" t="s">
        <v>1441</v>
      </c>
      <c r="BV17" s="1983"/>
      <c r="BW17" s="2605"/>
      <c r="BX17" s="2607" t="s">
        <v>1442</v>
      </c>
      <c r="CA17" s="1980" t="s">
        <v>1443</v>
      </c>
      <c r="CD17" s="1980" t="s">
        <v>1444</v>
      </c>
    </row>
    <row customHeight="1" ht="21">
      <c r="A18" s="1987" t="s">
        <v>1445</v>
      </c>
      <c r="B18" s="1988">
        <v>2016</v>
      </c>
      <c r="I18" s="1989" t="s">
        <v>976</v>
      </c>
      <c r="N18" s="2072" t="s">
        <v>1446</v>
      </c>
      <c r="X18" s="2000"/>
      <c r="AW18" s="2034" t="s">
        <v>975</v>
      </c>
      <c r="AX18" s="2034" t="s">
        <v>975</v>
      </c>
      <c r="BB18" s="2034" t="s">
        <v>1447</v>
      </c>
      <c r="BC18" s="2034" t="s">
        <v>1297</v>
      </c>
      <c r="BE18" s="2034">
        <v>2016</v>
      </c>
      <c r="BH18" s="1981" t="s">
        <v>1395</v>
      </c>
      <c r="BJ18" s="2131" t="s">
        <v>1448</v>
      </c>
      <c r="BL18" s="2131" t="s">
        <v>1448</v>
      </c>
      <c r="BN18" s="1981" t="s">
        <v>941</v>
      </c>
      <c r="BQ18" s="2347" t="s">
        <v>1269</v>
      </c>
      <c r="BR18" s="2073" t="s">
        <v>1270</v>
      </c>
      <c r="BS18" s="1186"/>
      <c r="BT18" s="2347" t="s">
        <v>1449</v>
      </c>
      <c r="BU18" s="2073" t="s">
        <v>1450</v>
      </c>
      <c r="BV18" s="1983"/>
      <c r="BW18" s="2612" t="s">
        <v>1451</v>
      </c>
      <c r="BX18" s="2606" t="s">
        <v>1452</v>
      </c>
      <c r="BZ18" s="2347" t="s">
        <v>1453</v>
      </c>
      <c r="CA18" s="2073" t="s">
        <v>1454</v>
      </c>
      <c r="CC18" s="2347" t="s">
        <v>1455</v>
      </c>
      <c r="CD18" s="2073" t="s">
        <v>1456</v>
      </c>
    </row>
    <row customHeight="1" ht="21">
      <c r="A19" s="2786" t="s">
        <v>1457</v>
      </c>
      <c r="B19" s="1988">
        <v>2017</v>
      </c>
      <c r="I19" s="1989" t="s">
        <v>978</v>
      </c>
      <c r="N19" s="2072" t="s">
        <v>1458</v>
      </c>
      <c r="X19" s="2000"/>
      <c r="AW19" s="2034" t="s">
        <v>976</v>
      </c>
      <c r="AX19" s="2034" t="s">
        <v>976</v>
      </c>
      <c r="AZ19" s="1980" t="s">
        <v>1459</v>
      </c>
      <c r="BB19" s="2034" t="s">
        <v>1460</v>
      </c>
      <c r="BC19" s="2034" t="s">
        <v>1297</v>
      </c>
      <c r="BE19" s="2034">
        <v>2017</v>
      </c>
      <c r="BH19" s="1981" t="s">
        <v>1461</v>
      </c>
      <c r="BJ19" s="2131" t="s">
        <v>1462</v>
      </c>
      <c r="BL19" s="2131" t="s">
        <v>1462</v>
      </c>
      <c r="BQ19" s="2196">
        <v>4190064</v>
      </c>
      <c r="BR19" s="1981" t="s">
        <v>1463</v>
      </c>
      <c r="BS19" s="2344"/>
      <c r="BT19" s="2196">
        <v>4189671</v>
      </c>
      <c r="BU19" s="1981" t="s">
        <v>1464</v>
      </c>
      <c r="BV19" s="1983"/>
      <c r="BW19" s="2610">
        <v>4189706</v>
      </c>
      <c r="BX19" s="2608" t="s">
        <v>1465</v>
      </c>
      <c r="BZ19" s="2196">
        <v>4189714</v>
      </c>
      <c r="CA19" s="1981" t="s">
        <v>1466</v>
      </c>
      <c r="CC19" s="2196">
        <v>4189708</v>
      </c>
      <c r="CD19" s="1981" t="s">
        <v>1467</v>
      </c>
    </row>
    <row customHeight="1" ht="21">
      <c r="A20" s="1987" t="s">
        <v>1468</v>
      </c>
      <c r="B20" s="1988">
        <v>2018</v>
      </c>
      <c r="I20" s="1989" t="s">
        <v>979</v>
      </c>
      <c r="N20" s="2072" t="s">
        <v>1469</v>
      </c>
      <c r="AW20" s="2034" t="s">
        <v>978</v>
      </c>
      <c r="AX20" s="2034" t="s">
        <v>978</v>
      </c>
      <c r="AZ20" s="2034" t="s">
        <v>1470</v>
      </c>
      <c r="BB20" s="2034" t="s">
        <v>1471</v>
      </c>
      <c r="BC20" s="2034" t="s">
        <v>1410</v>
      </c>
      <c r="BE20" s="2034">
        <v>2018</v>
      </c>
      <c r="BH20" s="1981" t="s">
        <v>1406</v>
      </c>
      <c r="BJ20" s="1981" t="s">
        <v>1337</v>
      </c>
      <c r="BL20" s="1981" t="s">
        <v>1337</v>
      </c>
      <c r="BQ20" s="2196">
        <v>4190065</v>
      </c>
      <c r="BR20" s="1981" t="s">
        <v>1472</v>
      </c>
      <c r="BS20" s="2344"/>
      <c r="BT20" s="2196">
        <v>4189672</v>
      </c>
      <c r="BU20" s="1981" t="s">
        <v>1473</v>
      </c>
      <c r="BV20" s="1983"/>
      <c r="BW20" s="2610">
        <v>4189705</v>
      </c>
      <c r="BX20" s="2608" t="s">
        <v>1474</v>
      </c>
      <c r="BZ20" s="2196">
        <v>4189713</v>
      </c>
      <c r="CA20" s="1981" t="s">
        <v>1474</v>
      </c>
      <c r="CC20" s="2196">
        <v>4189709</v>
      </c>
      <c r="CD20" s="1981" t="s">
        <v>1475</v>
      </c>
    </row>
    <row customHeight="1" ht="21">
      <c r="A21" s="1987" t="s">
        <v>1476</v>
      </c>
      <c r="B21" s="1988">
        <v>2019</v>
      </c>
      <c r="I21" s="1989" t="s">
        <v>1477</v>
      </c>
      <c r="N21" s="2072" t="s">
        <v>1478</v>
      </c>
      <c r="AW21" s="2034" t="s">
        <v>979</v>
      </c>
      <c r="AX21" s="2034" t="s">
        <v>979</v>
      </c>
      <c r="AZ21" s="2034" t="s">
        <v>1479</v>
      </c>
      <c r="BB21" s="2034" t="s">
        <v>1480</v>
      </c>
      <c r="BC21" s="2034" t="s">
        <v>1297</v>
      </c>
      <c r="BE21" s="2034">
        <v>2019</v>
      </c>
      <c r="BH21" s="1981" t="s">
        <v>1412</v>
      </c>
      <c r="BJ21" s="1981" t="s">
        <v>1352</v>
      </c>
      <c r="BL21" s="1981" t="s">
        <v>1352</v>
      </c>
      <c r="BQ21" s="2196">
        <v>4190066</v>
      </c>
      <c r="BR21" s="1981" t="s">
        <v>1481</v>
      </c>
      <c r="BS21" s="2344"/>
      <c r="BT21" s="2196">
        <v>4189673</v>
      </c>
      <c r="BU21" s="1981" t="s">
        <v>1482</v>
      </c>
      <c r="BV21" s="1983"/>
      <c r="BW21" s="2610">
        <v>4189707</v>
      </c>
      <c r="BX21" s="2608" t="s">
        <v>1483</v>
      </c>
      <c r="BZ21" s="2196">
        <v>4189712</v>
      </c>
      <c r="CA21" s="1981" t="s">
        <v>1484</v>
      </c>
      <c r="CC21" s="2196">
        <v>4189710</v>
      </c>
      <c r="CD21" s="1981" t="s">
        <v>1485</v>
      </c>
    </row>
    <row customHeight="1" ht="21">
      <c r="A22" s="1987" t="s">
        <v>1486</v>
      </c>
      <c r="B22" s="1988">
        <v>2020</v>
      </c>
      <c r="N22" s="2072" t="s">
        <v>1487</v>
      </c>
      <c r="AW22" s="2034" t="s">
        <v>1477</v>
      </c>
      <c r="AX22" s="2034" t="s">
        <v>1477</v>
      </c>
      <c r="AZ22" s="2034" t="s">
        <v>1488</v>
      </c>
      <c r="BB22" s="2034" t="s">
        <v>1489</v>
      </c>
      <c r="BC22" s="2034" t="s">
        <v>1297</v>
      </c>
      <c r="BE22" s="2034">
        <v>2020</v>
      </c>
      <c r="BH22" s="1981" t="s">
        <v>1418</v>
      </c>
      <c r="BJ22" s="1981" t="s">
        <v>1367</v>
      </c>
      <c r="BL22" s="1981" t="s">
        <v>1367</v>
      </c>
      <c r="BQ22" s="2196">
        <v>4190067</v>
      </c>
      <c r="BR22" s="1981" t="s">
        <v>1490</v>
      </c>
      <c r="BS22" s="2344"/>
      <c r="BT22" s="2196">
        <v>4189674</v>
      </c>
      <c r="BU22" s="1981" t="s">
        <v>1491</v>
      </c>
      <c r="BV22" s="1983"/>
      <c r="BW22" s="1983"/>
      <c r="CC22" s="2196">
        <v>4189711</v>
      </c>
      <c r="CD22" s="1981" t="s">
        <v>284</v>
      </c>
    </row>
    <row customHeight="1" ht="21">
      <c r="A23" s="1987" t="s">
        <v>1492</v>
      </c>
      <c r="B23" s="1988">
        <v>2021</v>
      </c>
      <c r="AW23" s="2034" t="s">
        <v>1493</v>
      </c>
      <c r="AX23" s="2034" t="s">
        <v>1493</v>
      </c>
      <c r="AZ23" s="2034" t="s">
        <v>1494</v>
      </c>
      <c r="BB23" s="2034" t="s">
        <v>1495</v>
      </c>
      <c r="BC23" s="2034" t="s">
        <v>1206</v>
      </c>
      <c r="BE23" s="2034">
        <v>2021</v>
      </c>
      <c r="BH23" s="1981" t="s">
        <v>1426</v>
      </c>
      <c r="BJ23" s="1981" t="s">
        <v>1381</v>
      </c>
      <c r="BL23" s="1981" t="s">
        <v>1381</v>
      </c>
      <c r="BQ23" s="2196">
        <v>4190068</v>
      </c>
      <c r="BR23" s="1981" t="s">
        <v>1496</v>
      </c>
      <c r="BS23" s="2344"/>
      <c r="BT23" s="2196">
        <v>4189675</v>
      </c>
      <c r="BU23" s="1981" t="s">
        <v>1497</v>
      </c>
      <c r="BV23" s="1983"/>
      <c r="BW23" s="1983"/>
      <c r="CC23" s="2196">
        <v>5110778</v>
      </c>
      <c r="CD23" s="1981" t="s">
        <v>1498</v>
      </c>
    </row>
    <row customHeight="1" ht="21">
      <c r="A24" s="1987" t="s">
        <v>1499</v>
      </c>
      <c r="B24" s="1988">
        <v>2022</v>
      </c>
      <c r="AW24" s="2034" t="s">
        <v>1500</v>
      </c>
      <c r="AX24" s="2034" t="s">
        <v>1500</v>
      </c>
      <c r="AZ24" s="2034" t="s">
        <v>1501</v>
      </c>
      <c r="BB24" s="2034" t="s">
        <v>1502</v>
      </c>
      <c r="BC24" s="2034" t="s">
        <v>1503</v>
      </c>
      <c r="BE24" s="2034">
        <v>2022</v>
      </c>
      <c r="BH24" s="1981" t="s">
        <v>1434</v>
      </c>
      <c r="BJ24" s="1981" t="s">
        <v>1395</v>
      </c>
      <c r="BL24" s="1981" t="s">
        <v>1395</v>
      </c>
      <c r="BQ24" s="2196">
        <v>4190069</v>
      </c>
      <c r="BR24" s="1981" t="s">
        <v>1504</v>
      </c>
      <c r="BS24" s="2344"/>
      <c r="BT24" s="2196">
        <v>4189676</v>
      </c>
      <c r="BU24" s="1981" t="s">
        <v>1505</v>
      </c>
      <c r="BV24" s="1983"/>
      <c r="BW24" s="1983"/>
      <c r="CC24" s="2196">
        <v>25575374</v>
      </c>
      <c r="CD24" s="1981" t="s">
        <v>1506</v>
      </c>
    </row>
    <row customHeight="1" ht="11.25">
      <c r="A25" s="1987" t="s">
        <v>1507</v>
      </c>
      <c r="B25" s="1988">
        <v>2023</v>
      </c>
      <c r="AW25" s="2034" t="s">
        <v>1508</v>
      </c>
      <c r="AX25" s="2034" t="s">
        <v>1508</v>
      </c>
      <c r="AZ25" s="2034" t="s">
        <v>1087</v>
      </c>
      <c r="BB25" s="2034" t="s">
        <v>1509</v>
      </c>
      <c r="BC25" s="2034" t="s">
        <v>1503</v>
      </c>
      <c r="BE25" s="2034">
        <v>2023</v>
      </c>
      <c r="BH25" s="1981" t="s">
        <v>1440</v>
      </c>
      <c r="BJ25" s="1981" t="s">
        <v>1461</v>
      </c>
      <c r="BL25" s="1981" t="s">
        <v>1461</v>
      </c>
      <c r="BQ25" s="2196">
        <v>4190070</v>
      </c>
      <c r="BR25" s="1981" t="s">
        <v>1510</v>
      </c>
      <c r="BS25" s="2344"/>
      <c r="BT25" s="2196">
        <v>4189677</v>
      </c>
      <c r="BU25" s="1981" t="s">
        <v>1511</v>
      </c>
      <c r="BV25" s="1983"/>
      <c r="BW25" s="1983"/>
    </row>
    <row customHeight="1" ht="11.25">
      <c r="A26" s="1987" t="s">
        <v>1512</v>
      </c>
      <c r="B26" s="1988">
        <v>2024</v>
      </c>
      <c r="J26" s="2646" t="s">
        <v>1513</v>
      </c>
      <c r="AX26" s="2034" t="s">
        <v>1514</v>
      </c>
      <c r="AZ26" s="2034" t="s">
        <v>1388</v>
      </c>
      <c r="BB26" s="2034" t="s">
        <v>1515</v>
      </c>
      <c r="BC26" s="2034" t="s">
        <v>1503</v>
      </c>
      <c r="BE26" s="2034">
        <v>2024</v>
      </c>
      <c r="BH26" s="1981" t="s">
        <v>941</v>
      </c>
      <c r="BJ26" s="1981" t="s">
        <v>1406</v>
      </c>
      <c r="BL26" s="1981" t="s">
        <v>1406</v>
      </c>
      <c r="BQ26" s="2196">
        <v>4190071</v>
      </c>
      <c r="BR26" s="1981" t="s">
        <v>1516</v>
      </c>
      <c r="BS26" s="2344"/>
      <c r="BV26" s="1983"/>
      <c r="BW26" s="1983"/>
    </row>
    <row customHeight="1" ht="11.25">
      <c r="A27" s="1987" t="s">
        <v>1517</v>
      </c>
      <c r="B27" s="1988">
        <v>2025</v>
      </c>
      <c r="J27" s="1089" t="s">
        <v>844</v>
      </c>
      <c r="AX27" s="2034" t="s">
        <v>1518</v>
      </c>
      <c r="BB27" s="2034" t="s">
        <v>1519</v>
      </c>
      <c r="BC27" s="2034" t="s">
        <v>1503</v>
      </c>
      <c r="BE27" s="2034">
        <v>2025</v>
      </c>
      <c r="BH27" s="1983" t="s">
        <v>18</v>
      </c>
      <c r="BJ27" s="1981" t="s">
        <v>1412</v>
      </c>
      <c r="BL27" s="1981" t="s">
        <v>1412</v>
      </c>
      <c r="BN27" s="1983" t="s">
        <v>18</v>
      </c>
      <c r="BQ27" s="2196">
        <v>4190072</v>
      </c>
      <c r="BR27" s="1981" t="s">
        <v>1520</v>
      </c>
      <c r="BS27" s="2344"/>
      <c r="BV27" s="1983"/>
      <c r="BW27" s="1983"/>
    </row>
    <row customHeight="1" ht="11.25">
      <c r="A28" s="1987" t="s">
        <v>1521</v>
      </c>
      <c r="D28" s="2014"/>
      <c r="E28" s="2015"/>
      <c r="F28" s="2015"/>
      <c r="H28" s="2016" t="s">
        <v>1522</v>
      </c>
      <c r="AX28" s="2034" t="s">
        <v>1523</v>
      </c>
      <c r="AZ28" s="1980" t="s">
        <v>1524</v>
      </c>
      <c r="BB28" s="2034" t="s">
        <v>1525</v>
      </c>
      <c r="BC28" s="2034" t="s">
        <v>1526</v>
      </c>
      <c r="BE28" s="2034">
        <v>2026</v>
      </c>
      <c r="BH28" s="1983" t="s">
        <v>18</v>
      </c>
      <c r="BJ28" s="1981" t="s">
        <v>1418</v>
      </c>
      <c r="BL28" s="1981" t="s">
        <v>1418</v>
      </c>
      <c r="BN28" s="1983" t="s">
        <v>18</v>
      </c>
      <c r="BQ28" s="2196">
        <v>4190073</v>
      </c>
      <c r="BR28" s="1981" t="s">
        <v>1527</v>
      </c>
      <c r="BS28" s="2344"/>
      <c r="BV28" s="1983"/>
      <c r="BW28" s="1983"/>
    </row>
    <row customHeight="1" ht="11.25">
      <c r="A29" s="1987" t="s">
        <v>1528</v>
      </c>
      <c r="D29" s="2017" t="s">
        <v>1529</v>
      </c>
      <c r="E29" s="2018" t="str">
        <f>IF(TEMPLATE_GROUP="","",INDEX(StartDateList,MATCH(TEMPLATE_GROUP,CodeTemplateList,0),1))</f>
        <v>01.01.2024</v>
      </c>
      <c r="F29" s="2018" t="str">
        <f>IF(TEMPLATE_GROUP="","",INDEX(EndDateList,MATCH(TEMPLATE_GROUP,CodeTemplateList,0),1))</f>
        <v>31.12.2024</v>
      </c>
      <c r="H29" s="2019" t="s">
        <v>1530</v>
      </c>
      <c r="AX29" s="2034" t="s">
        <v>1531</v>
      </c>
      <c r="AZ29" s="2034" t="s">
        <v>1190</v>
      </c>
      <c r="BB29" s="2034" t="s">
        <v>1388</v>
      </c>
      <c r="BC29" s="2004"/>
      <c r="BE29" s="2034">
        <v>2027</v>
      </c>
      <c r="BJ29" s="1981" t="s">
        <v>1426</v>
      </c>
      <c r="BL29" s="1981" t="s">
        <v>1426</v>
      </c>
    </row>
    <row customHeight="1" ht="11.25">
      <c r="A30" s="1987" t="s">
        <v>1532</v>
      </c>
      <c r="D30" s="2020"/>
      <c r="E30" s="2021"/>
      <c r="F30" s="2021"/>
      <c r="AX30" s="2034" t="s">
        <v>1533</v>
      </c>
      <c r="AZ30" s="2034" t="s">
        <v>1218</v>
      </c>
      <c r="BE30" s="2034">
        <v>2028</v>
      </c>
      <c r="BJ30" s="1981" t="s">
        <v>1534</v>
      </c>
      <c r="BL30" s="1981" t="s">
        <v>1534</v>
      </c>
    </row>
    <row customHeight="1" ht="12.75">
      <c r="A31" s="1987" t="s">
        <v>1535</v>
      </c>
      <c r="D31" s="2014"/>
      <c r="E31" s="2015"/>
      <c r="F31" s="2015"/>
      <c r="H31" s="2022"/>
      <c r="AX31" s="2034" t="s">
        <v>1536</v>
      </c>
      <c r="AZ31" s="2034" t="s">
        <v>1537</v>
      </c>
      <c r="BE31" s="2034">
        <v>2029</v>
      </c>
      <c r="BJ31" s="1981" t="s">
        <v>1538</v>
      </c>
      <c r="BL31" s="1981" t="s">
        <v>1538</v>
      </c>
    </row>
    <row customHeight="1" ht="11.25">
      <c r="A32" s="1987" t="s">
        <v>1539</v>
      </c>
      <c r="D32" s="2017" t="s">
        <v>1540</v>
      </c>
      <c r="E32" s="2018" t="str">
        <f>IF(TEMPLATE_GROUP="","",INDEX(StartDateList,MATCH(TEMPLATE_GROUP,CodeTemplateList,0),1))</f>
        <v>01.01.2024</v>
      </c>
      <c r="F32" s="2018" t="str">
        <f>IF(TEMPLATE_GROUP="","",INDEX(EndDateList,MATCH(TEMPLATE_GROUP,CodeTemplateList,0),1))</f>
        <v>31.12.2024</v>
      </c>
      <c r="H32" s="2023" t="s">
        <v>1541</v>
      </c>
      <c r="O32" s="1987" t="s">
        <v>1188</v>
      </c>
      <c r="AX32" s="2034" t="s">
        <v>1542</v>
      </c>
      <c r="AZ32" s="2034" t="s">
        <v>1285</v>
      </c>
      <c r="BE32" s="2034">
        <v>2030</v>
      </c>
      <c r="BJ32" s="1981" t="s">
        <v>1434</v>
      </c>
      <c r="BL32" s="1981" t="s">
        <v>1434</v>
      </c>
    </row>
    <row customHeight="1" ht="11.25">
      <c r="A33" s="1987" t="s">
        <v>1543</v>
      </c>
      <c r="O33" s="1987" t="s">
        <v>1215</v>
      </c>
      <c r="AX33" s="2034" t="s">
        <v>1544</v>
      </c>
      <c r="AZ33" s="2034" t="s">
        <v>1189</v>
      </c>
      <c r="BE33" s="2034">
        <v>2031</v>
      </c>
      <c r="BJ33" s="1981" t="s">
        <v>1440</v>
      </c>
      <c r="BL33" s="1981" t="s">
        <v>1440</v>
      </c>
    </row>
    <row customHeight="1" ht="11.25">
      <c r="A34" s="1987" t="s">
        <v>1545</v>
      </c>
      <c r="O34" s="1987" t="s">
        <v>1250</v>
      </c>
      <c r="AX34" s="2034" t="s">
        <v>1546</v>
      </c>
      <c r="BE34" s="2034">
        <v>2032</v>
      </c>
      <c r="BJ34" s="1981" t="s">
        <v>941</v>
      </c>
      <c r="BL34" s="1981" t="s">
        <v>941</v>
      </c>
    </row>
    <row customHeight="1" ht="11.25">
      <c r="A35" s="1987" t="s">
        <v>1547</v>
      </c>
      <c r="O35" s="1987" t="s">
        <v>1283</v>
      </c>
      <c r="AX35" s="2034" t="s">
        <v>1548</v>
      </c>
      <c r="AZ35" s="1980" t="s">
        <v>1549</v>
      </c>
      <c r="BE35" s="2034">
        <v>2033</v>
      </c>
      <c r="BL35" s="1981" t="s">
        <v>1550</v>
      </c>
    </row>
    <row customHeight="1" ht="11.25">
      <c r="A36" s="2786" t="s">
        <v>1551</v>
      </c>
      <c r="D36" s="2024" t="s">
        <v>1552</v>
      </c>
      <c r="E36" s="2025" t="s">
        <v>714</v>
      </c>
      <c r="F36" s="2026" t="str">
        <f>INDEX(E37:E41,MATCH(TEMPLATE_SPHERE,F37:F41,0))</f>
        <v>теплоснабжения</v>
      </c>
      <c r="G36" s="2026" t="str">
        <f>INDEX(G37:G41,MATCH(TEMPLATE_SPHERE,F37:F41,0))</f>
        <v>теплоснабжение</v>
      </c>
      <c r="O36" s="1987" t="s">
        <v>1308</v>
      </c>
      <c r="AX36" s="2034" t="s">
        <v>1553</v>
      </c>
      <c r="AZ36" s="2034" t="s">
        <v>1189</v>
      </c>
      <c r="BE36" s="2034">
        <v>2034</v>
      </c>
      <c r="BL36" s="1981" t="s">
        <v>1554</v>
      </c>
    </row>
    <row customHeight="1" ht="11.25">
      <c r="A37" s="1987" t="s">
        <v>1555</v>
      </c>
      <c r="E37" s="1319" t="s">
        <v>1556</v>
      </c>
      <c r="F37" s="2027" t="s">
        <v>714</v>
      </c>
      <c r="G37" s="1319" t="s">
        <v>1557</v>
      </c>
      <c r="O37" s="1987" t="s">
        <v>1327</v>
      </c>
      <c r="AX37" s="2034" t="s">
        <v>1558</v>
      </c>
      <c r="AZ37" s="2034" t="s">
        <v>1217</v>
      </c>
      <c r="BE37" s="2034">
        <v>2035</v>
      </c>
    </row>
    <row customHeight="1" ht="11.25">
      <c r="A38" s="1987" t="s">
        <v>1559</v>
      </c>
      <c r="E38" s="1319" t="s">
        <v>1560</v>
      </c>
      <c r="F38" s="2028" t="s">
        <v>760</v>
      </c>
      <c r="G38" s="1319" t="s">
        <v>1561</v>
      </c>
      <c r="O38" s="1987" t="s">
        <v>1344</v>
      </c>
      <c r="AX38" s="2034" t="s">
        <v>1562</v>
      </c>
      <c r="AZ38" s="2034" t="s">
        <v>1251</v>
      </c>
      <c r="BE38" s="2034">
        <v>2036</v>
      </c>
      <c r="BH38" s="1980" t="s">
        <v>1563</v>
      </c>
      <c r="BJ38" s="1980" t="s">
        <v>1564</v>
      </c>
      <c r="BL38" s="1980" t="s">
        <v>1565</v>
      </c>
      <c r="BN38" s="1980" t="s">
        <v>1566</v>
      </c>
    </row>
    <row customHeight="1" ht="11.25">
      <c r="A39" s="1987" t="s">
        <v>1567</v>
      </c>
      <c r="E39" s="1319" t="s">
        <v>1568</v>
      </c>
      <c r="F39" s="2028" t="s">
        <v>815</v>
      </c>
      <c r="G39" s="1319" t="s">
        <v>1569</v>
      </c>
      <c r="O39" s="1987" t="s">
        <v>1359</v>
      </c>
      <c r="AX39" s="2034" t="s">
        <v>1570</v>
      </c>
      <c r="AZ39" s="2034" t="s">
        <v>1284</v>
      </c>
      <c r="BE39" s="2034">
        <v>2037</v>
      </c>
      <c r="BH39" s="1981" t="s">
        <v>1571</v>
      </c>
      <c r="BJ39" s="2131" t="s">
        <v>1571</v>
      </c>
      <c r="BL39" s="2131" t="s">
        <v>1571</v>
      </c>
      <c r="BN39" s="1981" t="s">
        <v>1572</v>
      </c>
    </row>
    <row customHeight="1" ht="11.25">
      <c r="A40" s="1987" t="s">
        <v>1573</v>
      </c>
      <c r="E40" s="1319" t="s">
        <v>1574</v>
      </c>
      <c r="F40" s="2028" t="s">
        <v>801</v>
      </c>
      <c r="G40" s="1319" t="s">
        <v>1575</v>
      </c>
      <c r="O40" s="1987" t="s">
        <v>1374</v>
      </c>
      <c r="AX40" s="2034" t="s">
        <v>1576</v>
      </c>
      <c r="BE40" s="2034">
        <v>2038</v>
      </c>
      <c r="BH40" s="1981" t="s">
        <v>1577</v>
      </c>
      <c r="BJ40" s="2131" t="s">
        <v>999</v>
      </c>
      <c r="BL40" s="2131" t="s">
        <v>999</v>
      </c>
      <c r="BN40" s="1981" t="s">
        <v>1033</v>
      </c>
    </row>
    <row customHeight="1" ht="11.25">
      <c r="A41" s="1987" t="s">
        <v>1578</v>
      </c>
      <c r="E41" s="1319" t="s">
        <v>1579</v>
      </c>
      <c r="F41" s="2028" t="s">
        <v>1580</v>
      </c>
      <c r="G41" s="1319" t="s">
        <v>1579</v>
      </c>
      <c r="O41" s="1987" t="s">
        <v>1388</v>
      </c>
      <c r="AX41" s="2034" t="s">
        <v>1581</v>
      </c>
      <c r="AZ41" s="1980" t="s">
        <v>1582</v>
      </c>
      <c r="BE41" s="2034">
        <v>2039</v>
      </c>
      <c r="BH41" s="1981" t="s">
        <v>1583</v>
      </c>
      <c r="BJ41" s="2131" t="s">
        <v>995</v>
      </c>
      <c r="BL41" s="2131" t="s">
        <v>995</v>
      </c>
      <c r="BN41" s="1981" t="s">
        <v>1020</v>
      </c>
    </row>
    <row customHeight="1" ht="11.25">
      <c r="A42" s="1987" t="s">
        <v>1584</v>
      </c>
      <c r="AX42" s="2034" t="s">
        <v>1585</v>
      </c>
      <c r="AZ42" s="2034" t="s">
        <v>1188</v>
      </c>
      <c r="BE42" s="2034">
        <v>2040</v>
      </c>
      <c r="BH42" s="1981" t="s">
        <v>1017</v>
      </c>
      <c r="BJ42" s="2131" t="s">
        <v>997</v>
      </c>
      <c r="BL42" s="2131" t="s">
        <v>997</v>
      </c>
      <c r="BN42" s="1981" t="s">
        <v>1586</v>
      </c>
    </row>
    <row customHeight="1" ht="11.25">
      <c r="A43" s="1987" t="s">
        <v>1587</v>
      </c>
      <c r="AX43" s="2034" t="s">
        <v>1588</v>
      </c>
      <c r="AZ43" s="2034" t="s">
        <v>1215</v>
      </c>
      <c r="BE43" s="2034">
        <v>2041</v>
      </c>
      <c r="BH43" s="1981" t="s">
        <v>1589</v>
      </c>
      <c r="BJ43" s="2131" t="s">
        <v>1583</v>
      </c>
      <c r="BL43" s="2131" t="s">
        <v>1583</v>
      </c>
      <c r="BN43" s="1981" t="s">
        <v>1590</v>
      </c>
    </row>
    <row customHeight="1" ht="11.25">
      <c r="A44" s="1987" t="s">
        <v>1591</v>
      </c>
      <c r="I44" s="1711" t="s">
        <v>1592</v>
      </c>
      <c r="J44" s="2002" t="s">
        <v>1593</v>
      </c>
      <c r="K44" s="2002" t="s">
        <v>1594</v>
      </c>
      <c r="AX44" s="2034" t="s">
        <v>1595</v>
      </c>
      <c r="AZ44" s="2034" t="s">
        <v>1250</v>
      </c>
      <c r="BE44" s="2034">
        <v>2042</v>
      </c>
      <c r="BH44" s="1981" t="s">
        <v>1596</v>
      </c>
      <c r="BJ44" s="2131" t="s">
        <v>1017</v>
      </c>
      <c r="BL44" s="2131" t="s">
        <v>1017</v>
      </c>
      <c r="BN44" s="1981" t="s">
        <v>1597</v>
      </c>
    </row>
    <row customHeight="1" ht="11.25">
      <c r="A45" s="1987" t="s">
        <v>1598</v>
      </c>
      <c r="D45" s="2024" t="s">
        <v>1599</v>
      </c>
      <c r="E45" s="2025" t="s">
        <v>991</v>
      </c>
      <c r="F45" s="1709" t="s">
        <v>1600</v>
      </c>
      <c r="G45" s="1708" t="s">
        <v>1601</v>
      </c>
      <c r="H45" s="1711" t="s">
        <v>1602</v>
      </c>
      <c r="I45" s="2656">
        <f>INDEX(PeriodIsEmptyList,MATCH(TEMPLATE_GROUP,CodeTemplateList,0),1)</f>
        <v>0</v>
      </c>
      <c r="J45" s="2659" t="str">
        <f>INDEX(NameTemplatesInTitleList,MATCH(TEMPLATE_GROUP,CodeTemplateList,0),1)</f>
        <v>Информация об инвестиционных программах регулируемой организации в области теплоснабжения</v>
      </c>
      <c r="K45" s="2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2034" t="s">
        <v>1603</v>
      </c>
      <c r="AZ45" s="2034" t="s">
        <v>1283</v>
      </c>
      <c r="BE45" s="2034">
        <v>2043</v>
      </c>
      <c r="BH45" s="1981" t="s">
        <v>1604</v>
      </c>
      <c r="BJ45" s="2131" t="s">
        <v>1011</v>
      </c>
      <c r="BL45" s="2131" t="s">
        <v>1011</v>
      </c>
      <c r="BN45" s="1981" t="s">
        <v>1605</v>
      </c>
    </row>
    <row customHeight="1" ht="11.25">
      <c r="A46" s="1987" t="s">
        <v>1606</v>
      </c>
      <c r="E46" s="1319" t="s">
        <v>23</v>
      </c>
      <c r="F46" s="2027" t="s">
        <v>1607</v>
      </c>
      <c r="G46" s="2029"/>
      <c r="H46" s="2029"/>
      <c r="I46" s="2657">
        <f>IF(TITLE_DATE_FIL="",TRUE,FALSE)</f>
        <v>1</v>
      </c>
      <c r="J46" s="2660" t="str">
        <f>"Общая информация о регулируемой организации ("&amp;TEMPLATE_SPHERE_RUS&amp;")"</f>
        <v>Общая информация о регулируемой организации (теплоснабжения)</v>
      </c>
      <c r="K46" s="2661"/>
      <c r="AX46" s="2034" t="s">
        <v>1608</v>
      </c>
      <c r="AZ46" s="2034" t="s">
        <v>1308</v>
      </c>
      <c r="BE46" s="2034">
        <v>2044</v>
      </c>
      <c r="BH46" s="1981" t="s">
        <v>1020</v>
      </c>
      <c r="BJ46" s="2131" t="s">
        <v>1001</v>
      </c>
      <c r="BL46" s="2131" t="s">
        <v>1001</v>
      </c>
      <c r="BN46" s="1981" t="s">
        <v>1609</v>
      </c>
    </row>
    <row customHeight="1" ht="11.25">
      <c r="A47" s="1987" t="s">
        <v>1610</v>
      </c>
      <c r="E47" s="1319" t="s">
        <v>29</v>
      </c>
      <c r="F47" s="2028" t="s">
        <v>1611</v>
      </c>
      <c r="G47" s="2030" t="str">
        <f>IF(f_year="","",IF(LEN(f_quart)=0,"",IF(f_quart="I квартал","01.01."&amp;f_year,IF(f_quart="II квартал","01.04."&amp;f_year,(IF(f_quart="III квартал","01.07."&amp;f_year,"01.10."&amp;f_year))))))</f>
        <v/>
      </c>
      <c r="H47" s="2030" t="str">
        <f>IF(f_year="","",IF(LEN(f_quart)=0,"",IF(f_quart="I квартал","31.03."&amp;f_year,IF(f_quart="II квартал","30.06."&amp;f_year,(IF(f_quart="III квартал","30.09."&amp;f_year,"31.12."&amp;f_year))))))</f>
        <v/>
      </c>
      <c r="I47" s="2658">
        <f>IF(OR(f_year="",f_quart=""),TRUE,FALSE)</f>
        <v>1</v>
      </c>
      <c r="J47" s="2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661"/>
      <c r="AX47" s="2034" t="s">
        <v>1612</v>
      </c>
      <c r="AZ47" s="2034" t="s">
        <v>1327</v>
      </c>
      <c r="BE47" s="2034">
        <v>2045</v>
      </c>
      <c r="BH47" s="1981" t="s">
        <v>1586</v>
      </c>
      <c r="BJ47" s="2131" t="s">
        <v>1003</v>
      </c>
      <c r="BL47" s="2131" t="s">
        <v>1003</v>
      </c>
      <c r="BN47" s="1981" t="s">
        <v>1613</v>
      </c>
    </row>
    <row customHeight="1" ht="11.25">
      <c r="A48" s="1987" t="s">
        <v>1614</v>
      </c>
      <c r="E48" s="1319" t="s">
        <v>1615</v>
      </c>
      <c r="F48" s="2028" t="s">
        <v>1616</v>
      </c>
      <c r="G48" s="2030" t="str">
        <f>IF(f_year="","","01.01."&amp;f_year)</f>
        <v>01.01.2024</v>
      </c>
      <c r="H48" s="2030" t="str">
        <f>IF(f_year="","","31.12."&amp;f_year)</f>
        <v>31.12.2024</v>
      </c>
      <c r="I48" s="2657">
        <f>IF(f_year="",TRUE,FALSE)</f>
        <v>0</v>
      </c>
      <c r="J48" s="2660" t="s">
        <v>1617</v>
      </c>
      <c r="K48" s="2661"/>
      <c r="AX48" s="2034" t="s">
        <v>1618</v>
      </c>
      <c r="AZ48" s="2034" t="s">
        <v>1344</v>
      </c>
      <c r="BE48" s="2034">
        <v>2046</v>
      </c>
      <c r="BH48" s="1981" t="s">
        <v>1590</v>
      </c>
      <c r="BJ48" s="2131" t="s">
        <v>1005</v>
      </c>
      <c r="BL48" s="2131" t="s">
        <v>1005</v>
      </c>
      <c r="BN48" s="1981" t="s">
        <v>1619</v>
      </c>
    </row>
    <row customHeight="1" ht="11.25">
      <c r="A49" s="1987" t="s">
        <v>1620</v>
      </c>
      <c r="E49" s="1319" t="s">
        <v>1621</v>
      </c>
      <c r="F49" s="2028" t="s">
        <v>1622</v>
      </c>
      <c r="G49" s="2030" t="str">
        <f>IF(f_year="","","01.01."&amp;f_year)</f>
        <v>01.01.2024</v>
      </c>
      <c r="H49" s="2030" t="str">
        <f>IF(f_year="","","31.12."&amp;f_year)</f>
        <v>31.12.2024</v>
      </c>
      <c r="I49" s="2657">
        <f>IF(f_year="",TRUE,FALSE)</f>
        <v>0</v>
      </c>
      <c r="J49" s="2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661"/>
      <c r="AX49" s="2034" t="s">
        <v>1623</v>
      </c>
      <c r="AZ49" s="2034" t="s">
        <v>1359</v>
      </c>
      <c r="BE49" s="2034">
        <v>2047</v>
      </c>
      <c r="BH49" s="1981" t="s">
        <v>1021</v>
      </c>
      <c r="BJ49" s="2131" t="s">
        <v>1007</v>
      </c>
      <c r="BL49" s="2131" t="s">
        <v>1007</v>
      </c>
    </row>
    <row customHeight="1" ht="11.25">
      <c r="A50" s="1987" t="s">
        <v>1624</v>
      </c>
      <c r="E50" s="1319" t="s">
        <v>1625</v>
      </c>
      <c r="F50" s="2028" t="s">
        <v>991</v>
      </c>
      <c r="G50" s="2030" t="str">
        <f>IF(f_year="","","01.01."&amp;f_year)</f>
        <v>01.01.2024</v>
      </c>
      <c r="H50" s="2030" t="str">
        <f>IF(f_year="","","31.12."&amp;f_year)</f>
        <v>31.12.2024</v>
      </c>
      <c r="I50" s="2657">
        <f>IF(f_year="",TRUE,FALSE)</f>
        <v>0</v>
      </c>
      <c r="J50" s="2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661"/>
      <c r="AX50" s="2034" t="s">
        <v>1626</v>
      </c>
      <c r="AZ50" s="2034" t="s">
        <v>1374</v>
      </c>
      <c r="BE50" s="2034">
        <v>2048</v>
      </c>
      <c r="BH50" s="1981" t="s">
        <v>1597</v>
      </c>
      <c r="BJ50" s="2131" t="s">
        <v>1009</v>
      </c>
      <c r="BL50" s="2131" t="s">
        <v>1009</v>
      </c>
    </row>
    <row customHeight="1" ht="11.25">
      <c r="A51" s="1987" t="s">
        <v>1627</v>
      </c>
      <c r="E51" s="1319" t="s">
        <v>1628</v>
      </c>
      <c r="F51" s="2028" t="s">
        <v>1629</v>
      </c>
      <c r="G51" s="2030" t="str">
        <f>IF(TITLE_PERIOD_START="","",TITLE_PERIOD_START)</f>
        <v/>
      </c>
      <c r="H51" s="2030" t="str">
        <f>IF(TITLE_PERIOD_END="","",TITLE_PERIOD_END)</f>
        <v/>
      </c>
      <c r="I51" s="2658">
        <f>IF(OR(TITLE_PERIOD_START="",TITLE_PERIOD_END=""),TRUE,FALSE)</f>
        <v>1</v>
      </c>
      <c r="J51" s="2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661"/>
      <c r="AX51" s="2034" t="s">
        <v>1630</v>
      </c>
      <c r="AZ51" s="2034" t="s">
        <v>1388</v>
      </c>
      <c r="BE51" s="2034">
        <v>2049</v>
      </c>
      <c r="BH51" s="1981" t="s">
        <v>1605</v>
      </c>
      <c r="BJ51" s="2131" t="s">
        <v>1631</v>
      </c>
      <c r="BL51" s="2131" t="s">
        <v>1631</v>
      </c>
    </row>
    <row customHeight="1" ht="11.25">
      <c r="A52" s="1987" t="s">
        <v>1632</v>
      </c>
      <c r="E52" s="1319" t="s">
        <v>1633</v>
      </c>
      <c r="F52" s="2028" t="s">
        <v>1634</v>
      </c>
      <c r="G52" s="2030" t="str">
        <f>IF(TITLE_PERIOD_START="","",TITLE_PERIOD_START)</f>
        <v/>
      </c>
      <c r="H52" s="2030" t="str">
        <f>IF(TITLE_PERIOD_END="","",TITLE_PERIOD_END)</f>
        <v/>
      </c>
      <c r="I52" s="2658">
        <f>IF(OR(TITLE_PERIOD_START="",TITLE_PERIOD_END=""),TRUE,FALSE)</f>
        <v>1</v>
      </c>
      <c r="J52" s="2660" t="str">
        <f>"Показатели, подлежащие раскрытию в сфере "&amp;TEMPLATE_SPHERE_RUS&amp;" (цены и тарифы)"</f>
        <v>Показатели, подлежащие раскрытию в сфере теплоснабжения (цены и тарифы)</v>
      </c>
      <c r="K52" s="2661"/>
      <c r="AX52" s="2034" t="s">
        <v>1635</v>
      </c>
      <c r="AZ52" s="2034" t="s">
        <v>1189</v>
      </c>
      <c r="BE52" s="2034">
        <v>2050</v>
      </c>
      <c r="BH52" s="1981" t="s">
        <v>1609</v>
      </c>
      <c r="BJ52" s="2131" t="s">
        <v>1020</v>
      </c>
      <c r="BL52" s="2131" t="s">
        <v>1020</v>
      </c>
    </row>
    <row customHeight="1" ht="11.25">
      <c r="A53" s="1987" t="s">
        <v>1636</v>
      </c>
      <c r="E53" s="1319" t="s">
        <v>1637</v>
      </c>
      <c r="F53" s="2028" t="s">
        <v>1637</v>
      </c>
      <c r="G53" s="2030" t="str">
        <f>IF(f_year="","","01.01."&amp;f_year)</f>
        <v>01.01.2024</v>
      </c>
      <c r="H53" s="2030" t="str">
        <f>IF(f_year="","","31.12."&amp;f_year)</f>
        <v>31.12.2024</v>
      </c>
      <c r="I53" s="2657">
        <f>IF(AND(f_year="",TITLE_DATE_FIL=""),TRUE,FALSE)</f>
        <v>0</v>
      </c>
      <c r="J53" s="2660" t="s">
        <v>1638</v>
      </c>
      <c r="K53" s="2661"/>
      <c r="AX53" s="2034" t="s">
        <v>1639</v>
      </c>
      <c r="BE53" s="2034">
        <v>2051</v>
      </c>
      <c r="BH53" s="1981" t="s">
        <v>1613</v>
      </c>
      <c r="BJ53" s="2131" t="s">
        <v>1586</v>
      </c>
      <c r="BL53" s="2131" t="s">
        <v>1586</v>
      </c>
    </row>
    <row customHeight="1" ht="11.25">
      <c r="A54" s="1987" t="s">
        <v>1640</v>
      </c>
      <c r="AX54" s="2034" t="s">
        <v>1641</v>
      </c>
      <c r="AZ54" s="1980" t="s">
        <v>1642</v>
      </c>
      <c r="BE54" s="2034">
        <v>2052</v>
      </c>
      <c r="BH54" s="1981" t="s">
        <v>1619</v>
      </c>
      <c r="BJ54" s="2131" t="s">
        <v>1590</v>
      </c>
      <c r="BL54" s="2131" t="s">
        <v>1590</v>
      </c>
    </row>
    <row customHeight="1" ht="11.25">
      <c r="A55" s="1987" t="s">
        <v>1643</v>
      </c>
      <c r="AX55" s="2034" t="s">
        <v>1644</v>
      </c>
      <c r="AZ55" s="2034" t="s">
        <v>1191</v>
      </c>
      <c r="BE55" s="2034">
        <v>2053</v>
      </c>
      <c r="BH55" s="1983" t="s">
        <v>18</v>
      </c>
      <c r="BJ55" s="2131" t="s">
        <v>1021</v>
      </c>
      <c r="BL55" s="2131" t="s">
        <v>1021</v>
      </c>
    </row>
    <row customHeight="1" ht="11.25">
      <c r="A56" s="1987" t="s">
        <v>1645</v>
      </c>
      <c r="D56" s="2032" t="s">
        <v>1646</v>
      </c>
      <c r="E56" s="2008">
        <v>55</v>
      </c>
      <c r="F56" s="1987" t="s">
        <v>1647</v>
      </c>
      <c r="AX56" s="2034" t="s">
        <v>1648</v>
      </c>
      <c r="AZ56" s="2034" t="s">
        <v>1219</v>
      </c>
      <c r="BE56" s="2034">
        <v>2054</v>
      </c>
      <c r="BH56" s="1983" t="s">
        <v>18</v>
      </c>
      <c r="BJ56" s="2131" t="s">
        <v>1597</v>
      </c>
      <c r="BL56" s="2131" t="s">
        <v>1597</v>
      </c>
    </row>
    <row customHeight="1" ht="11.25">
      <c r="A57" s="1987" t="s">
        <v>1649</v>
      </c>
      <c r="D57" s="2032" t="s">
        <v>1650</v>
      </c>
      <c r="E57" s="2008">
        <v>66</v>
      </c>
      <c r="F57" s="1987" t="s">
        <v>1647</v>
      </c>
      <c r="AX57" s="2034" t="s">
        <v>1651</v>
      </c>
      <c r="AZ57" s="2034" t="s">
        <v>1253</v>
      </c>
      <c r="BE57" s="2034">
        <v>2055</v>
      </c>
      <c r="BJ57" s="2131" t="s">
        <v>1605</v>
      </c>
      <c r="BL57" s="2131" t="s">
        <v>1605</v>
      </c>
    </row>
    <row customHeight="1" ht="11.25">
      <c r="A58" s="1987" t="s">
        <v>1652</v>
      </c>
      <c r="D58" s="2032" t="s">
        <v>1653</v>
      </c>
      <c r="E58" s="2008">
        <v>45</v>
      </c>
      <c r="F58" s="1987" t="s">
        <v>1647</v>
      </c>
      <c r="AX58" s="2034" t="s">
        <v>1654</v>
      </c>
      <c r="BE58" s="2034">
        <v>2056</v>
      </c>
      <c r="BJ58" s="2131" t="s">
        <v>1609</v>
      </c>
      <c r="BL58" s="2131" t="s">
        <v>1609</v>
      </c>
    </row>
    <row customHeight="1" ht="11.25">
      <c r="A59" s="1987" t="s">
        <v>1655</v>
      </c>
      <c r="D59" s="2032" t="s">
        <v>124</v>
      </c>
      <c r="E59" s="2008" t="s">
        <v>1477</v>
      </c>
      <c r="F59" s="1987" t="s">
        <v>1656</v>
      </c>
      <c r="AX59" s="2034" t="s">
        <v>1657</v>
      </c>
      <c r="AZ59" s="1980" t="s">
        <v>1658</v>
      </c>
      <c r="BE59" s="2034">
        <v>2057</v>
      </c>
      <c r="BJ59" s="2131" t="s">
        <v>1613</v>
      </c>
      <c r="BL59" s="2131" t="s">
        <v>1613</v>
      </c>
    </row>
    <row customHeight="1" ht="11.25">
      <c r="A60" s="1987" t="s">
        <v>1659</v>
      </c>
      <c r="D60" s="2032" t="s">
        <v>1660</v>
      </c>
      <c r="E60" s="2008" t="s">
        <v>1477</v>
      </c>
      <c r="F60" s="1987" t="s">
        <v>1656</v>
      </c>
      <c r="AX60" s="2034" t="s">
        <v>1661</v>
      </c>
      <c r="AZ60" s="2034" t="s">
        <v>1192</v>
      </c>
      <c r="BE60" s="2034">
        <v>2058</v>
      </c>
      <c r="BJ60" s="2131" t="s">
        <v>1619</v>
      </c>
      <c r="BL60" s="2131" t="s">
        <v>1619</v>
      </c>
    </row>
    <row customHeight="1" ht="11.25">
      <c r="A61" s="1987" t="s">
        <v>1662</v>
      </c>
      <c r="D61" s="2032" t="s">
        <v>1663</v>
      </c>
      <c r="E61" s="2008">
        <v>26</v>
      </c>
      <c r="F61" s="1987" t="s">
        <v>1656</v>
      </c>
      <c r="AX61" s="2034" t="s">
        <v>1664</v>
      </c>
      <c r="AZ61" s="2034" t="s">
        <v>1220</v>
      </c>
      <c r="BE61" s="2034">
        <v>2059</v>
      </c>
      <c r="BL61" s="2131" t="s">
        <v>1013</v>
      </c>
    </row>
    <row customHeight="1" ht="11.25">
      <c r="A62" s="1987" t="s">
        <v>1665</v>
      </c>
      <c r="D62" s="2032" t="s">
        <v>123</v>
      </c>
      <c r="E62" s="2008">
        <v>30</v>
      </c>
      <c r="F62" s="1987" t="s">
        <v>1656</v>
      </c>
      <c r="AZ62" s="2034" t="s">
        <v>1254</v>
      </c>
      <c r="BE62" s="2034">
        <v>2060</v>
      </c>
      <c r="BL62" s="2131" t="s">
        <v>1015</v>
      </c>
    </row>
    <row customHeight="1" ht="11.25">
      <c r="A63" s="1987" t="s">
        <v>1666</v>
      </c>
      <c r="D63" s="2032" t="s">
        <v>1667</v>
      </c>
      <c r="E63" s="2008">
        <v>30</v>
      </c>
      <c r="F63" s="1987" t="s">
        <v>1656</v>
      </c>
      <c r="AZ63" s="2034" t="s">
        <v>1286</v>
      </c>
      <c r="BE63" s="2034">
        <v>2061</v>
      </c>
    </row>
    <row customHeight="1" ht="11.25">
      <c r="A64" s="1987" t="s">
        <v>1668</v>
      </c>
      <c r="D64" s="2032" t="s">
        <v>1669</v>
      </c>
      <c r="E64" s="2008">
        <v>30</v>
      </c>
      <c r="F64" s="1987" t="s">
        <v>1656</v>
      </c>
      <c r="AZ64" s="2034" t="s">
        <v>1309</v>
      </c>
      <c r="BE64" s="2034">
        <v>2062</v>
      </c>
    </row>
    <row customHeight="1" ht="11.25">
      <c r="A65" s="1987" t="s">
        <v>1670</v>
      </c>
      <c r="D65" s="1987"/>
      <c r="BE65" s="2034">
        <v>2063</v>
      </c>
    </row>
    <row customHeight="1" ht="11.25">
      <c r="A66" s="1987" t="s">
        <v>1671</v>
      </c>
      <c r="AZ66" s="1980" t="s">
        <v>1672</v>
      </c>
      <c r="BE66" s="2034">
        <v>2064</v>
      </c>
    </row>
    <row customHeight="1" ht="11.25">
      <c r="A67" s="1987" t="s">
        <v>1673</v>
      </c>
      <c r="AZ67" s="2034" t="s">
        <v>1193</v>
      </c>
      <c r="BE67" s="2034">
        <v>2065</v>
      </c>
    </row>
    <row customHeight="1" ht="11.25">
      <c r="A68" s="1987" t="s">
        <v>1674</v>
      </c>
      <c r="AZ68" s="2034" t="s">
        <v>1221</v>
      </c>
      <c r="BE68" s="2034">
        <v>2066</v>
      </c>
      <c r="BH68" s="1980" t="s">
        <v>1675</v>
      </c>
      <c r="BJ68" s="1980" t="s">
        <v>1676</v>
      </c>
      <c r="BL68" s="1980" t="s">
        <v>1677</v>
      </c>
      <c r="BN68" s="1980" t="s">
        <v>1678</v>
      </c>
    </row>
    <row customHeight="1" ht="11.25">
      <c r="A69" s="1987" t="s">
        <v>1679</v>
      </c>
      <c r="AZ69" s="2034" t="s">
        <v>1255</v>
      </c>
      <c r="BE69" s="2034">
        <v>2067</v>
      </c>
      <c r="BH69" s="1981" t="s">
        <v>1680</v>
      </c>
      <c r="BI69" s="2031" t="s">
        <v>102</v>
      </c>
      <c r="BJ69" s="1981" t="s">
        <v>1681</v>
      </c>
      <c r="BK69" s="2031" t="s">
        <v>102</v>
      </c>
      <c r="BL69" s="1981" t="s">
        <v>1682</v>
      </c>
      <c r="BN69" s="1981" t="s">
        <v>1683</v>
      </c>
    </row>
    <row customHeight="1" ht="11.25">
      <c r="A70" s="1987" t="s">
        <v>1684</v>
      </c>
      <c r="AZ70" s="2034" t="s">
        <v>1287</v>
      </c>
      <c r="BE70" s="2034">
        <v>2068</v>
      </c>
      <c r="BH70" s="1981" t="s">
        <v>937</v>
      </c>
      <c r="BJ70" s="1981" t="s">
        <v>1685</v>
      </c>
      <c r="BL70" s="1981" t="s">
        <v>1686</v>
      </c>
      <c r="BN70" s="1981" t="s">
        <v>1687</v>
      </c>
    </row>
    <row customHeight="1" ht="11.25">
      <c r="A71" s="1987" t="s">
        <v>1688</v>
      </c>
      <c r="AZ71" s="2034" t="s">
        <v>1289</v>
      </c>
      <c r="BE71" s="2034">
        <v>2069</v>
      </c>
      <c r="BH71" s="1981" t="s">
        <v>945</v>
      </c>
      <c r="BI71" s="2031" t="s">
        <v>86</v>
      </c>
      <c r="BJ71" s="1981" t="s">
        <v>1689</v>
      </c>
      <c r="BK71" s="2031" t="s">
        <v>86</v>
      </c>
      <c r="BL71" s="1981" t="s">
        <v>1690</v>
      </c>
      <c r="BN71" s="1981" t="s">
        <v>1691</v>
      </c>
    </row>
    <row customHeight="1" ht="11.25">
      <c r="A72" s="1987" t="s">
        <v>1692</v>
      </c>
      <c r="AZ72" s="2034" t="s">
        <v>52</v>
      </c>
      <c r="BE72" s="2034">
        <v>2070</v>
      </c>
      <c r="BH72" s="1981" t="s">
        <v>956</v>
      </c>
      <c r="BJ72" s="1981" t="s">
        <v>956</v>
      </c>
      <c r="BL72" s="1981" t="s">
        <v>956</v>
      </c>
      <c r="BN72" s="1981" t="s">
        <v>1693</v>
      </c>
    </row>
    <row customHeight="1" ht="11.25">
      <c r="A73" s="1987" t="s">
        <v>1694</v>
      </c>
      <c r="BH73" s="1981" t="s">
        <v>1695</v>
      </c>
      <c r="BI73" s="2031" t="s">
        <v>104</v>
      </c>
      <c r="BJ73" s="1981" t="s">
        <v>1696</v>
      </c>
      <c r="BK73" s="2031" t="s">
        <v>104</v>
      </c>
      <c r="BL73" s="1981" t="s">
        <v>1697</v>
      </c>
      <c r="BN73" s="1981" t="s">
        <v>1698</v>
      </c>
    </row>
    <row customHeight="1" ht="11.25">
      <c r="A74" s="1987" t="s">
        <v>1699</v>
      </c>
      <c r="BH74" s="1981" t="s">
        <v>1700</v>
      </c>
      <c r="BJ74" s="1981" t="s">
        <v>1701</v>
      </c>
      <c r="BL74" s="1981" t="s">
        <v>1702</v>
      </c>
      <c r="BN74" s="1981" t="s">
        <v>1703</v>
      </c>
    </row>
    <row customHeight="1" ht="11.25">
      <c r="A75" s="1987" t="s">
        <v>1704</v>
      </c>
      <c r="AZ75" s="1980" t="s">
        <v>1705</v>
      </c>
      <c r="BH75" s="1981" t="s">
        <v>1706</v>
      </c>
      <c r="BJ75" s="1981" t="s">
        <v>1706</v>
      </c>
      <c r="BL75" s="1981" t="s">
        <v>1706</v>
      </c>
    </row>
    <row customHeight="1" ht="11.25">
      <c r="A76" s="1987" t="s">
        <v>1707</v>
      </c>
      <c r="AZ76" s="2034" t="s">
        <v>1202</v>
      </c>
      <c r="BH76" s="1981" t="s">
        <v>959</v>
      </c>
      <c r="BJ76" s="1981" t="s">
        <v>1708</v>
      </c>
      <c r="BL76" s="1981" t="s">
        <v>1709</v>
      </c>
    </row>
    <row customHeight="1" ht="11.25">
      <c r="A77" s="1987" t="s">
        <v>1710</v>
      </c>
      <c r="AZ77" s="2034" t="s">
        <v>1231</v>
      </c>
    </row>
    <row customHeight="1" ht="11.25">
      <c r="A78" s="1987" t="s">
        <v>1711</v>
      </c>
      <c r="AZ78" s="2034" t="s">
        <v>1262</v>
      </c>
    </row>
    <row customHeight="1" ht="11.25">
      <c r="A79" s="1987" t="s">
        <v>1712</v>
      </c>
      <c r="AZ79" s="2034" t="s">
        <v>1293</v>
      </c>
      <c r="BH79" s="1980" t="s">
        <v>1713</v>
      </c>
      <c r="BJ79" s="1980" t="s">
        <v>1714</v>
      </c>
      <c r="BL79" s="1980" t="s">
        <v>1715</v>
      </c>
    </row>
    <row customHeight="1" ht="11.25">
      <c r="A80" s="1987" t="s">
        <v>1716</v>
      </c>
      <c r="AZ80" s="2034" t="s">
        <v>1314</v>
      </c>
      <c r="BH80" s="1981" t="s">
        <v>1717</v>
      </c>
      <c r="BJ80" s="1981" t="s">
        <v>1718</v>
      </c>
      <c r="BL80" s="1981" t="s">
        <v>1719</v>
      </c>
    </row>
    <row customHeight="1" ht="11.25">
      <c r="A81" s="1987" t="s">
        <v>1720</v>
      </c>
      <c r="AZ81" s="2034" t="s">
        <v>1331</v>
      </c>
      <c r="BH81" s="1981" t="s">
        <v>1721</v>
      </c>
      <c r="BJ81" s="1981" t="s">
        <v>1722</v>
      </c>
      <c r="BL81" s="1981" t="s">
        <v>1723</v>
      </c>
    </row>
    <row customHeight="1" ht="11.25">
      <c r="A82" s="1987" t="s">
        <v>1724</v>
      </c>
      <c r="AZ82" s="2034" t="s">
        <v>1346</v>
      </c>
      <c r="BH82" s="1981" t="s">
        <v>1725</v>
      </c>
      <c r="BJ82" s="1981" t="s">
        <v>1726</v>
      </c>
      <c r="BL82" s="1981" t="s">
        <v>1727</v>
      </c>
    </row>
    <row customHeight="1" ht="11.25">
      <c r="A83" s="1987" t="s">
        <v>1728</v>
      </c>
      <c r="BH83" s="1981" t="s">
        <v>1729</v>
      </c>
      <c r="BJ83" s="1981" t="s">
        <v>1730</v>
      </c>
      <c r="BL83" s="1981" t="s">
        <v>1731</v>
      </c>
    </row>
    <row customHeight="1" ht="11.25">
      <c r="A84" s="1987" t="s">
        <v>1732</v>
      </c>
      <c r="AZ84" s="1980" t="s">
        <v>1733</v>
      </c>
    </row>
    <row customHeight="1" ht="11.25">
      <c r="A85" s="2786" t="s">
        <v>1734</v>
      </c>
      <c r="AZ85" s="2034" t="s">
        <v>1735</v>
      </c>
    </row>
    <row customHeight="1" ht="11.25">
      <c r="A86" s="1987" t="s">
        <v>1736</v>
      </c>
      <c r="AZ86" s="2034" t="s">
        <v>1737</v>
      </c>
      <c r="BH86" s="1980" t="s">
        <v>944</v>
      </c>
      <c r="BJ86" s="1980" t="s">
        <v>1738</v>
      </c>
      <c r="BL86" s="1980" t="s">
        <v>1739</v>
      </c>
    </row>
    <row customHeight="1" ht="11.25">
      <c r="A87" s="1987" t="s">
        <v>1740</v>
      </c>
      <c r="AZ87" s="2034" t="s">
        <v>1741</v>
      </c>
      <c r="BH87" s="1981" t="s">
        <v>1742</v>
      </c>
      <c r="BJ87" s="1981" t="s">
        <v>1743</v>
      </c>
      <c r="BL87" s="1981" t="s">
        <v>1744</v>
      </c>
    </row>
    <row customHeight="1" ht="11.25">
      <c r="A88" s="1987" t="s">
        <v>1745</v>
      </c>
      <c r="AZ88" s="2521"/>
      <c r="BH88" s="1981" t="s">
        <v>946</v>
      </c>
      <c r="BJ88" s="1981" t="s">
        <v>1746</v>
      </c>
      <c r="BL88" s="1981" t="s">
        <v>1747</v>
      </c>
    </row>
    <row customHeight="1" ht="11.25">
      <c r="A89" s="1987" t="s">
        <v>1748</v>
      </c>
      <c r="AZ89" s="1980" t="s">
        <v>1749</v>
      </c>
    </row>
    <row customHeight="1" ht="11.25">
      <c r="A90" s="1987" t="s">
        <v>1750</v>
      </c>
      <c r="AZ90" s="2034" t="s">
        <v>991</v>
      </c>
    </row>
    <row customHeight="1" ht="11.25">
      <c r="A91" s="1987" t="s">
        <v>1751</v>
      </c>
      <c r="AZ91" s="2034" t="s">
        <v>1027</v>
      </c>
      <c r="BH91" s="1980" t="s">
        <v>1752</v>
      </c>
      <c r="BJ91" s="1980" t="s">
        <v>1753</v>
      </c>
      <c r="BL91" s="1980" t="s">
        <v>1754</v>
      </c>
    </row>
    <row customHeight="1" ht="11.25">
      <c r="AZ92" s="2034" t="s">
        <v>1755</v>
      </c>
      <c r="BH92" s="1981" t="s">
        <v>1756</v>
      </c>
      <c r="BJ92" s="1981" t="s">
        <v>1757</v>
      </c>
      <c r="BL92" s="1981" t="s">
        <v>1758</v>
      </c>
    </row>
    <row customHeight="1" ht="11.25">
      <c r="AZ93" s="2034" t="s">
        <v>1759</v>
      </c>
      <c r="BH93" s="1981" t="s">
        <v>1760</v>
      </c>
      <c r="BJ93" s="1981" t="s">
        <v>1761</v>
      </c>
      <c r="BL93" s="1981" t="s">
        <v>1762</v>
      </c>
    </row>
    <row customHeight="1" ht="11.25">
      <c r="AZ94" s="2034" t="s">
        <v>1763</v>
      </c>
    </row>
    <row r="96" customHeight="1" ht="11.25">
      <c r="AZ96" s="1980" t="s">
        <v>1764</v>
      </c>
      <c r="BH96" s="1980" t="s">
        <v>1765</v>
      </c>
      <c r="BJ96" s="1980" t="s">
        <v>1766</v>
      </c>
      <c r="BL96" s="1980" t="s">
        <v>1767</v>
      </c>
      <c r="BN96" s="1980" t="s">
        <v>1768</v>
      </c>
    </row>
    <row customHeight="1" ht="11.25">
      <c r="AZ97" s="2817" t="s">
        <v>1769</v>
      </c>
      <c r="BA97" s="2818" t="s">
        <v>1770</v>
      </c>
      <c r="BH97" s="1981" t="s">
        <v>1771</v>
      </c>
      <c r="BJ97" s="1981" t="s">
        <v>1772</v>
      </c>
      <c r="BL97" s="1981" t="s">
        <v>1773</v>
      </c>
      <c r="BN97" s="1981" t="s">
        <v>1774</v>
      </c>
    </row>
    <row customHeight="1" ht="11.25">
      <c r="AZ98" s="2817" t="s">
        <v>1775</v>
      </c>
      <c r="BA98" s="2818" t="s">
        <v>1776</v>
      </c>
      <c r="BH98" s="1981" t="s">
        <v>1777</v>
      </c>
      <c r="BJ98" s="1981" t="s">
        <v>1778</v>
      </c>
      <c r="BL98" s="1981" t="s">
        <v>1779</v>
      </c>
      <c r="BN98" s="1981" t="s">
        <v>1780</v>
      </c>
    </row>
    <row customHeight="1" ht="22.5">
      <c r="AZ99" s="2817" t="s">
        <v>1781</v>
      </c>
      <c r="BA99" s="2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981" t="s">
        <v>1782</v>
      </c>
      <c r="BJ99" s="1981" t="s">
        <v>1783</v>
      </c>
      <c r="BL99" s="1981" t="s">
        <v>1784</v>
      </c>
      <c r="BN99" s="1981" t="s">
        <v>1785</v>
      </c>
    </row>
    <row customHeight="1" ht="22.5">
      <c r="AZ100" s="2817" t="s">
        <v>1786</v>
      </c>
      <c r="BA100"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981" t="s">
        <v>1388</v>
      </c>
      <c r="BL100" s="1981" t="s">
        <v>1388</v>
      </c>
      <c r="BN100" s="1981" t="s">
        <v>1787</v>
      </c>
    </row>
    <row customHeight="1" ht="22.5">
      <c r="AZ101" s="2817" t="s">
        <v>1788</v>
      </c>
      <c r="BA101" s="2818" t="s">
        <v>1789</v>
      </c>
      <c r="BN101" s="1981" t="s">
        <v>1790</v>
      </c>
    </row>
    <row customHeight="1" ht="22.5">
      <c r="AZ102" s="2817" t="s">
        <v>1791</v>
      </c>
      <c r="BA102"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981" t="s">
        <v>1792</v>
      </c>
    </row>
    <row customHeight="1" ht="11.25">
      <c r="AZ103" s="2817" t="s">
        <v>1793</v>
      </c>
      <c r="BA103" s="2818" t="s">
        <v>1794</v>
      </c>
      <c r="BN103" s="1981" t="s">
        <v>1795</v>
      </c>
    </row>
    <row customHeight="1" ht="11.25">
      <c r="BN104" s="1981" t="s">
        <v>1796</v>
      </c>
    </row>
    <row customHeight="1" ht="11.25">
      <c r="AZ105" s="2607" t="s">
        <v>1797</v>
      </c>
    </row>
    <row customHeight="1" ht="11.25">
      <c r="AZ106" s="2034" t="s">
        <v>1798</v>
      </c>
    </row>
    <row customHeight="1" ht="11.25">
      <c r="AZ107" s="2034" t="s">
        <v>1799</v>
      </c>
      <c r="BH107" s="1980" t="s">
        <v>1800</v>
      </c>
      <c r="BJ107" s="1980" t="s">
        <v>1801</v>
      </c>
      <c r="BL107" s="1980" t="s">
        <v>1802</v>
      </c>
      <c r="BN107" s="1980" t="s">
        <v>1803</v>
      </c>
    </row>
    <row customHeight="1" ht="11.25">
      <c r="AZ108" s="2034" t="s">
        <v>563</v>
      </c>
      <c r="BH108" s="1981" t="s">
        <v>1804</v>
      </c>
      <c r="BJ108" s="1981" t="s">
        <v>1805</v>
      </c>
      <c r="BL108" s="1981" t="s">
        <v>1466</v>
      </c>
      <c r="BN108" s="1981" t="s">
        <v>1806</v>
      </c>
    </row>
    <row customHeight="1" ht="11.25">
      <c r="BH109" s="1981" t="s">
        <v>1807</v>
      </c>
    </row>
    <row customHeight="1" ht="11.25">
      <c r="AZ110" s="2607" t="s">
        <v>1808</v>
      </c>
      <c r="BH110" s="1981" t="s">
        <v>1807</v>
      </c>
    </row>
    <row customHeight="1" ht="11.25">
      <c r="AZ111" s="2817" t="s">
        <v>1769</v>
      </c>
      <c r="BA111" s="2818" t="s">
        <v>1770</v>
      </c>
    </row>
    <row customHeight="1" ht="11.25">
      <c r="AZ112" s="2817" t="s">
        <v>1775</v>
      </c>
      <c r="BA112" s="2818" t="s">
        <v>1776</v>
      </c>
    </row>
    <row customHeight="1" ht="22.5">
      <c r="AZ113" s="2817" t="s">
        <v>1781</v>
      </c>
      <c r="BA113" s="2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817" t="s">
        <v>1786</v>
      </c>
      <c r="BA114"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980" t="s">
        <v>1809</v>
      </c>
    </row>
    <row customHeight="1" ht="22.5">
      <c r="AZ115" s="2817" t="s">
        <v>1791</v>
      </c>
      <c r="BA115"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981" t="s">
        <v>1189</v>
      </c>
    </row>
    <row customHeight="1" ht="11.25">
      <c r="AZ116" s="2817" t="s">
        <v>1793</v>
      </c>
      <c r="BA116" s="2818" t="s">
        <v>1794</v>
      </c>
      <c r="BH116" s="1981" t="s">
        <v>1217</v>
      </c>
    </row>
    <row customHeight="1" ht="11.25">
      <c r="BH117" s="1981" t="s">
        <v>1251</v>
      </c>
    </row>
    <row customHeight="1" ht="11.25">
      <c r="BH118" s="1981" t="s">
        <v>1284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F9AC39-E869-C635-9E05-5EAC5905F9E1}" mc:Ignorable="x14ac xr xr2 xr3">
  <sheetPr>
    <tabColor rgb="FFCCCCFF"/>
  </sheetPr>
  <dimension ref="A1:AQ140"/>
  <sheetViews>
    <sheetView topLeftCell="C4" showGridLines="0" zoomScale="90" workbookViewId="0">
      <selection activeCell="A1" sqref="A1"/>
    </sheetView>
  </sheetViews>
  <sheetFormatPr defaultColWidth="9.140625" customHeight="1" defaultRowHeight="11.25"/>
  <cols>
    <col min="1" max="2" style="39749" width="3.7109375" hidden="1" customWidth="1"/>
    <col min="3" max="3" style="39750" width="3.7109375" customWidth="1"/>
    <col min="4" max="4" style="39750" width="6.140625" customWidth="1"/>
    <col min="5" max="5" style="39750" width="43.140625" customWidth="1"/>
    <col min="6" max="6" style="39708" width="15.00390625" customWidth="1"/>
    <col min="7" max="7" style="39750" width="43.140625" customWidth="1"/>
    <col min="8" max="8" style="39750" width="3.7109375" customWidth="1"/>
    <col min="9" max="9" style="39750" width="5.421875" customWidth="1"/>
    <col min="10" max="10" style="39750" width="47.8515625" customWidth="1"/>
    <col min="11" max="12" style="39750" width="3.7109375" customWidth="1"/>
    <col min="13" max="13" style="39750" width="5.7109375" customWidth="1"/>
    <col min="14" max="14" style="39750" width="28.140625" customWidth="1"/>
    <col min="15" max="16" style="39750" width="3.7109375" customWidth="1"/>
    <col min="17" max="17" style="39750" width="5.7109375" customWidth="1"/>
    <col min="18" max="18" style="39750" width="34.421875" customWidth="1"/>
    <col min="19" max="20" style="39751" width="3.7109375" customWidth="1"/>
    <col min="21" max="21" style="39751" width="5.7109375" customWidth="1"/>
    <col min="22" max="22" style="39751" width="34.421875" customWidth="1"/>
    <col min="23" max="23" style="39750" width="30.7109375" customWidth="1"/>
    <col min="24" max="24" style="39750" width="3.7109375" customWidth="1"/>
    <col min="25" max="25" style="39752" width="9.8515625" customWidth="1"/>
    <col min="26" max="28" style="39752" width="9.8515625" hidden="1" customWidth="1"/>
    <col min="29" max="29" style="39752" width="27.00390625" hidden="1" customWidth="1"/>
    <col min="30" max="30" style="39752" width="10.57421875" hidden="1" customWidth="1"/>
    <col min="31" max="31" style="39752" width="10.7109375" hidden="1" customWidth="1"/>
    <col min="32" max="32" style="39752" width="10.00390625" hidden="1" customWidth="1"/>
    <col min="33" max="33" style="39752" width="12.8515625" hidden="1" customWidth="1"/>
    <col min="34" max="34" style="39752" width="24.421875" hidden="1" customWidth="1"/>
    <col min="35" max="35" style="39752" width="15.8515625" hidden="1" customWidth="1"/>
    <col min="36" max="36" style="39752" width="19.421875" hidden="1" customWidth="1"/>
    <col min="37" max="37" style="39752" width="11.00390625" hidden="1" customWidth="1"/>
    <col min="38" max="38" style="39752" width="23.57421875" hidden="1" customWidth="1"/>
    <col min="39" max="39" style="39752" width="23.8515625" hidden="1" customWidth="1"/>
    <col min="40" max="40" style="39752" width="25.28125" hidden="1" customWidth="1"/>
    <col min="41" max="41" style="39752" width="16.8515625" hidden="1" customWidth="1"/>
    <col min="42" max="42" style="39752" width="29.57421875" hidden="1" customWidth="1"/>
    <col min="43" max="43" style="39752" width="29.8515625" hidden="1" customWidth="1"/>
  </cols>
  <sheetData>
    <row customHeight="1" ht="11.25" hidden="1">
      <c r="A1" s="1069"/>
    </row>
    <row customHeight="1" ht="11.25" hidden="1"/>
    <row customHeight="1" ht="11.25" hidden="1"/>
    <row customHeight="1" ht="3"/>
    <row s="39633" customFormat="1" customHeight="1" ht="29.25">
      <c r="A5" s="1067"/>
      <c r="B5" s="1067"/>
      <c r="D5" s="29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84"/>
      <c r="F5" s="2984"/>
      <c r="G5" s="2984"/>
      <c r="H5" s="2984"/>
      <c r="I5" s="2984"/>
      <c r="J5" s="2985"/>
      <c r="K5" s="1177"/>
      <c r="L5" s="1055"/>
      <c r="M5" s="1055"/>
      <c r="N5" s="1055"/>
      <c r="O5" s="1055"/>
      <c r="P5" s="1055"/>
      <c r="Q5" s="1055"/>
      <c r="R5" s="1055"/>
      <c r="S5" s="1202"/>
      <c r="T5" s="1202"/>
      <c r="U5" s="1202"/>
      <c r="V5" s="1202"/>
      <c r="W5" s="1055"/>
      <c r="Y5" s="2175"/>
      <c r="Z5" s="2175"/>
      <c r="AA5" s="2175"/>
      <c r="AB5" s="2175"/>
      <c r="AC5" s="2175"/>
      <c r="AD5" s="2175"/>
      <c r="AE5" s="2175"/>
      <c r="AF5" s="2175"/>
      <c r="AG5" s="2175"/>
      <c r="AH5" s="2175"/>
      <c r="AI5" s="2175"/>
      <c r="AJ5" s="2175"/>
      <c r="AK5" s="2175"/>
      <c r="AL5" s="2175"/>
      <c r="AM5" s="2175"/>
      <c r="AN5" s="2175"/>
      <c r="AO5" s="2175"/>
      <c r="AP5" s="2175"/>
      <c r="AQ5" s="2175"/>
    </row>
    <row s="39550" customFormat="1" customHeight="1" ht="15">
      <c r="A6" s="1497"/>
      <c r="B6" s="1497"/>
      <c r="C6" s="1497"/>
      <c r="D6" s="2989" t="str">
        <f>IF(org=0,"Не определено",org)</f>
        <v>ПАО "ТГК-1" филиал "Невский"</v>
      </c>
      <c r="E6" s="2989"/>
      <c r="F6" s="2989"/>
      <c r="G6" s="2989"/>
      <c r="H6" s="2989"/>
      <c r="I6" s="2989"/>
      <c r="J6" s="2989"/>
      <c r="K6" s="1498"/>
      <c r="L6" s="1498"/>
      <c r="M6" s="1498"/>
      <c r="N6" s="1498"/>
      <c r="O6" s="1782"/>
      <c r="P6" s="1782"/>
      <c r="Q6" s="1782"/>
      <c r="R6" s="1782"/>
      <c r="S6" s="1782"/>
      <c r="T6" s="1782"/>
      <c r="U6" s="1782"/>
      <c r="V6" s="1782"/>
      <c r="W6" s="1782"/>
      <c r="X6" s="1498"/>
      <c r="Y6" s="2176"/>
      <c r="Z6" s="2176"/>
      <c r="AA6" s="2176"/>
      <c r="AB6" s="2176"/>
      <c r="AC6" s="2176"/>
      <c r="AD6" s="2176"/>
      <c r="AE6" s="2176"/>
      <c r="AF6" s="2176"/>
      <c r="AG6" s="2176"/>
      <c r="AH6" s="2176"/>
      <c r="AI6" s="2176"/>
      <c r="AJ6" s="2176"/>
      <c r="AK6" s="2176"/>
      <c r="AL6" s="2176"/>
      <c r="AM6" s="2176"/>
      <c r="AN6" s="2176"/>
      <c r="AO6" s="2176"/>
      <c r="AP6" s="2176"/>
      <c r="AQ6" s="2176"/>
    </row>
    <row s="39643" customFormat="1" customHeight="1" ht="11.25">
      <c r="A7" s="1123"/>
      <c r="B7" s="1123"/>
      <c r="D7" s="2986"/>
      <c r="E7" s="2987"/>
      <c r="F7" s="2987"/>
      <c r="G7" s="2987"/>
      <c r="H7" s="2987"/>
      <c r="I7" s="2987"/>
      <c r="J7" s="2988"/>
      <c r="S7" s="1211"/>
      <c r="T7" s="1211"/>
      <c r="U7" s="1211"/>
      <c r="V7" s="1211"/>
      <c r="Y7" s="2177"/>
      <c r="Z7" s="2177"/>
      <c r="AA7" s="2177"/>
      <c r="AB7" s="2177"/>
      <c r="AC7" s="2177"/>
      <c r="AD7" s="2177"/>
      <c r="AE7" s="2177"/>
      <c r="AF7" s="2177"/>
      <c r="AG7" s="2177"/>
      <c r="AH7" s="2177"/>
      <c r="AI7" s="2177"/>
      <c r="AJ7" s="2177"/>
      <c r="AK7" s="2177"/>
      <c r="AL7" s="2177"/>
      <c r="AM7" s="2177"/>
      <c r="AN7" s="2177"/>
      <c r="AO7" s="2177"/>
      <c r="AP7" s="2177"/>
      <c r="AQ7" s="2177"/>
    </row>
    <row s="39633" customFormat="1" customHeight="1" ht="0.75">
      <c r="A8" s="1067"/>
      <c r="B8" s="1067"/>
      <c r="D8" s="1124"/>
      <c r="E8" s="1124"/>
      <c r="F8" s="1124"/>
      <c r="G8" s="1124"/>
      <c r="H8" s="1124"/>
      <c r="I8" s="1124"/>
      <c r="J8" s="1124"/>
      <c r="K8" s="1124"/>
      <c r="L8" s="1124"/>
      <c r="M8" s="1124"/>
      <c r="N8" s="1124"/>
      <c r="O8" s="1124"/>
      <c r="P8" s="1124"/>
      <c r="Q8" s="1124"/>
      <c r="R8" s="1124"/>
      <c r="S8" s="1124"/>
      <c r="T8" s="1124"/>
      <c r="U8" s="1124"/>
      <c r="V8" s="1124"/>
      <c r="W8" s="1124"/>
      <c r="X8" s="1045"/>
      <c r="Y8" s="2175"/>
      <c r="Z8" s="2175"/>
      <c r="AA8" s="2175"/>
      <c r="AB8" s="2175"/>
      <c r="AC8" s="2175"/>
      <c r="AD8" s="2175"/>
      <c r="AE8" s="2175"/>
      <c r="AF8" s="2175"/>
      <c r="AG8" s="2175"/>
      <c r="AH8" s="2175"/>
      <c r="AI8" s="2175"/>
      <c r="AJ8" s="2175"/>
      <c r="AK8" s="2175"/>
      <c r="AL8" s="2175"/>
      <c r="AM8" s="2175"/>
      <c r="AN8" s="2175"/>
      <c r="AO8" s="2175"/>
      <c r="AP8" s="2175"/>
      <c r="AQ8" s="2175"/>
    </row>
    <row customHeight="1" ht="27">
      <c r="D9" s="2953" t="s">
        <v>84</v>
      </c>
      <c r="E9" s="2927" t="s">
        <v>115</v>
      </c>
      <c r="F9" s="2929"/>
      <c r="G9" s="2953" t="s">
        <v>98</v>
      </c>
      <c r="H9" s="2953" t="s">
        <v>84</v>
      </c>
      <c r="I9" s="2953"/>
      <c r="J9" s="2953" t="s">
        <v>116</v>
      </c>
      <c r="K9" s="2981" t="s">
        <v>117</v>
      </c>
      <c r="L9" s="2981"/>
      <c r="M9" s="2981"/>
      <c r="N9" s="2981"/>
      <c r="O9" s="2981" t="s">
        <v>118</v>
      </c>
      <c r="P9" s="2981"/>
      <c r="Q9" s="2981"/>
      <c r="R9" s="2981"/>
      <c r="S9" s="2981" t="s">
        <v>119</v>
      </c>
      <c r="T9" s="2981"/>
      <c r="U9" s="2981"/>
      <c r="V9" s="2981"/>
      <c r="W9" s="2953" t="s">
        <v>120</v>
      </c>
    </row>
    <row customHeight="1" ht="30">
      <c r="D10" s="2953"/>
      <c r="E10" s="2199" t="s">
        <v>85</v>
      </c>
      <c r="F10" s="2199" t="s">
        <v>121</v>
      </c>
      <c r="G10" s="2953"/>
      <c r="H10" s="2953"/>
      <c r="I10" s="2953"/>
      <c r="J10" s="2953"/>
      <c r="K10" s="1023" t="s">
        <v>101</v>
      </c>
      <c r="L10" s="2953" t="s">
        <v>84</v>
      </c>
      <c r="M10" s="2953"/>
      <c r="N10" s="1023" t="s">
        <v>122</v>
      </c>
      <c r="O10" s="1023" t="s">
        <v>101</v>
      </c>
      <c r="P10" s="2953" t="s">
        <v>84</v>
      </c>
      <c r="Q10" s="2953"/>
      <c r="R10" s="1023" t="s">
        <v>122</v>
      </c>
      <c r="S10" s="1195" t="s">
        <v>101</v>
      </c>
      <c r="T10" s="2953" t="s">
        <v>84</v>
      </c>
      <c r="U10" s="2953"/>
      <c r="V10" s="1195" t="s">
        <v>85</v>
      </c>
      <c r="W10" s="2953"/>
      <c r="Z10" s="2174" t="s">
        <v>123</v>
      </c>
      <c r="AA10" s="2174" t="s">
        <v>124</v>
      </c>
      <c r="AB10" s="2174" t="s">
        <v>125</v>
      </c>
      <c r="AC10" s="2174" t="s">
        <v>126</v>
      </c>
      <c r="AD10" s="2174" t="s">
        <v>127</v>
      </c>
      <c r="AE10" s="2174" t="s">
        <v>128</v>
      </c>
      <c r="AF10" s="2174" t="s">
        <v>129</v>
      </c>
      <c r="AG10" s="2174" t="s">
        <v>130</v>
      </c>
      <c r="AH10" s="2174" t="s">
        <v>131</v>
      </c>
      <c r="AI10" s="2174" t="s">
        <v>132</v>
      </c>
      <c r="AJ10" s="2174" t="s">
        <v>133</v>
      </c>
      <c r="AK10" s="2174" t="s">
        <v>134</v>
      </c>
      <c r="AL10" s="2174" t="s">
        <v>135</v>
      </c>
      <c r="AM10" s="2174" t="s">
        <v>136</v>
      </c>
      <c r="AN10" s="2174" t="s">
        <v>137</v>
      </c>
      <c r="AO10" s="2174" t="s">
        <v>138</v>
      </c>
      <c r="AP10" s="2174" t="s">
        <v>139</v>
      </c>
      <c r="AQ10" s="2174" t="s">
        <v>140</v>
      </c>
    </row>
    <row s="39657" customFormat="1" customHeight="1" ht="12" hidden="1">
      <c r="D11" s="2163" t="s">
        <v>102</v>
      </c>
      <c r="E11" s="2163" t="s">
        <v>103</v>
      </c>
      <c r="F11" s="2163"/>
      <c r="G11" s="2163" t="s">
        <v>86</v>
      </c>
      <c r="H11" s="2982" t="s">
        <v>104</v>
      </c>
      <c r="I11" s="2982"/>
      <c r="J11" s="2163" t="s">
        <v>88</v>
      </c>
      <c r="K11" s="2163" t="s">
        <v>89</v>
      </c>
      <c r="L11" s="2982" t="s">
        <v>105</v>
      </c>
      <c r="M11" s="2982"/>
      <c r="N11" s="2163" t="s">
        <v>141</v>
      </c>
      <c r="O11" s="2163" t="s">
        <v>142</v>
      </c>
      <c r="P11" s="2982" t="s">
        <v>143</v>
      </c>
      <c r="Q11" s="2982"/>
      <c r="R11" s="2163" t="s">
        <v>144</v>
      </c>
      <c r="S11" s="2163" t="s">
        <v>143</v>
      </c>
      <c r="T11" s="2982" t="s">
        <v>144</v>
      </c>
      <c r="U11" s="2982"/>
      <c r="V11" s="2163" t="s">
        <v>145</v>
      </c>
      <c r="W11" s="2163" t="s">
        <v>146</v>
      </c>
      <c r="Y11" s="2174"/>
      <c r="Z11" s="2174"/>
      <c r="AA11" s="2174"/>
      <c r="AB11" s="2174"/>
      <c r="AC11" s="2174"/>
      <c r="AD11" s="2174"/>
      <c r="AE11" s="2174"/>
      <c r="AF11" s="2174"/>
      <c r="AG11" s="2174"/>
      <c r="AH11" s="2174"/>
      <c r="AI11" s="2174"/>
      <c r="AJ11" s="2174"/>
      <c r="AK11" s="2174"/>
      <c r="AL11" s="2174"/>
      <c r="AM11" s="2174"/>
      <c r="AN11" s="2174"/>
      <c r="AO11" s="2174"/>
      <c r="AP11" s="2174"/>
      <c r="AQ11" s="2174"/>
    </row>
    <row customHeight="1" ht="14.25" hidden="1">
      <c r="C12" s="1121"/>
      <c r="D12" s="2197">
        <v>0</v>
      </c>
      <c r="E12" s="1162"/>
      <c r="F12" s="1162"/>
      <c r="G12" s="1162"/>
      <c r="H12" s="1163"/>
      <c r="I12" s="1163"/>
      <c r="J12" s="1071"/>
      <c r="K12" s="1025"/>
      <c r="L12" s="1071"/>
      <c r="M12" s="1071"/>
      <c r="N12" s="1164"/>
      <c r="O12" s="1025"/>
      <c r="P12" s="1071"/>
      <c r="Q12" s="1071"/>
      <c r="R12" s="1165"/>
      <c r="S12" s="1196"/>
      <c r="T12" s="1204"/>
      <c r="U12" s="1204"/>
      <c r="V12" s="1208"/>
      <c r="W12" s="1025"/>
      <c r="X12" s="1054"/>
    </row>
    <row s="39672" customFormat="1" customHeight="1" ht="17.25" hidden="1">
      <c r="A13" s="1233"/>
      <c r="C13" s="1121"/>
      <c r="D13" s="2961">
        <v>1</v>
      </c>
      <c r="E13" s="2969" t="s">
        <v>147</v>
      </c>
      <c r="F13" s="2971" t="s">
        <v>52</v>
      </c>
      <c r="G13" s="2969"/>
      <c r="H13" s="2974"/>
      <c r="I13" s="2976"/>
      <c r="J13" s="2978"/>
      <c r="K13" s="2963"/>
      <c r="L13" s="2963"/>
      <c r="M13" s="2963"/>
      <c r="N13" s="2965"/>
      <c r="O13" s="2963"/>
      <c r="P13" s="2963"/>
      <c r="Q13" s="2963"/>
      <c r="R13" s="2968"/>
      <c r="S13" s="2963"/>
      <c r="T13" s="2335"/>
      <c r="U13" s="2335"/>
      <c r="V13" s="2334"/>
      <c r="W13" s="2211"/>
      <c r="Y13" s="2182"/>
      <c r="Z13" s="2182"/>
      <c r="AA13" s="2182"/>
      <c r="AB13" s="2182"/>
      <c r="AC13" s="2182" t="s">
        <v>148</v>
      </c>
      <c r="AD13" s="2182" t="s">
        <v>149</v>
      </c>
      <c r="AE13" s="2182" t="s">
        <v>150</v>
      </c>
      <c r="AF13" s="2182" t="s">
        <v>151</v>
      </c>
      <c r="AG13" s="2182" t="s">
        <v>152</v>
      </c>
      <c r="AH13" s="2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182" t="str">
        <f>IF($G$13=0,"",$G$13)</f>
        <v/>
      </c>
      <c r="AJ13" s="2182" t="str">
        <f>IF($J$13=0,"",$J$13)</f>
        <v/>
      </c>
      <c r="AK13" s="2182" t="str">
        <f>IF($K$13="нет","без дифференциации",IF($N$13=0,"",$N$13))</f>
        <v/>
      </c>
      <c r="AL13" s="2182" t="str">
        <f>IF($O$13="нет","без дифференциации",IF($R$13=0,"",$R$13))</f>
        <v/>
      </c>
      <c r="AM13" s="2182" t="str">
        <f>IF($S$13="нет","без дифференциации",IF($V$13=0,"",$V$13))</f>
        <v/>
      </c>
      <c r="AN13" s="2182">
        <f>$I$13</f>
        <v>0</v>
      </c>
      <c r="AO13" s="2182" t="str">
        <f>$I$13&amp;"."&amp;$M$13</f>
        <v>.</v>
      </c>
      <c r="AP13" s="2182" t="str">
        <f>$I$13&amp;"."&amp;$M$13&amp;"."&amp;$Q$13</f>
        <v>..</v>
      </c>
      <c r="AQ13" s="2182" t="str">
        <f>$I$13&amp;"."&amp;$M$13&amp;"."&amp;$Q$13&amp;"."&amp;$U$13</f>
        <v>...</v>
      </c>
    </row>
    <row s="39672" customFormat="1" customHeight="1" ht="17.25" hidden="1">
      <c r="A14" s="1233"/>
      <c r="C14" s="1232"/>
      <c r="D14" s="2961"/>
      <c r="E14" s="2969"/>
      <c r="F14" s="2972"/>
      <c r="G14" s="2969"/>
      <c r="H14" s="2975"/>
      <c r="I14" s="2977"/>
      <c r="J14" s="2979"/>
      <c r="K14" s="2964"/>
      <c r="L14" s="2964"/>
      <c r="M14" s="2964"/>
      <c r="N14" s="2966"/>
      <c r="O14" s="2964"/>
      <c r="P14" s="2964"/>
      <c r="Q14" s="2964"/>
      <c r="R14" s="2967"/>
      <c r="S14" s="2964"/>
      <c r="T14" s="2212"/>
      <c r="U14" s="2212"/>
      <c r="V14" s="2212"/>
      <c r="W14" s="2213"/>
      <c r="Y14" s="2174"/>
      <c r="Z14" s="2174"/>
      <c r="AA14" s="2174"/>
      <c r="AB14" s="2174"/>
      <c r="AC14" s="2174"/>
      <c r="AD14" s="2174"/>
      <c r="AE14" s="2174"/>
      <c r="AF14" s="2174"/>
      <c r="AG14" s="2174"/>
      <c r="AH14" s="2174"/>
      <c r="AI14" s="2174"/>
      <c r="AJ14" s="2174"/>
      <c r="AK14" s="2174"/>
      <c r="AL14" s="2174"/>
      <c r="AM14" s="2174"/>
      <c r="AN14" s="2174"/>
      <c r="AO14" s="2174"/>
      <c r="AP14" s="2174"/>
      <c r="AQ14" s="2174"/>
    </row>
    <row s="39697" customFormat="1" customHeight="1" ht="17.25" hidden="1">
      <c r="A15" s="1233"/>
      <c r="C15" s="1121"/>
      <c r="D15" s="2961"/>
      <c r="E15" s="2969"/>
      <c r="F15" s="2972"/>
      <c r="G15" s="2969"/>
      <c r="H15" s="2975"/>
      <c r="I15" s="2977"/>
      <c r="J15" s="2980"/>
      <c r="K15" s="2964"/>
      <c r="L15" s="2964"/>
      <c r="M15" s="2964"/>
      <c r="N15" s="2967"/>
      <c r="O15" s="2964"/>
      <c r="P15" s="2333"/>
      <c r="Q15" s="2212"/>
      <c r="R15" s="2212"/>
      <c r="S15" s="1241"/>
      <c r="T15" s="1241"/>
      <c r="U15" s="1241"/>
      <c r="V15" s="1241"/>
      <c r="W15" s="2213"/>
      <c r="Y15" s="2182"/>
      <c r="Z15" s="2182"/>
      <c r="AA15" s="2182"/>
      <c r="AB15" s="2182"/>
      <c r="AC15" s="2182"/>
      <c r="AD15" s="2182"/>
      <c r="AE15" s="2182"/>
      <c r="AF15" s="2182"/>
      <c r="AG15" s="2182"/>
      <c r="AH15" s="2182"/>
      <c r="AI15" s="2182"/>
      <c r="AJ15" s="2182"/>
      <c r="AK15" s="2182"/>
      <c r="AL15" s="2182"/>
      <c r="AM15" s="2182"/>
      <c r="AN15" s="2182"/>
      <c r="AO15" s="2182"/>
      <c r="AP15" s="2182"/>
      <c r="AQ15" s="2182"/>
    </row>
    <row s="39697" customFormat="1" customHeight="1" ht="17.25" hidden="1">
      <c r="A16" s="1233"/>
      <c r="C16" s="1232"/>
      <c r="D16" s="2961"/>
      <c r="E16" s="2969"/>
      <c r="F16" s="2972"/>
      <c r="G16" s="2969"/>
      <c r="H16" s="2975"/>
      <c r="I16" s="2977"/>
      <c r="J16" s="2980"/>
      <c r="K16" s="2964"/>
      <c r="L16" s="2212"/>
      <c r="M16" s="2212"/>
      <c r="N16" s="2212"/>
      <c r="O16" s="2212"/>
      <c r="P16" s="2212"/>
      <c r="Q16" s="2212"/>
      <c r="R16" s="2212"/>
      <c r="S16" s="1241"/>
      <c r="T16" s="1241"/>
      <c r="U16" s="1241"/>
      <c r="V16" s="1241"/>
      <c r="W16" s="2213"/>
      <c r="Y16" s="2174"/>
      <c r="Z16" s="2174"/>
      <c r="AA16" s="2174"/>
      <c r="AB16" s="2174"/>
      <c r="AC16" s="2174"/>
      <c r="AD16" s="2174"/>
      <c r="AE16" s="2174"/>
      <c r="AF16" s="2174"/>
      <c r="AG16" s="2174"/>
      <c r="AH16" s="2174"/>
      <c r="AI16" s="2174"/>
      <c r="AJ16" s="2174"/>
      <c r="AK16" s="2174"/>
      <c r="AL16" s="2174"/>
      <c r="AM16" s="2174"/>
      <c r="AN16" s="2174"/>
      <c r="AO16" s="2174"/>
      <c r="AP16" s="2174"/>
      <c r="AQ16" s="2174"/>
    </row>
    <row s="39672" customFormat="1" customHeight="1" ht="17.25" hidden="1">
      <c r="A17" s="1233"/>
      <c r="C17" s="1232"/>
      <c r="D17" s="2962"/>
      <c r="E17" s="2970"/>
      <c r="F17" s="2973"/>
      <c r="G17" s="2970"/>
      <c r="H17" s="2214"/>
      <c r="I17" s="2215"/>
      <c r="J17" s="2215"/>
      <c r="K17" s="2215"/>
      <c r="L17" s="2215"/>
      <c r="M17" s="2215"/>
      <c r="N17" s="2215"/>
      <c r="O17" s="2215"/>
      <c r="P17" s="2215"/>
      <c r="Q17" s="2215"/>
      <c r="R17" s="2215"/>
      <c r="S17" s="2216"/>
      <c r="T17" s="2216"/>
      <c r="U17" s="2216"/>
      <c r="V17" s="2216"/>
      <c r="W17" s="2217"/>
      <c r="Y17" s="2174"/>
      <c r="Z17" s="2174"/>
      <c r="AA17" s="2174"/>
      <c r="AB17" s="2174"/>
      <c r="AC17" s="2174"/>
      <c r="AD17" s="2174"/>
      <c r="AE17" s="2174"/>
      <c r="AF17" s="2174"/>
      <c r="AG17" s="2174"/>
      <c r="AH17" s="2174"/>
      <c r="AI17" s="2174"/>
      <c r="AJ17" s="2174"/>
      <c r="AK17" s="2174"/>
      <c r="AL17" s="2174"/>
      <c r="AM17" s="2174"/>
      <c r="AN17" s="2174"/>
      <c r="AO17" s="2174"/>
      <c r="AP17" s="2174"/>
      <c r="AQ17" s="2174"/>
    </row>
    <row s="39708" customFormat="1" customHeight="1" ht="17.25" hidden="1">
      <c r="A18" s="1233"/>
      <c r="C18" s="1121"/>
      <c r="D18" s="2961">
        <v>2</v>
      </c>
      <c r="E18" s="2969" t="s">
        <v>153</v>
      </c>
      <c r="F18" s="2971" t="s">
        <v>52</v>
      </c>
      <c r="G18" s="2969"/>
      <c r="H18" s="2974"/>
      <c r="I18" s="2976"/>
      <c r="J18" s="2978"/>
      <c r="K18" s="2963"/>
      <c r="L18" s="2963"/>
      <c r="M18" s="2963"/>
      <c r="N18" s="2965"/>
      <c r="O18" s="2963"/>
      <c r="P18" s="2963"/>
      <c r="Q18" s="2963"/>
      <c r="R18" s="2968"/>
      <c r="S18" s="2963"/>
      <c r="T18" s="2335"/>
      <c r="U18" s="2335"/>
      <c r="V18" s="2334"/>
      <c r="W18" s="2211"/>
      <c r="X18" s="2182"/>
      <c r="Y18" s="2182"/>
      <c r="Z18" s="2182"/>
      <c r="AA18" s="2182"/>
      <c r="AB18" s="2182"/>
      <c r="AC18" s="2182" t="s">
        <v>154</v>
      </c>
      <c r="AD18" s="2182" t="s">
        <v>155</v>
      </c>
      <c r="AE18" s="2182" t="s">
        <v>156</v>
      </c>
      <c r="AF18" s="2182" t="s">
        <v>157</v>
      </c>
      <c r="AG18" s="2182" t="s">
        <v>158</v>
      </c>
      <c r="AH18" s="2182" t="str">
        <f>IF($E$18=0,"",$E$18)</f>
        <v>Тарифы на тепловую энергию (мощность), поставляемую теплоснабжающими организациями потребителям, другим теплоснабжающим организациям</v>
      </c>
      <c r="AI18" s="2182" t="str">
        <f>IF($G$18=0,"",$G$18)</f>
        <v/>
      </c>
      <c r="AJ18" s="2182" t="str">
        <f>IF($J$18=0,"",$J$18)</f>
        <v/>
      </c>
      <c r="AK18" s="2182" t="str">
        <f>IF($K$18="нет","без дифференциации",IF($N$18=0,"",$N$18))</f>
        <v/>
      </c>
      <c r="AL18" s="2182" t="str">
        <f>IF($O$18="нет","без дифференциации",IF($R$18=0,"",$R$18))</f>
        <v/>
      </c>
      <c r="AM18" s="2182" t="str">
        <f>IF($S$18="нет","без дифференциации",IF($V$18=0,"",$V$18))</f>
        <v/>
      </c>
      <c r="AN18" s="2687">
        <f>$I$18</f>
        <v>0</v>
      </c>
      <c r="AO18" s="2182" t="str">
        <f>$I$18&amp;"."&amp;$M$18</f>
        <v>.</v>
      </c>
      <c r="AP18" s="2174" t="str">
        <f>$I$18&amp;"."&amp;$M$18&amp;"."&amp;$Q$18</f>
        <v>..</v>
      </c>
      <c r="AQ18" s="2174" t="str">
        <f>$I$18&amp;"."&amp;$M$18&amp;"."&amp;$Q$18&amp;"."&amp;$U$18</f>
        <v>...</v>
      </c>
    </row>
    <row s="39708" customFormat="1" customHeight="1" ht="17.25" hidden="1">
      <c r="A19" s="1233"/>
      <c r="C19" s="1232"/>
      <c r="D19" s="2961"/>
      <c r="E19" s="2969"/>
      <c r="F19" s="2972"/>
      <c r="G19" s="2969"/>
      <c r="H19" s="2975"/>
      <c r="I19" s="2977"/>
      <c r="J19" s="2979"/>
      <c r="K19" s="2964"/>
      <c r="L19" s="2964"/>
      <c r="M19" s="2964"/>
      <c r="N19" s="2966"/>
      <c r="O19" s="2964"/>
      <c r="P19" s="2964"/>
      <c r="Q19" s="2964"/>
      <c r="R19" s="2967"/>
      <c r="S19" s="2964"/>
      <c r="T19" s="2212"/>
      <c r="U19" s="2212"/>
      <c r="V19" s="2212"/>
      <c r="W19" s="2213"/>
      <c r="X19" s="2174"/>
      <c r="Y19" s="2174"/>
      <c r="Z19" s="2174"/>
      <c r="AA19" s="2174"/>
      <c r="AB19" s="2174"/>
      <c r="AC19" s="2174"/>
      <c r="AD19" s="2174"/>
      <c r="AE19" s="2174"/>
      <c r="AF19" s="2174"/>
      <c r="AG19" s="2174"/>
      <c r="AH19" s="2174"/>
      <c r="AI19" s="2174"/>
      <c r="AJ19" s="2174"/>
      <c r="AK19" s="2174"/>
      <c r="AL19" s="2174"/>
      <c r="AM19" s="2174"/>
      <c r="AN19" s="2174"/>
      <c r="AO19" s="2174"/>
      <c r="AP19" s="2174"/>
      <c r="AQ19" s="2174"/>
    </row>
    <row s="39708" customFormat="1" customHeight="1" ht="17.25" hidden="1">
      <c r="A20" s="1233"/>
      <c r="C20" s="1232"/>
      <c r="D20" s="2962"/>
      <c r="E20" s="2970"/>
      <c r="F20" s="2972"/>
      <c r="G20" s="2970"/>
      <c r="H20" s="2975"/>
      <c r="I20" s="2977"/>
      <c r="J20" s="2980"/>
      <c r="K20" s="2964"/>
      <c r="L20" s="2964"/>
      <c r="M20" s="2964"/>
      <c r="N20" s="2967"/>
      <c r="O20" s="2964"/>
      <c r="P20" s="2333"/>
      <c r="Q20" s="2212"/>
      <c r="R20" s="2212"/>
      <c r="S20" s="1241"/>
      <c r="T20" s="1241"/>
      <c r="U20" s="1241"/>
      <c r="V20" s="1241"/>
      <c r="W20" s="2213"/>
      <c r="X20" s="2174"/>
      <c r="Y20" s="2174"/>
      <c r="Z20" s="2174"/>
      <c r="AA20" s="2174"/>
      <c r="AB20" s="2174"/>
      <c r="AC20" s="2174"/>
      <c r="AD20" s="2174"/>
      <c r="AE20" s="2174"/>
      <c r="AF20" s="2174"/>
      <c r="AG20" s="2174"/>
      <c r="AH20" s="2174"/>
      <c r="AI20" s="2174"/>
      <c r="AJ20" s="2174"/>
      <c r="AK20" s="2174"/>
      <c r="AL20" s="2174"/>
      <c r="AM20" s="2174"/>
      <c r="AN20" s="2174"/>
      <c r="AO20" s="2174"/>
      <c r="AP20" s="2174"/>
      <c r="AQ20" s="2174"/>
    </row>
    <row s="39708" customFormat="1" customHeight="1" ht="17.25" hidden="1">
      <c r="A21" s="1233"/>
      <c r="C21" s="1232"/>
      <c r="D21" s="2962"/>
      <c r="E21" s="2970"/>
      <c r="F21" s="2972"/>
      <c r="G21" s="2970"/>
      <c r="H21" s="2975"/>
      <c r="I21" s="2977"/>
      <c r="J21" s="2980"/>
      <c r="K21" s="2964"/>
      <c r="L21" s="2212"/>
      <c r="M21" s="2212"/>
      <c r="N21" s="2212"/>
      <c r="O21" s="2212"/>
      <c r="P21" s="2212"/>
      <c r="Q21" s="2212"/>
      <c r="R21" s="2212"/>
      <c r="S21" s="1241"/>
      <c r="T21" s="1241"/>
      <c r="U21" s="1241"/>
      <c r="V21" s="1241"/>
      <c r="W21" s="2213"/>
      <c r="X21" s="2174"/>
      <c r="Y21" s="2174"/>
      <c r="Z21" s="2174"/>
      <c r="AA21" s="2174"/>
      <c r="AB21" s="2174"/>
      <c r="AC21" s="2174"/>
      <c r="AD21" s="2174"/>
      <c r="AE21" s="2174"/>
      <c r="AF21" s="2174"/>
      <c r="AG21" s="2174"/>
      <c r="AH21" s="2174"/>
      <c r="AI21" s="2174"/>
      <c r="AJ21" s="2174"/>
      <c r="AK21" s="2174"/>
      <c r="AL21" s="2174"/>
      <c r="AM21" s="2174"/>
      <c r="AN21" s="2174"/>
      <c r="AO21" s="2174"/>
      <c r="AP21" s="2174"/>
      <c r="AQ21" s="2174"/>
    </row>
    <row s="39708" customFormat="1" customHeight="1" ht="17.25" hidden="1">
      <c r="A22" s="1233"/>
      <c r="C22" s="1232"/>
      <c r="D22" s="2962"/>
      <c r="E22" s="2970"/>
      <c r="F22" s="2973"/>
      <c r="G22" s="2970"/>
      <c r="H22" s="2214"/>
      <c r="I22" s="2215"/>
      <c r="J22" s="2215"/>
      <c r="K22" s="2215"/>
      <c r="L22" s="2215"/>
      <c r="M22" s="2215"/>
      <c r="N22" s="2215"/>
      <c r="O22" s="2215"/>
      <c r="P22" s="2215"/>
      <c r="Q22" s="2215"/>
      <c r="R22" s="2215"/>
      <c r="S22" s="2216"/>
      <c r="T22" s="2216"/>
      <c r="U22" s="2216"/>
      <c r="V22" s="2216"/>
      <c r="W22" s="2217"/>
      <c r="X22" s="2174"/>
      <c r="Y22" s="2174"/>
      <c r="Z22" s="2174"/>
      <c r="AA22" s="2174"/>
      <c r="AB22" s="2174"/>
      <c r="AC22" s="2174"/>
      <c r="AD22" s="2174"/>
      <c r="AE22" s="2174"/>
      <c r="AF22" s="2174"/>
      <c r="AG22" s="2174"/>
      <c r="AH22" s="2174"/>
      <c r="AI22" s="2174"/>
      <c r="AJ22" s="2174"/>
      <c r="AK22" s="2174"/>
      <c r="AL22" s="2174"/>
      <c r="AM22" s="2174"/>
      <c r="AN22" s="2174"/>
      <c r="AO22" s="2174"/>
      <c r="AP22" s="2174"/>
      <c r="AQ22" s="2174"/>
    </row>
    <row s="39708" customFormat="1" customHeight="1" ht="17.25" hidden="1">
      <c r="A23" s="1233"/>
      <c r="C23" s="1121"/>
      <c r="D23" s="2961">
        <v>3</v>
      </c>
      <c r="E23" s="2969" t="s">
        <v>159</v>
      </c>
      <c r="F23" s="2971" t="s">
        <v>52</v>
      </c>
      <c r="G23" s="2969"/>
      <c r="H23" s="2974"/>
      <c r="I23" s="2976"/>
      <c r="J23" s="2978"/>
      <c r="K23" s="2963"/>
      <c r="L23" s="2963"/>
      <c r="M23" s="2963"/>
      <c r="N23" s="2965"/>
      <c r="O23" s="2963"/>
      <c r="P23" s="2963"/>
      <c r="Q23" s="2963"/>
      <c r="R23" s="2968"/>
      <c r="S23" s="2963"/>
      <c r="T23" s="2335"/>
      <c r="U23" s="2335"/>
      <c r="V23" s="2334"/>
      <c r="W23" s="2211"/>
      <c r="X23" s="2182"/>
      <c r="Y23" s="2182"/>
      <c r="Z23" s="2182"/>
      <c r="AA23" s="2182"/>
      <c r="AB23" s="2182"/>
      <c r="AC23" s="2182" t="s">
        <v>160</v>
      </c>
      <c r="AD23" s="2182" t="s">
        <v>161</v>
      </c>
      <c r="AE23" s="2182" t="s">
        <v>162</v>
      </c>
      <c r="AF23" s="2182" t="s">
        <v>163</v>
      </c>
      <c r="AG23" s="2182" t="s">
        <v>164</v>
      </c>
      <c r="AH23" s="2182" t="str">
        <f>IF($E$23=0,"",$E$23)</f>
        <v>Тарифы на теплоноситель, поставляемый теплоснабжающими организациями потребителям, другим теплоснабжающим организациям</v>
      </c>
      <c r="AI23" s="2182" t="str">
        <f>IF($G$23=0,"",$G$23)</f>
        <v/>
      </c>
      <c r="AJ23" s="2182" t="str">
        <f>IF($J$23=0,"",$J$23)</f>
        <v/>
      </c>
      <c r="AK23" s="2182" t="str">
        <f>IF($K$23="нет","без дифференциации",IF($N$23=0,"",$N$23))</f>
        <v/>
      </c>
      <c r="AL23" s="2182" t="str">
        <f>IF($O$23="нет","без дифференциации",IF($R$23=0,"",$R$23))</f>
        <v/>
      </c>
      <c r="AM23" s="2182" t="str">
        <f>IF($S$23="нет","без дифференциации",IF($V$23=0,"",$V$23))</f>
        <v/>
      </c>
      <c r="AN23" s="2687">
        <f>$I$23</f>
        <v>0</v>
      </c>
      <c r="AO23" s="2182" t="str">
        <f>$I$23&amp;"."&amp;$M$23</f>
        <v>.</v>
      </c>
      <c r="AP23" s="2174" t="str">
        <f>$I$23&amp;"."&amp;$M$23&amp;"."&amp;$Q$23</f>
        <v>..</v>
      </c>
      <c r="AQ23" s="2174" t="str">
        <f>$I$23&amp;"."&amp;$M$23&amp;"."&amp;$Q$23&amp;"."&amp;$U$23</f>
        <v>...</v>
      </c>
    </row>
    <row s="39708" customFormat="1" customHeight="1" ht="17.25" hidden="1">
      <c r="A24" s="1233"/>
      <c r="C24" s="1232"/>
      <c r="D24" s="2961"/>
      <c r="E24" s="2969"/>
      <c r="F24" s="2972"/>
      <c r="G24" s="2969"/>
      <c r="H24" s="2975"/>
      <c r="I24" s="2977"/>
      <c r="J24" s="2979"/>
      <c r="K24" s="2964"/>
      <c r="L24" s="2964"/>
      <c r="M24" s="2964"/>
      <c r="N24" s="2966"/>
      <c r="O24" s="2964"/>
      <c r="P24" s="2964"/>
      <c r="Q24" s="2964"/>
      <c r="R24" s="2967"/>
      <c r="S24" s="2964"/>
      <c r="T24" s="2212"/>
      <c r="U24" s="2212"/>
      <c r="V24" s="2212"/>
      <c r="W24" s="2213"/>
      <c r="X24" s="2174"/>
      <c r="Y24" s="2174"/>
      <c r="Z24" s="2174"/>
      <c r="AA24" s="2174"/>
      <c r="AB24" s="2174"/>
      <c r="AC24" s="2174"/>
      <c r="AD24" s="2174"/>
      <c r="AE24" s="2174"/>
      <c r="AF24" s="2174"/>
      <c r="AG24" s="2174"/>
      <c r="AH24" s="2174"/>
      <c r="AI24" s="2174"/>
      <c r="AJ24" s="2174"/>
      <c r="AK24" s="2174"/>
      <c r="AL24" s="2174"/>
      <c r="AM24" s="2174"/>
      <c r="AN24" s="2174"/>
      <c r="AO24" s="2174"/>
      <c r="AP24" s="2174"/>
      <c r="AQ24" s="2174"/>
    </row>
    <row s="39708" customFormat="1" customHeight="1" ht="17.25" hidden="1">
      <c r="A25" s="1233"/>
      <c r="C25" s="1232"/>
      <c r="D25" s="2962"/>
      <c r="E25" s="2970"/>
      <c r="F25" s="2972"/>
      <c r="G25" s="2970"/>
      <c r="H25" s="2975"/>
      <c r="I25" s="2977"/>
      <c r="J25" s="2980"/>
      <c r="K25" s="2964"/>
      <c r="L25" s="2964"/>
      <c r="M25" s="2964"/>
      <c r="N25" s="2967"/>
      <c r="O25" s="2964"/>
      <c r="P25" s="2333"/>
      <c r="Q25" s="2212"/>
      <c r="R25" s="2212"/>
      <c r="S25" s="1241"/>
      <c r="T25" s="1241"/>
      <c r="U25" s="1241"/>
      <c r="V25" s="1241"/>
      <c r="W25" s="2213"/>
      <c r="X25" s="2174"/>
      <c r="Y25" s="2174"/>
      <c r="Z25" s="2174"/>
      <c r="AA25" s="2174"/>
      <c r="AB25" s="2174"/>
      <c r="AC25" s="2174"/>
      <c r="AD25" s="2174"/>
      <c r="AE25" s="2174"/>
      <c r="AF25" s="2174"/>
      <c r="AG25" s="2174"/>
      <c r="AH25" s="2174"/>
      <c r="AI25" s="2174"/>
      <c r="AJ25" s="2174"/>
      <c r="AK25" s="2174"/>
      <c r="AL25" s="2174"/>
      <c r="AM25" s="2174"/>
      <c r="AN25" s="2174"/>
      <c r="AO25" s="2174"/>
      <c r="AP25" s="2174"/>
      <c r="AQ25" s="2174"/>
    </row>
    <row s="39708" customFormat="1" customHeight="1" ht="17.25" hidden="1">
      <c r="A26" s="1233"/>
      <c r="C26" s="1232"/>
      <c r="D26" s="2962"/>
      <c r="E26" s="2970"/>
      <c r="F26" s="2972"/>
      <c r="G26" s="2970"/>
      <c r="H26" s="2975"/>
      <c r="I26" s="2977"/>
      <c r="J26" s="2980"/>
      <c r="K26" s="2964"/>
      <c r="L26" s="2212"/>
      <c r="M26" s="2212"/>
      <c r="N26" s="2212"/>
      <c r="O26" s="2212"/>
      <c r="P26" s="2212"/>
      <c r="Q26" s="2212"/>
      <c r="R26" s="2212"/>
      <c r="S26" s="1241"/>
      <c r="T26" s="1241"/>
      <c r="U26" s="1241"/>
      <c r="V26" s="1241"/>
      <c r="W26" s="2213"/>
      <c r="X26" s="2174"/>
      <c r="Y26" s="2174"/>
      <c r="Z26" s="2174"/>
      <c r="AA26" s="2174"/>
      <c r="AB26" s="2174"/>
      <c r="AC26" s="2174"/>
      <c r="AD26" s="2174"/>
      <c r="AE26" s="2174"/>
      <c r="AF26" s="2174"/>
      <c r="AG26" s="2174"/>
      <c r="AH26" s="2174"/>
      <c r="AI26" s="2174"/>
      <c r="AJ26" s="2174"/>
      <c r="AK26" s="2174"/>
      <c r="AL26" s="2174"/>
      <c r="AM26" s="2174"/>
      <c r="AN26" s="2174"/>
      <c r="AO26" s="2174"/>
      <c r="AP26" s="2174"/>
      <c r="AQ26" s="2174"/>
    </row>
    <row s="39708" customFormat="1" customHeight="1" ht="17.25" hidden="1">
      <c r="A27" s="1233"/>
      <c r="C27" s="1232"/>
      <c r="D27" s="2962"/>
      <c r="E27" s="2970"/>
      <c r="F27" s="2973"/>
      <c r="G27" s="2970"/>
      <c r="H27" s="2214"/>
      <c r="I27" s="2215"/>
      <c r="J27" s="2215"/>
      <c r="K27" s="2215"/>
      <c r="L27" s="2215"/>
      <c r="M27" s="2215"/>
      <c r="N27" s="2215"/>
      <c r="O27" s="2215"/>
      <c r="P27" s="2215"/>
      <c r="Q27" s="2215"/>
      <c r="R27" s="2215"/>
      <c r="S27" s="2216"/>
      <c r="T27" s="2216"/>
      <c r="U27" s="2216"/>
      <c r="V27" s="2216"/>
      <c r="W27" s="2217"/>
      <c r="X27" s="2174"/>
      <c r="Y27" s="2174"/>
      <c r="Z27" s="2174"/>
      <c r="AA27" s="2174"/>
      <c r="AB27" s="2174"/>
      <c r="AC27" s="2174"/>
      <c r="AD27" s="2174"/>
      <c r="AE27" s="2174"/>
      <c r="AF27" s="2174"/>
      <c r="AG27" s="2174"/>
      <c r="AH27" s="2174"/>
      <c r="AI27" s="2174"/>
      <c r="AJ27" s="2174"/>
      <c r="AK27" s="2174"/>
      <c r="AL27" s="2174"/>
      <c r="AM27" s="2174"/>
      <c r="AN27" s="2174"/>
      <c r="AO27" s="2174"/>
      <c r="AP27" s="2174"/>
      <c r="AQ27" s="2174"/>
    </row>
    <row s="39708" customFormat="1" customHeight="1" ht="17.25" hidden="1">
      <c r="A28" s="1233"/>
      <c r="C28" s="1121"/>
      <c r="D28" s="2961">
        <v>4</v>
      </c>
      <c r="E28" s="2969" t="s">
        <v>165</v>
      </c>
      <c r="F28" s="2971" t="s">
        <v>52</v>
      </c>
      <c r="G28" s="2969"/>
      <c r="H28" s="2974"/>
      <c r="I28" s="2976"/>
      <c r="J28" s="2978"/>
      <c r="K28" s="2963"/>
      <c r="L28" s="2963"/>
      <c r="M28" s="2963"/>
      <c r="N28" s="2965"/>
      <c r="O28" s="2963"/>
      <c r="P28" s="2963"/>
      <c r="Q28" s="2963"/>
      <c r="R28" s="2968"/>
      <c r="S28" s="2963"/>
      <c r="T28" s="2335"/>
      <c r="U28" s="2335"/>
      <c r="V28" s="2334"/>
      <c r="W28" s="2211"/>
      <c r="X28" s="2182"/>
      <c r="Y28" s="2182"/>
      <c r="Z28" s="2182"/>
      <c r="AA28" s="2182"/>
      <c r="AB28" s="2182"/>
      <c r="AC28" s="2182" t="s">
        <v>166</v>
      </c>
      <c r="AD28" s="2182" t="s">
        <v>167</v>
      </c>
      <c r="AE28" s="2182" t="s">
        <v>168</v>
      </c>
      <c r="AF28" s="2182" t="s">
        <v>169</v>
      </c>
      <c r="AG28" s="2182" t="s">
        <v>170</v>
      </c>
      <c r="AH28" s="218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2182" t="str">
        <f>IF($G$28=0,"",$G$28)</f>
        <v/>
      </c>
      <c r="AJ28" s="2182" t="str">
        <f>IF($J$28=0,"",$J$28)</f>
        <v/>
      </c>
      <c r="AK28" s="2182" t="str">
        <f>IF($K$28="нет","без дифференциации",IF($N$28=0,"",$N$28))</f>
        <v/>
      </c>
      <c r="AL28" s="2182" t="str">
        <f>IF($O$28="нет","без дифференциации",IF($R$28=0,"",$R$28))</f>
        <v/>
      </c>
      <c r="AM28" s="2182" t="str">
        <f>IF($S$28="нет","без дифференциации",IF($V$28=0,"",$V$28))</f>
        <v/>
      </c>
      <c r="AN28" s="2687">
        <f>$I$28</f>
        <v>0</v>
      </c>
      <c r="AO28" s="2182" t="str">
        <f>$I$28&amp;"."&amp;$M$28</f>
        <v>.</v>
      </c>
      <c r="AP28" s="2174" t="str">
        <f>$I$28&amp;"."&amp;$M$28&amp;"."&amp;$Q$28</f>
        <v>..</v>
      </c>
      <c r="AQ28" s="2174" t="str">
        <f>$I$28&amp;"."&amp;$M$28&amp;"."&amp;$Q$28&amp;"."&amp;$U$28</f>
        <v>...</v>
      </c>
    </row>
    <row s="39708" customFormat="1" customHeight="1" ht="17.25" hidden="1">
      <c r="A29" s="1233"/>
      <c r="C29" s="1232"/>
      <c r="D29" s="2961"/>
      <c r="E29" s="2969"/>
      <c r="F29" s="2972"/>
      <c r="G29" s="2969"/>
      <c r="H29" s="2975"/>
      <c r="I29" s="2977"/>
      <c r="J29" s="2979"/>
      <c r="K29" s="2964"/>
      <c r="L29" s="2964"/>
      <c r="M29" s="2964"/>
      <c r="N29" s="2966"/>
      <c r="O29" s="2964"/>
      <c r="P29" s="2964"/>
      <c r="Q29" s="2964"/>
      <c r="R29" s="2967"/>
      <c r="S29" s="2964"/>
      <c r="T29" s="2212"/>
      <c r="U29" s="2212"/>
      <c r="V29" s="2212"/>
      <c r="W29" s="2213"/>
      <c r="X29" s="2174"/>
      <c r="Y29" s="2174"/>
      <c r="Z29" s="2174"/>
      <c r="AA29" s="2174"/>
      <c r="AB29" s="2174"/>
      <c r="AC29" s="2174"/>
      <c r="AD29" s="2174"/>
      <c r="AE29" s="2174"/>
      <c r="AF29" s="2174"/>
      <c r="AG29" s="2174"/>
      <c r="AH29" s="2174"/>
      <c r="AI29" s="2174"/>
      <c r="AJ29" s="2174"/>
      <c r="AK29" s="2174"/>
      <c r="AL29" s="2174"/>
      <c r="AM29" s="2174"/>
      <c r="AN29" s="2174"/>
      <c r="AO29" s="2174"/>
      <c r="AP29" s="2174"/>
      <c r="AQ29" s="2174"/>
    </row>
    <row s="39708" customFormat="1" customHeight="1" ht="17.25" hidden="1">
      <c r="A30" s="1233"/>
      <c r="C30" s="1232"/>
      <c r="D30" s="2962"/>
      <c r="E30" s="2970"/>
      <c r="F30" s="2972"/>
      <c r="G30" s="2970"/>
      <c r="H30" s="2975"/>
      <c r="I30" s="2977"/>
      <c r="J30" s="2980"/>
      <c r="K30" s="2964"/>
      <c r="L30" s="2964"/>
      <c r="M30" s="2964"/>
      <c r="N30" s="2967"/>
      <c r="O30" s="2964"/>
      <c r="P30" s="2333"/>
      <c r="Q30" s="2212"/>
      <c r="R30" s="2212"/>
      <c r="S30" s="1241"/>
      <c r="T30" s="1241"/>
      <c r="U30" s="1241"/>
      <c r="V30" s="1241"/>
      <c r="W30" s="2213"/>
      <c r="X30" s="2174"/>
      <c r="Y30" s="2174"/>
      <c r="Z30" s="2174"/>
      <c r="AA30" s="2174"/>
      <c r="AB30" s="2174"/>
      <c r="AC30" s="2174"/>
      <c r="AD30" s="2174"/>
      <c r="AE30" s="2174"/>
      <c r="AF30" s="2174"/>
      <c r="AG30" s="2174"/>
      <c r="AH30" s="2174"/>
      <c r="AI30" s="2174"/>
      <c r="AJ30" s="2174"/>
      <c r="AK30" s="2174"/>
      <c r="AL30" s="2174"/>
      <c r="AM30" s="2174"/>
      <c r="AN30" s="2174"/>
      <c r="AO30" s="2174"/>
      <c r="AP30" s="2174"/>
      <c r="AQ30" s="2174"/>
    </row>
    <row s="39708" customFormat="1" customHeight="1" ht="17.25" hidden="1">
      <c r="A31" s="1233"/>
      <c r="C31" s="1232"/>
      <c r="D31" s="2962"/>
      <c r="E31" s="2970"/>
      <c r="F31" s="2972"/>
      <c r="G31" s="2970"/>
      <c r="H31" s="2975"/>
      <c r="I31" s="2977"/>
      <c r="J31" s="2980"/>
      <c r="K31" s="2964"/>
      <c r="L31" s="2212"/>
      <c r="M31" s="2212"/>
      <c r="N31" s="2212"/>
      <c r="O31" s="2212"/>
      <c r="P31" s="2212"/>
      <c r="Q31" s="2212"/>
      <c r="R31" s="2212"/>
      <c r="S31" s="1241"/>
      <c r="T31" s="1241"/>
      <c r="U31" s="1241"/>
      <c r="V31" s="1241"/>
      <c r="W31" s="2213"/>
      <c r="X31" s="2174"/>
      <c r="Y31" s="2174"/>
      <c r="Z31" s="2174"/>
      <c r="AA31" s="2174"/>
      <c r="AB31" s="2174"/>
      <c r="AC31" s="2174"/>
      <c r="AD31" s="2174"/>
      <c r="AE31" s="2174"/>
      <c r="AF31" s="2174"/>
      <c r="AG31" s="2174"/>
      <c r="AH31" s="2174"/>
      <c r="AI31" s="2174"/>
      <c r="AJ31" s="2174"/>
      <c r="AK31" s="2174"/>
      <c r="AL31" s="2174"/>
      <c r="AM31" s="2174"/>
      <c r="AN31" s="2174"/>
      <c r="AO31" s="2174"/>
      <c r="AP31" s="2174"/>
      <c r="AQ31" s="2174"/>
    </row>
    <row s="39708" customFormat="1" customHeight="1" ht="17.25" hidden="1">
      <c r="A32" s="1233"/>
      <c r="C32" s="1232"/>
      <c r="D32" s="2962"/>
      <c r="E32" s="2970"/>
      <c r="F32" s="2973"/>
      <c r="G32" s="2970"/>
      <c r="H32" s="2214"/>
      <c r="I32" s="2215"/>
      <c r="J32" s="2215"/>
      <c r="K32" s="2215"/>
      <c r="L32" s="2215"/>
      <c r="M32" s="2215"/>
      <c r="N32" s="2215"/>
      <c r="O32" s="2215"/>
      <c r="P32" s="2215"/>
      <c r="Q32" s="2215"/>
      <c r="R32" s="2215"/>
      <c r="S32" s="2216"/>
      <c r="T32" s="2216"/>
      <c r="U32" s="2216"/>
      <c r="V32" s="2216"/>
      <c r="W32" s="2217"/>
      <c r="X32" s="2174"/>
      <c r="Y32" s="2174"/>
      <c r="Z32" s="2174"/>
      <c r="AA32" s="2174"/>
      <c r="AB32" s="2174"/>
      <c r="AC32" s="2174"/>
      <c r="AD32" s="2174"/>
      <c r="AE32" s="2174"/>
      <c r="AF32" s="2174"/>
      <c r="AG32" s="2174"/>
      <c r="AH32" s="2174"/>
      <c r="AI32" s="2174"/>
      <c r="AJ32" s="2174"/>
      <c r="AK32" s="2174"/>
      <c r="AL32" s="2174"/>
      <c r="AM32" s="2174"/>
      <c r="AN32" s="2174"/>
      <c r="AO32" s="2174"/>
      <c r="AP32" s="2174"/>
      <c r="AQ32" s="2174"/>
    </row>
    <row s="39708" customFormat="1" customHeight="1" ht="17.25" hidden="1">
      <c r="A33" s="1233"/>
      <c r="C33" s="1121"/>
      <c r="D33" s="2961">
        <v>5</v>
      </c>
      <c r="E33" s="2969" t="s">
        <v>171</v>
      </c>
      <c r="F33" s="2971" t="s">
        <v>52</v>
      </c>
      <c r="G33" s="2969"/>
      <c r="H33" s="2974"/>
      <c r="I33" s="2976"/>
      <c r="J33" s="2978"/>
      <c r="K33" s="2963"/>
      <c r="L33" s="2963"/>
      <c r="M33" s="2963"/>
      <c r="N33" s="2965"/>
      <c r="O33" s="2963"/>
      <c r="P33" s="2963"/>
      <c r="Q33" s="2963"/>
      <c r="R33" s="2968"/>
      <c r="S33" s="2963"/>
      <c r="T33" s="2335"/>
      <c r="U33" s="2335"/>
      <c r="V33" s="2334"/>
      <c r="W33" s="2211"/>
      <c r="X33" s="2182"/>
      <c r="Y33" s="2182"/>
      <c r="Z33" s="2182"/>
      <c r="AA33" s="2182"/>
      <c r="AB33" s="2182"/>
      <c r="AC33" s="2182" t="s">
        <v>172</v>
      </c>
      <c r="AD33" s="2182" t="s">
        <v>173</v>
      </c>
      <c r="AE33" s="2182" t="s">
        <v>174</v>
      </c>
      <c r="AF33" s="2182" t="s">
        <v>175</v>
      </c>
      <c r="AG33" s="2182" t="s">
        <v>176</v>
      </c>
      <c r="AH33" s="2182" t="str">
        <f>IF($E$33=0,"",$E$33)</f>
        <v>Тарифы на услуги по передаче тепловой энергии</v>
      </c>
      <c r="AI33" s="2182" t="str">
        <f>IF($G$33=0,"",$G$33)</f>
        <v/>
      </c>
      <c r="AJ33" s="2182" t="str">
        <f>IF($J$33=0,"",$J$33)</f>
        <v/>
      </c>
      <c r="AK33" s="2182" t="str">
        <f>IF($K$33="нет","без дифференциации",IF($N$33=0,"",$N$33))</f>
        <v/>
      </c>
      <c r="AL33" s="2182" t="str">
        <f>IF($O$33="нет","без дифференциации",IF($R$33=0,"",$R$33))</f>
        <v/>
      </c>
      <c r="AM33" s="2182" t="str">
        <f>IF($S$33="нет","без дифференциации",IF($V$33=0,"",$V$33))</f>
        <v/>
      </c>
      <c r="AN33" s="2687">
        <f>$I$33</f>
        <v>0</v>
      </c>
      <c r="AO33" s="2182" t="str">
        <f>$I$33&amp;"."&amp;$M$33</f>
        <v>.</v>
      </c>
      <c r="AP33" s="2174" t="str">
        <f>$I$33&amp;"."&amp;$M$33&amp;"."&amp;$Q$33</f>
        <v>..</v>
      </c>
      <c r="AQ33" s="2174" t="str">
        <f>$I$33&amp;"."&amp;$M$33&amp;"."&amp;$Q$33&amp;"."&amp;$U$33</f>
        <v>...</v>
      </c>
    </row>
    <row s="39708" customFormat="1" customHeight="1" ht="17.25" hidden="1">
      <c r="A34" s="1233"/>
      <c r="C34" s="1232"/>
      <c r="D34" s="2961"/>
      <c r="E34" s="2969"/>
      <c r="F34" s="2972"/>
      <c r="G34" s="2969"/>
      <c r="H34" s="2975"/>
      <c r="I34" s="2977"/>
      <c r="J34" s="2979"/>
      <c r="K34" s="2964"/>
      <c r="L34" s="2964"/>
      <c r="M34" s="2964"/>
      <c r="N34" s="2966"/>
      <c r="O34" s="2964"/>
      <c r="P34" s="2964"/>
      <c r="Q34" s="2964"/>
      <c r="R34" s="2967"/>
      <c r="S34" s="2964"/>
      <c r="T34" s="2212"/>
      <c r="U34" s="2212"/>
      <c r="V34" s="2212"/>
      <c r="W34" s="2213"/>
      <c r="X34" s="2174"/>
      <c r="Y34" s="2174"/>
      <c r="Z34" s="2174"/>
      <c r="AA34" s="2174"/>
      <c r="AB34" s="2174"/>
      <c r="AC34" s="2174"/>
      <c r="AD34" s="2174"/>
      <c r="AE34" s="2174"/>
      <c r="AF34" s="2174"/>
      <c r="AG34" s="2174"/>
      <c r="AH34" s="2174"/>
      <c r="AI34" s="2174"/>
      <c r="AJ34" s="2174"/>
      <c r="AK34" s="2174"/>
      <c r="AL34" s="2174"/>
      <c r="AM34" s="2174"/>
      <c r="AN34" s="2174"/>
      <c r="AO34" s="2174"/>
      <c r="AP34" s="2174"/>
      <c r="AQ34" s="2174"/>
    </row>
    <row s="39708" customFormat="1" customHeight="1" ht="17.25" hidden="1">
      <c r="A35" s="1233"/>
      <c r="C35" s="1232"/>
      <c r="D35" s="2962"/>
      <c r="E35" s="2970"/>
      <c r="F35" s="2972"/>
      <c r="G35" s="2970"/>
      <c r="H35" s="2975"/>
      <c r="I35" s="2977"/>
      <c r="J35" s="2980"/>
      <c r="K35" s="2964"/>
      <c r="L35" s="2964"/>
      <c r="M35" s="2964"/>
      <c r="N35" s="2967"/>
      <c r="O35" s="2964"/>
      <c r="P35" s="2333"/>
      <c r="Q35" s="2212"/>
      <c r="R35" s="2212"/>
      <c r="S35" s="1241"/>
      <c r="T35" s="1241"/>
      <c r="U35" s="1241"/>
      <c r="V35" s="1241"/>
      <c r="W35" s="2213"/>
      <c r="X35" s="2174"/>
      <c r="Y35" s="2174"/>
      <c r="Z35" s="2174"/>
      <c r="AA35" s="2174"/>
      <c r="AB35" s="2174"/>
      <c r="AC35" s="2174"/>
      <c r="AD35" s="2174"/>
      <c r="AE35" s="2174"/>
      <c r="AF35" s="2174"/>
      <c r="AG35" s="2174"/>
      <c r="AH35" s="2174"/>
      <c r="AI35" s="2174"/>
      <c r="AJ35" s="2174"/>
      <c r="AK35" s="2174"/>
      <c r="AL35" s="2174"/>
      <c r="AM35" s="2174"/>
      <c r="AN35" s="2174"/>
      <c r="AO35" s="2174"/>
      <c r="AP35" s="2174"/>
      <c r="AQ35" s="2174"/>
    </row>
    <row s="39708" customFormat="1" customHeight="1" ht="17.25" hidden="1">
      <c r="A36" s="1233"/>
      <c r="C36" s="1232"/>
      <c r="D36" s="2962"/>
      <c r="E36" s="2970"/>
      <c r="F36" s="2972"/>
      <c r="G36" s="2970"/>
      <c r="H36" s="2975"/>
      <c r="I36" s="2977"/>
      <c r="J36" s="2980"/>
      <c r="K36" s="2964"/>
      <c r="L36" s="2212"/>
      <c r="M36" s="2212"/>
      <c r="N36" s="2212"/>
      <c r="O36" s="2212"/>
      <c r="P36" s="2212"/>
      <c r="Q36" s="2212"/>
      <c r="R36" s="2212"/>
      <c r="S36" s="1241"/>
      <c r="T36" s="1241"/>
      <c r="U36" s="1241"/>
      <c r="V36" s="1241"/>
      <c r="W36" s="2213"/>
      <c r="X36" s="2174"/>
      <c r="Y36" s="2174"/>
      <c r="Z36" s="2174"/>
      <c r="AA36" s="2174"/>
      <c r="AB36" s="2174"/>
      <c r="AC36" s="2174"/>
      <c r="AD36" s="2174"/>
      <c r="AE36" s="2174"/>
      <c r="AF36" s="2174"/>
      <c r="AG36" s="2174"/>
      <c r="AH36" s="2174"/>
      <c r="AI36" s="2174"/>
      <c r="AJ36" s="2174"/>
      <c r="AK36" s="2174"/>
      <c r="AL36" s="2174"/>
      <c r="AM36" s="2174"/>
      <c r="AN36" s="2174"/>
      <c r="AO36" s="2174"/>
      <c r="AP36" s="2174"/>
      <c r="AQ36" s="2174"/>
    </row>
    <row s="39708" customFormat="1" customHeight="1" ht="17.25" hidden="1">
      <c r="A37" s="1233"/>
      <c r="C37" s="1232"/>
      <c r="D37" s="2962"/>
      <c r="E37" s="2970"/>
      <c r="F37" s="2973"/>
      <c r="G37" s="2970"/>
      <c r="H37" s="2214"/>
      <c r="I37" s="2215"/>
      <c r="J37" s="2215"/>
      <c r="K37" s="2215"/>
      <c r="L37" s="2215"/>
      <c r="M37" s="2215"/>
      <c r="N37" s="2215"/>
      <c r="O37" s="2215"/>
      <c r="P37" s="2215"/>
      <c r="Q37" s="2215"/>
      <c r="R37" s="2215"/>
      <c r="S37" s="2216"/>
      <c r="T37" s="2216"/>
      <c r="U37" s="2216"/>
      <c r="V37" s="2216"/>
      <c r="W37" s="2217"/>
      <c r="X37" s="2174"/>
      <c r="Y37" s="2174"/>
      <c r="Z37" s="2174"/>
      <c r="AA37" s="2174"/>
      <c r="AB37" s="2174"/>
      <c r="AC37" s="2174"/>
      <c r="AD37" s="2174"/>
      <c r="AE37" s="2174"/>
      <c r="AF37" s="2174"/>
      <c r="AG37" s="2174"/>
      <c r="AH37" s="2174"/>
      <c r="AI37" s="2174"/>
      <c r="AJ37" s="2174"/>
      <c r="AK37" s="2174"/>
      <c r="AL37" s="2174"/>
      <c r="AM37" s="2174"/>
      <c r="AN37" s="2174"/>
      <c r="AO37" s="2174"/>
      <c r="AP37" s="2174"/>
      <c r="AQ37" s="2174"/>
    </row>
    <row s="39708" customFormat="1" customHeight="1" ht="17.25" hidden="1">
      <c r="A38" s="1233"/>
      <c r="C38" s="1121"/>
      <c r="D38" s="2961">
        <v>6</v>
      </c>
      <c r="E38" s="2969" t="s">
        <v>177</v>
      </c>
      <c r="F38" s="2971" t="s">
        <v>52</v>
      </c>
      <c r="G38" s="2969"/>
      <c r="H38" s="2974"/>
      <c r="I38" s="2976"/>
      <c r="J38" s="2978"/>
      <c r="K38" s="2963"/>
      <c r="L38" s="2963"/>
      <c r="M38" s="2963"/>
      <c r="N38" s="2965"/>
      <c r="O38" s="2963"/>
      <c r="P38" s="2963"/>
      <c r="Q38" s="2963"/>
      <c r="R38" s="2968"/>
      <c r="S38" s="2963"/>
      <c r="T38" s="2335"/>
      <c r="U38" s="2335"/>
      <c r="V38" s="2334"/>
      <c r="W38" s="2211"/>
      <c r="X38" s="2182"/>
      <c r="Y38" s="2182"/>
      <c r="Z38" s="2182"/>
      <c r="AA38" s="2182"/>
      <c r="AB38" s="2182"/>
      <c r="AC38" s="2182" t="s">
        <v>178</v>
      </c>
      <c r="AD38" s="2182" t="s">
        <v>179</v>
      </c>
      <c r="AE38" s="2182" t="s">
        <v>180</v>
      </c>
      <c r="AF38" s="2182" t="s">
        <v>181</v>
      </c>
      <c r="AG38" s="2182" t="s">
        <v>182</v>
      </c>
      <c r="AH38" s="2182" t="str">
        <f>IF($E$38=0,"",$E$38)</f>
        <v>Тарифы на услуги по передаче теплоносителя</v>
      </c>
      <c r="AI38" s="2182" t="str">
        <f>IF($G$38=0,"",$G$38)</f>
        <v/>
      </c>
      <c r="AJ38" s="2182" t="str">
        <f>IF($J$38=0,"",$J$38)</f>
        <v/>
      </c>
      <c r="AK38" s="2182" t="str">
        <f>IF($K$38="нет","без дифференциации",IF($N$38=0,"",$N$38))</f>
        <v/>
      </c>
      <c r="AL38" s="2182" t="str">
        <f>IF($O$38="нет","без дифференциации",IF($R$38=0,"",$R$38))</f>
        <v/>
      </c>
      <c r="AM38" s="2182" t="str">
        <f>IF($S$38="нет","без дифференциации",IF($V$38=0,"",$V$38))</f>
        <v/>
      </c>
      <c r="AN38" s="2687">
        <f>$I$38</f>
        <v>0</v>
      </c>
      <c r="AO38" s="2182" t="str">
        <f>$I$38&amp;"."&amp;$M$38</f>
        <v>.</v>
      </c>
      <c r="AP38" s="2174" t="str">
        <f>$I$38&amp;"."&amp;$M$38&amp;"."&amp;$Q$38</f>
        <v>..</v>
      </c>
      <c r="AQ38" s="2174" t="str">
        <f>$I$38&amp;"."&amp;$M$38&amp;"."&amp;$Q$38&amp;"."&amp;$U$38</f>
        <v>...</v>
      </c>
    </row>
    <row s="39708" customFormat="1" customHeight="1" ht="17.25" hidden="1">
      <c r="A39" s="1233"/>
      <c r="C39" s="1232"/>
      <c r="D39" s="2961"/>
      <c r="E39" s="2969"/>
      <c r="F39" s="2972"/>
      <c r="G39" s="2969"/>
      <c r="H39" s="2975"/>
      <c r="I39" s="2977"/>
      <c r="J39" s="2979"/>
      <c r="K39" s="2964"/>
      <c r="L39" s="2964"/>
      <c r="M39" s="2964"/>
      <c r="N39" s="2966"/>
      <c r="O39" s="2964"/>
      <c r="P39" s="2964"/>
      <c r="Q39" s="2964"/>
      <c r="R39" s="2967"/>
      <c r="S39" s="2964"/>
      <c r="T39" s="2212"/>
      <c r="U39" s="2212"/>
      <c r="V39" s="2212"/>
      <c r="W39" s="2213"/>
      <c r="X39" s="2174"/>
      <c r="Y39" s="2174"/>
      <c r="Z39" s="2174"/>
      <c r="AA39" s="2174"/>
      <c r="AB39" s="2174"/>
      <c r="AC39" s="2174"/>
      <c r="AD39" s="2174"/>
      <c r="AE39" s="2174"/>
      <c r="AF39" s="2174"/>
      <c r="AG39" s="2174"/>
      <c r="AH39" s="2174"/>
      <c r="AI39" s="2174"/>
      <c r="AJ39" s="2174"/>
      <c r="AK39" s="2174"/>
      <c r="AL39" s="2174"/>
      <c r="AM39" s="2174"/>
      <c r="AN39" s="2174"/>
      <c r="AO39" s="2174"/>
      <c r="AP39" s="2174"/>
      <c r="AQ39" s="2174"/>
    </row>
    <row s="39708" customFormat="1" customHeight="1" ht="17.25" hidden="1">
      <c r="A40" s="1233"/>
      <c r="C40" s="1232"/>
      <c r="D40" s="2962"/>
      <c r="E40" s="2970"/>
      <c r="F40" s="2972"/>
      <c r="G40" s="2970"/>
      <c r="H40" s="2975"/>
      <c r="I40" s="2977"/>
      <c r="J40" s="2980"/>
      <c r="K40" s="2964"/>
      <c r="L40" s="2964"/>
      <c r="M40" s="2964"/>
      <c r="N40" s="2967"/>
      <c r="O40" s="2964"/>
      <c r="P40" s="2333"/>
      <c r="Q40" s="2212"/>
      <c r="R40" s="2212"/>
      <c r="S40" s="1241"/>
      <c r="T40" s="1241"/>
      <c r="U40" s="1241"/>
      <c r="V40" s="1241"/>
      <c r="W40" s="2213"/>
      <c r="X40" s="2174"/>
      <c r="Y40" s="2174"/>
      <c r="Z40" s="2174"/>
      <c r="AA40" s="2174"/>
      <c r="AB40" s="2174"/>
      <c r="AC40" s="2174"/>
      <c r="AD40" s="2174"/>
      <c r="AE40" s="2174"/>
      <c r="AF40" s="2174"/>
      <c r="AG40" s="2174"/>
      <c r="AH40" s="2174"/>
      <c r="AI40" s="2174"/>
      <c r="AJ40" s="2174"/>
      <c r="AK40" s="2174"/>
      <c r="AL40" s="2174"/>
      <c r="AM40" s="2174"/>
      <c r="AN40" s="2174"/>
      <c r="AO40" s="2174"/>
      <c r="AP40" s="2174"/>
      <c r="AQ40" s="2174"/>
    </row>
    <row s="39710" customFormat="1" customHeight="1" ht="17.25" hidden="1">
      <c r="A41" s="1233"/>
      <c r="C41" s="1121"/>
      <c r="D41" s="2962"/>
      <c r="E41" s="2970"/>
      <c r="F41" s="2972"/>
      <c r="G41" s="2970"/>
      <c r="H41" s="2975"/>
      <c r="I41" s="2977"/>
      <c r="J41" s="2980"/>
      <c r="K41" s="2964"/>
      <c r="L41" s="2212"/>
      <c r="M41" s="2212"/>
      <c r="N41" s="2212"/>
      <c r="O41" s="2212"/>
      <c r="P41" s="2212"/>
      <c r="Q41" s="2212"/>
      <c r="R41" s="2212"/>
      <c r="S41" s="1241"/>
      <c r="T41" s="1241"/>
      <c r="U41" s="1241"/>
      <c r="V41" s="1241"/>
      <c r="W41" s="2213"/>
      <c r="Y41" s="2182"/>
      <c r="Z41" s="2182"/>
      <c r="AA41" s="2182"/>
      <c r="AB41" s="2182"/>
      <c r="AC41" s="2182"/>
      <c r="AD41" s="2182"/>
      <c r="AE41" s="2182"/>
      <c r="AF41" s="2182"/>
      <c r="AG41" s="2182"/>
      <c r="AH41" s="2182"/>
      <c r="AI41" s="2182"/>
      <c r="AJ41" s="2182"/>
      <c r="AK41" s="2182"/>
      <c r="AL41" s="2182"/>
      <c r="AM41" s="2182"/>
      <c r="AN41" s="2182"/>
      <c r="AO41" s="2182"/>
      <c r="AP41" s="2182"/>
      <c r="AQ41" s="2182"/>
    </row>
    <row s="39708" customFormat="1" customHeight="1" ht="17.25" hidden="1">
      <c r="A42" s="1233"/>
      <c r="C42" s="1232"/>
      <c r="D42" s="2962"/>
      <c r="E42" s="2970"/>
      <c r="F42" s="2973"/>
      <c r="G42" s="2970"/>
      <c r="H42" s="2214"/>
      <c r="I42" s="2215"/>
      <c r="J42" s="2215"/>
      <c r="K42" s="2215"/>
      <c r="L42" s="2215"/>
      <c r="M42" s="2215"/>
      <c r="N42" s="2215"/>
      <c r="O42" s="2215"/>
      <c r="P42" s="2215"/>
      <c r="Q42" s="2215"/>
      <c r="R42" s="2215"/>
      <c r="S42" s="2216"/>
      <c r="T42" s="2216"/>
      <c r="U42" s="2216"/>
      <c r="V42" s="2216"/>
      <c r="W42" s="2217"/>
      <c r="X42" s="2174"/>
      <c r="Y42" s="2174"/>
      <c r="Z42" s="2174"/>
      <c r="AA42" s="2174"/>
      <c r="AB42" s="2174"/>
      <c r="AC42" s="2174"/>
      <c r="AD42" s="2174"/>
      <c r="AE42" s="2174"/>
      <c r="AF42" s="2174"/>
      <c r="AG42" s="2174"/>
      <c r="AH42" s="2174"/>
      <c r="AI42" s="2174"/>
      <c r="AJ42" s="2174"/>
      <c r="AK42" s="2174"/>
      <c r="AL42" s="2174"/>
      <c r="AM42" s="2174"/>
      <c r="AN42" s="2174"/>
      <c r="AO42" s="2174"/>
      <c r="AP42" s="2174"/>
      <c r="AQ42" s="2174"/>
    </row>
    <row s="39711" customFormat="1" customHeight="1" ht="17.25" hidden="1">
      <c r="A43" s="1233"/>
      <c r="C43" s="1121"/>
      <c r="D43" s="2990">
        <v>7</v>
      </c>
      <c r="E43" s="2993" t="s">
        <v>183</v>
      </c>
      <c r="F43" s="2971" t="s">
        <v>52</v>
      </c>
      <c r="G43" s="2993"/>
      <c r="H43" s="2974"/>
      <c r="I43" s="2976"/>
      <c r="J43" s="2978"/>
      <c r="K43" s="2963"/>
      <c r="L43" s="2963"/>
      <c r="M43" s="2963"/>
      <c r="N43" s="2965"/>
      <c r="O43" s="2963"/>
      <c r="P43" s="2963"/>
      <c r="Q43" s="2963"/>
      <c r="R43" s="2968"/>
      <c r="S43" s="2963"/>
      <c r="T43" s="2335"/>
      <c r="U43" s="2335"/>
      <c r="V43" s="2334"/>
      <c r="W43" s="2211"/>
      <c r="X43" s="2182"/>
      <c r="Y43" s="2182"/>
      <c r="Z43" s="2182"/>
      <c r="AA43" s="2182"/>
      <c r="AB43" s="2182"/>
      <c r="AC43" s="2182" t="s">
        <v>184</v>
      </c>
      <c r="AD43" s="2182" t="s">
        <v>185</v>
      </c>
      <c r="AE43" s="2182" t="s">
        <v>186</v>
      </c>
      <c r="AF43" s="2182" t="s">
        <v>187</v>
      </c>
      <c r="AG43" s="2182" t="s">
        <v>188</v>
      </c>
      <c r="AH43" s="2182" t="str">
        <f>IF($E$43=0,"",$E$43)</f>
        <v>Плата за услуги по поддержанию резервной тепловой мощности при отсутствии потребления тепловой энергии</v>
      </c>
      <c r="AI43" s="2182" t="str">
        <f>IF($G$43=0,"",$G$43)</f>
        <v/>
      </c>
      <c r="AJ43" s="2182" t="str">
        <f>IF($J$43=0,"",$J$43)</f>
        <v/>
      </c>
      <c r="AK43" s="2182" t="str">
        <f>IF($K$43="нет","без дифференциации",IF($N$43=0,"",$N$43))</f>
        <v/>
      </c>
      <c r="AL43" s="2182" t="str">
        <f>IF($O$43="нет","без дифференциации",IF($R$43=0,"",$R$43))</f>
        <v/>
      </c>
      <c r="AM43" s="2182" t="str">
        <f>IF($S$43="нет","без дифференциации",IF($V$43=0,"",$V$43))</f>
        <v/>
      </c>
      <c r="AN43" s="2687">
        <f>$I$43</f>
        <v>0</v>
      </c>
      <c r="AO43" s="2182" t="str">
        <f>$I$43&amp;"."&amp;$M$43</f>
        <v>.</v>
      </c>
      <c r="AP43" s="2174" t="str">
        <f>$I$43&amp;"."&amp;$M$43&amp;"."&amp;$Q$43</f>
        <v>..</v>
      </c>
      <c r="AQ43" s="2174" t="str">
        <f>$I$43&amp;"."&amp;$M$43&amp;"."&amp;$Q$43&amp;"."&amp;$U$43</f>
        <v>...</v>
      </c>
    </row>
    <row s="39711" customFormat="1" customHeight="1" ht="17.25" hidden="1">
      <c r="A44" s="1233"/>
      <c r="C44" s="1232"/>
      <c r="D44" s="2991"/>
      <c r="E44" s="2994"/>
      <c r="F44" s="2972"/>
      <c r="G44" s="2994"/>
      <c r="H44" s="2975"/>
      <c r="I44" s="2977"/>
      <c r="J44" s="2979"/>
      <c r="K44" s="2964"/>
      <c r="L44" s="2964"/>
      <c r="M44" s="2964"/>
      <c r="N44" s="2966"/>
      <c r="O44" s="2964"/>
      <c r="P44" s="2964"/>
      <c r="Q44" s="2964"/>
      <c r="R44" s="2967"/>
      <c r="S44" s="2964"/>
      <c r="T44" s="2212"/>
      <c r="U44" s="2212"/>
      <c r="V44" s="2212"/>
      <c r="W44" s="2213"/>
      <c r="X44" s="2174"/>
      <c r="Y44" s="2174"/>
      <c r="Z44" s="2174"/>
      <c r="AA44" s="2174"/>
      <c r="AB44" s="2174"/>
      <c r="AC44" s="2174"/>
      <c r="AD44" s="2174"/>
      <c r="AE44" s="2174"/>
      <c r="AF44" s="2174"/>
      <c r="AG44" s="2174"/>
      <c r="AH44" s="2174"/>
      <c r="AI44" s="2174"/>
      <c r="AJ44" s="2174"/>
      <c r="AK44" s="2174"/>
      <c r="AL44" s="2174"/>
      <c r="AM44" s="2174"/>
      <c r="AN44" s="2174"/>
      <c r="AO44" s="2174"/>
      <c r="AP44" s="2174"/>
      <c r="AQ44" s="2174"/>
    </row>
    <row s="39711" customFormat="1" customHeight="1" ht="17.25" hidden="1">
      <c r="A45" s="1233"/>
      <c r="C45" s="1232"/>
      <c r="D45" s="2991"/>
      <c r="E45" s="2994"/>
      <c r="F45" s="2972"/>
      <c r="G45" s="2994"/>
      <c r="H45" s="2975"/>
      <c r="I45" s="2977"/>
      <c r="J45" s="2980"/>
      <c r="K45" s="2964"/>
      <c r="L45" s="2964"/>
      <c r="M45" s="2964"/>
      <c r="N45" s="2967"/>
      <c r="O45" s="2964"/>
      <c r="P45" s="2333"/>
      <c r="Q45" s="2212"/>
      <c r="R45" s="2212"/>
      <c r="S45" s="1241"/>
      <c r="T45" s="1241"/>
      <c r="U45" s="1241"/>
      <c r="V45" s="1241"/>
      <c r="W45" s="2213"/>
      <c r="X45" s="2174"/>
      <c r="Y45" s="2174"/>
      <c r="Z45" s="2174"/>
      <c r="AA45" s="2174"/>
      <c r="AB45" s="2174"/>
      <c r="AC45" s="2174"/>
      <c r="AD45" s="2174"/>
      <c r="AE45" s="2174"/>
      <c r="AF45" s="2174"/>
      <c r="AG45" s="2174"/>
      <c r="AH45" s="2174"/>
      <c r="AI45" s="2174"/>
      <c r="AJ45" s="2174"/>
      <c r="AK45" s="2174"/>
      <c r="AL45" s="2174"/>
      <c r="AM45" s="2174"/>
      <c r="AN45" s="2174"/>
      <c r="AO45" s="2174"/>
      <c r="AP45" s="2174"/>
      <c r="AQ45" s="2174"/>
    </row>
    <row s="39710" customFormat="1" customHeight="1" ht="17.25" hidden="1">
      <c r="A46" s="1233"/>
      <c r="C46" s="1121"/>
      <c r="D46" s="2991"/>
      <c r="E46" s="2994"/>
      <c r="F46" s="2972"/>
      <c r="G46" s="2994"/>
      <c r="H46" s="2975"/>
      <c r="I46" s="2977"/>
      <c r="J46" s="2980"/>
      <c r="K46" s="2964"/>
      <c r="L46" s="2212"/>
      <c r="M46" s="2212"/>
      <c r="N46" s="2212"/>
      <c r="O46" s="2212"/>
      <c r="P46" s="2212"/>
      <c r="Q46" s="2212"/>
      <c r="R46" s="2212"/>
      <c r="S46" s="1241"/>
      <c r="T46" s="1241"/>
      <c r="U46" s="1241"/>
      <c r="V46" s="1241"/>
      <c r="W46" s="2213"/>
      <c r="Y46" s="2182"/>
      <c r="Z46" s="2182"/>
      <c r="AA46" s="2182"/>
      <c r="AB46" s="2182"/>
      <c r="AC46" s="2182"/>
      <c r="AD46" s="2182"/>
      <c r="AE46" s="2182"/>
      <c r="AF46" s="2182"/>
      <c r="AG46" s="2182"/>
      <c r="AH46" s="2182"/>
      <c r="AI46" s="2182"/>
      <c r="AJ46" s="2182"/>
      <c r="AK46" s="2182"/>
      <c r="AL46" s="2182"/>
      <c r="AM46" s="2182"/>
      <c r="AN46" s="2182"/>
      <c r="AO46" s="2182"/>
      <c r="AP46" s="2182"/>
      <c r="AQ46" s="2182"/>
    </row>
    <row s="39711" customFormat="1" customHeight="1" ht="17.25" hidden="1">
      <c r="A47" s="1233"/>
      <c r="C47" s="1232"/>
      <c r="D47" s="2992"/>
      <c r="E47" s="2995"/>
      <c r="F47" s="2973"/>
      <c r="G47" s="2995"/>
      <c r="H47" s="2214"/>
      <c r="I47" s="2215"/>
      <c r="J47" s="2215"/>
      <c r="K47" s="2215"/>
      <c r="L47" s="2215"/>
      <c r="M47" s="2215"/>
      <c r="N47" s="2215"/>
      <c r="O47" s="2215"/>
      <c r="P47" s="2215"/>
      <c r="Q47" s="2215"/>
      <c r="R47" s="2215"/>
      <c r="S47" s="2216"/>
      <c r="T47" s="2216"/>
      <c r="U47" s="2216"/>
      <c r="V47" s="2216"/>
      <c r="W47" s="2217"/>
      <c r="X47" s="2174"/>
      <c r="Y47" s="2174"/>
      <c r="Z47" s="2174"/>
      <c r="AA47" s="2174"/>
      <c r="AB47" s="2174"/>
      <c r="AC47" s="2174"/>
      <c r="AD47" s="2174"/>
      <c r="AE47" s="2174"/>
      <c r="AF47" s="2174"/>
      <c r="AG47" s="2174"/>
      <c r="AH47" s="2174"/>
      <c r="AI47" s="2174"/>
      <c r="AJ47" s="2174"/>
      <c r="AK47" s="2174"/>
      <c r="AL47" s="2174"/>
      <c r="AM47" s="2174"/>
      <c r="AN47" s="2174"/>
      <c r="AO47" s="2174"/>
      <c r="AP47" s="2174"/>
      <c r="AQ47" s="2174"/>
    </row>
    <row s="39711" customFormat="1" customHeight="1" ht="17.25" hidden="1">
      <c r="A48" s="1233"/>
      <c r="C48" s="1121"/>
      <c r="D48" s="2961">
        <v>8</v>
      </c>
      <c r="E48" s="2969" t="s">
        <v>189</v>
      </c>
      <c r="F48" s="2971" t="s">
        <v>52</v>
      </c>
      <c r="G48" s="2969"/>
      <c r="H48" s="2974"/>
      <c r="I48" s="2976"/>
      <c r="J48" s="2978"/>
      <c r="K48" s="2963"/>
      <c r="L48" s="2963"/>
      <c r="M48" s="2963"/>
      <c r="N48" s="2965"/>
      <c r="O48" s="2963"/>
      <c r="P48" s="2963"/>
      <c r="Q48" s="2963"/>
      <c r="R48" s="2968"/>
      <c r="S48" s="2963"/>
      <c r="T48" s="2385"/>
      <c r="U48" s="2385"/>
      <c r="V48" s="2387"/>
      <c r="W48" s="2211"/>
      <c r="X48" s="2182"/>
      <c r="Y48" s="2182"/>
      <c r="Z48" s="2182"/>
      <c r="AA48" s="2182"/>
      <c r="AB48" s="2182"/>
      <c r="AC48" s="2182" t="s">
        <v>190</v>
      </c>
      <c r="AD48" s="2182" t="s">
        <v>191</v>
      </c>
      <c r="AE48" s="2182" t="s">
        <v>192</v>
      </c>
      <c r="AF48" s="2182" t="s">
        <v>193</v>
      </c>
      <c r="AG48" s="2182" t="s">
        <v>194</v>
      </c>
      <c r="AH48" s="2182" t="str">
        <f>IF($E$48=0,"",$E$48)</f>
        <v>Плата за подключение (технологическое присоединение) к системе теплоснабжения</v>
      </c>
      <c r="AI48" s="2182" t="str">
        <f>IF($G$48=0,"",$G$48)</f>
        <v/>
      </c>
      <c r="AJ48" s="2182" t="str">
        <f>IF($J$48=0,"",$J$48)</f>
        <v/>
      </c>
      <c r="AK48" s="2182" t="str">
        <f>IF($K$48="нет","без дифференциации",IF($N$48=0,"",$N$48))</f>
        <v/>
      </c>
      <c r="AL48" s="2182" t="str">
        <f>IF($O$48="нет","без дифференциации",IF($R$48=0,"",$R$48))</f>
        <v/>
      </c>
      <c r="AM48" s="2182" t="str">
        <f>IF($S$48="нет","без дифференциации",IF($V$48=0,"",$V$48))</f>
        <v/>
      </c>
      <c r="AN48" s="2687">
        <f>$I$48</f>
        <v>0</v>
      </c>
      <c r="AO48" s="2182" t="str">
        <f>$I$48&amp;"."&amp;$M$48</f>
        <v>.</v>
      </c>
      <c r="AP48" s="2174" t="str">
        <f>$I$48&amp;"."&amp;$M$48&amp;"."&amp;$Q$48</f>
        <v>..</v>
      </c>
      <c r="AQ48" s="2174" t="str">
        <f>$I$48&amp;"."&amp;$M$48&amp;"."&amp;$Q$48&amp;"."&amp;$U$48</f>
        <v>...</v>
      </c>
    </row>
    <row s="39711" customFormat="1" customHeight="1" ht="17.25" hidden="1">
      <c r="A49" s="1233"/>
      <c r="C49" s="1232"/>
      <c r="D49" s="2961"/>
      <c r="E49" s="2969"/>
      <c r="F49" s="2972"/>
      <c r="G49" s="2969"/>
      <c r="H49" s="2975"/>
      <c r="I49" s="2977"/>
      <c r="J49" s="2979"/>
      <c r="K49" s="2964"/>
      <c r="L49" s="2964"/>
      <c r="M49" s="2964"/>
      <c r="N49" s="2966"/>
      <c r="O49" s="2964"/>
      <c r="P49" s="2964"/>
      <c r="Q49" s="2964"/>
      <c r="R49" s="2967"/>
      <c r="S49" s="2964"/>
      <c r="T49" s="2212"/>
      <c r="U49" s="2212"/>
      <c r="V49" s="2212"/>
      <c r="W49" s="2213"/>
      <c r="X49" s="2174"/>
      <c r="Y49" s="2174"/>
      <c r="Z49" s="2174"/>
      <c r="AA49" s="2174"/>
      <c r="AB49" s="2174"/>
      <c r="AC49" s="2174"/>
      <c r="AD49" s="2174"/>
      <c r="AE49" s="2174"/>
      <c r="AF49" s="2174"/>
      <c r="AG49" s="2174"/>
      <c r="AH49" s="2174"/>
      <c r="AI49" s="2174"/>
      <c r="AJ49" s="2174"/>
      <c r="AK49" s="2174"/>
      <c r="AL49" s="2174"/>
      <c r="AM49" s="2174"/>
      <c r="AN49" s="2174"/>
      <c r="AO49" s="2174"/>
      <c r="AP49" s="2174"/>
      <c r="AQ49" s="2174"/>
    </row>
    <row s="39711" customFormat="1" customHeight="1" ht="17.25" hidden="1">
      <c r="A50" s="1233"/>
      <c r="C50" s="1232"/>
      <c r="D50" s="2962"/>
      <c r="E50" s="2970"/>
      <c r="F50" s="2972"/>
      <c r="G50" s="2970"/>
      <c r="H50" s="2975"/>
      <c r="I50" s="2977"/>
      <c r="J50" s="2980"/>
      <c r="K50" s="2964"/>
      <c r="L50" s="2964"/>
      <c r="M50" s="2964"/>
      <c r="N50" s="2967"/>
      <c r="O50" s="2964"/>
      <c r="P50" s="2386"/>
      <c r="Q50" s="2212"/>
      <c r="R50" s="2212"/>
      <c r="S50" s="1241"/>
      <c r="T50" s="1241"/>
      <c r="U50" s="1241"/>
      <c r="V50" s="1241"/>
      <c r="W50" s="2213"/>
      <c r="X50" s="2174"/>
      <c r="Y50" s="2174"/>
      <c r="Z50" s="2174"/>
      <c r="AA50" s="2174"/>
      <c r="AB50" s="2174"/>
      <c r="AC50" s="2174"/>
      <c r="AD50" s="2174"/>
      <c r="AE50" s="2174"/>
      <c r="AF50" s="2174"/>
      <c r="AG50" s="2174"/>
      <c r="AH50" s="2174"/>
      <c r="AI50" s="2174"/>
      <c r="AJ50" s="2174"/>
      <c r="AK50" s="2174"/>
      <c r="AL50" s="2174"/>
      <c r="AM50" s="2174"/>
      <c r="AN50" s="2174"/>
      <c r="AO50" s="2174"/>
      <c r="AP50" s="2174"/>
      <c r="AQ50" s="2174"/>
    </row>
    <row s="39710" customFormat="1" customHeight="1" ht="17.25" hidden="1">
      <c r="A51" s="1233"/>
      <c r="C51" s="1121"/>
      <c r="D51" s="2962"/>
      <c r="E51" s="2970"/>
      <c r="F51" s="2972"/>
      <c r="G51" s="2970"/>
      <c r="H51" s="2975"/>
      <c r="I51" s="2977"/>
      <c r="J51" s="2980"/>
      <c r="K51" s="2964"/>
      <c r="L51" s="2212"/>
      <c r="M51" s="2212"/>
      <c r="N51" s="2212"/>
      <c r="O51" s="2212"/>
      <c r="P51" s="2212"/>
      <c r="Q51" s="2212"/>
      <c r="R51" s="2212"/>
      <c r="S51" s="1241"/>
      <c r="T51" s="1241"/>
      <c r="U51" s="1241"/>
      <c r="V51" s="1241"/>
      <c r="W51" s="2213"/>
      <c r="Y51" s="2182"/>
      <c r="Z51" s="2182"/>
      <c r="AA51" s="2182"/>
      <c r="AB51" s="2182"/>
      <c r="AC51" s="2182"/>
      <c r="AD51" s="2182"/>
      <c r="AE51" s="2182"/>
      <c r="AF51" s="2182"/>
      <c r="AG51" s="2182"/>
      <c r="AH51" s="2182"/>
      <c r="AI51" s="2182"/>
      <c r="AJ51" s="2182"/>
      <c r="AK51" s="2182"/>
      <c r="AL51" s="2182"/>
      <c r="AM51" s="2182"/>
      <c r="AN51" s="2182"/>
      <c r="AO51" s="2182"/>
      <c r="AP51" s="2182"/>
      <c r="AQ51" s="2182"/>
    </row>
    <row s="39711" customFormat="1" customHeight="1" ht="17.25" hidden="1">
      <c r="A52" s="1233"/>
      <c r="C52" s="1232"/>
      <c r="D52" s="2962"/>
      <c r="E52" s="2970"/>
      <c r="F52" s="2973"/>
      <c r="G52" s="2970"/>
      <c r="H52" s="2214"/>
      <c r="I52" s="2215"/>
      <c r="J52" s="2215"/>
      <c r="K52" s="2215"/>
      <c r="L52" s="2215"/>
      <c r="M52" s="2215"/>
      <c r="N52" s="2215"/>
      <c r="O52" s="2215"/>
      <c r="P52" s="2215"/>
      <c r="Q52" s="2215"/>
      <c r="R52" s="2215"/>
      <c r="S52" s="2216"/>
      <c r="T52" s="2216"/>
      <c r="U52" s="2216"/>
      <c r="V52" s="2216"/>
      <c r="W52" s="2217"/>
      <c r="X52" s="2174"/>
      <c r="Y52" s="2174"/>
      <c r="Z52" s="2174"/>
      <c r="AA52" s="2174"/>
      <c r="AB52" s="2174"/>
      <c r="AC52" s="2174"/>
      <c r="AD52" s="2174"/>
      <c r="AE52" s="2174"/>
      <c r="AF52" s="2174"/>
      <c r="AG52" s="2174"/>
      <c r="AH52" s="2174"/>
      <c r="AI52" s="2174"/>
      <c r="AJ52" s="2174"/>
      <c r="AK52" s="2174"/>
      <c r="AL52" s="2174"/>
      <c r="AM52" s="2174"/>
      <c r="AN52" s="2174"/>
      <c r="AO52" s="2174"/>
      <c r="AP52" s="2174"/>
      <c r="AQ52" s="2174"/>
    </row>
    <row s="39721" customFormat="1" customHeight="1" ht="17.25" hidden="1">
      <c r="A53" s="1233"/>
      <c r="C53" s="1121"/>
      <c r="D53" s="2961">
        <v>9</v>
      </c>
      <c r="E53" s="2969" t="s">
        <v>195</v>
      </c>
      <c r="F53" s="2971" t="s">
        <v>52</v>
      </c>
      <c r="G53" s="2969"/>
      <c r="H53" s="2974"/>
      <c r="I53" s="2976"/>
      <c r="J53" s="2978"/>
      <c r="K53" s="2963"/>
      <c r="L53" s="2963"/>
      <c r="M53" s="2963"/>
      <c r="N53" s="2965"/>
      <c r="O53" s="2963"/>
      <c r="P53" s="2963"/>
      <c r="Q53" s="2963"/>
      <c r="R53" s="2968"/>
      <c r="S53" s="2963"/>
      <c r="T53" s="2847"/>
      <c r="U53" s="2847"/>
      <c r="V53" s="2849"/>
      <c r="W53" s="2211"/>
      <c r="X53" s="2182"/>
      <c r="Y53" s="2182"/>
      <c r="Z53" s="2182"/>
      <c r="AA53" s="2182"/>
      <c r="AB53" s="2182"/>
      <c r="AC53" s="2182" t="s">
        <v>196</v>
      </c>
      <c r="AD53" s="2182" t="s">
        <v>197</v>
      </c>
      <c r="AE53" s="2182" t="s">
        <v>198</v>
      </c>
      <c r="AF53" s="2182" t="s">
        <v>199</v>
      </c>
      <c r="AG53" s="2182" t="s">
        <v>200</v>
      </c>
      <c r="AH53" s="2182" t="str">
        <f>IF($E$53=0,"",$E$53)</f>
        <v>Плата за подключение к системе теплоснабжения (индивидуальная)</v>
      </c>
      <c r="AI53" s="2182" t="str">
        <f>IF($G$53=0,"",$G$53)</f>
        <v/>
      </c>
      <c r="AJ53" s="2182" t="str">
        <f>IF($J$53=0,"",$J$53)</f>
        <v/>
      </c>
      <c r="AK53" s="2182" t="str">
        <f>IF($K$53="нет","без дифференциации",IF($N$53=0,"",$N$53))</f>
        <v/>
      </c>
      <c r="AL53" s="2182" t="str">
        <f>IF($O$53="нет","без дифференциации",IF($R$53=0,"",$R$53))</f>
        <v/>
      </c>
      <c r="AM53" s="2182" t="str">
        <f>IF($S$53="нет","без дифференциации",IF($V$53=0,"",$V$53))</f>
        <v/>
      </c>
      <c r="AN53" s="2687">
        <f>$I$53</f>
        <v>0</v>
      </c>
      <c r="AO53" s="2182" t="str">
        <f>$I$53&amp;"."&amp;$M$53</f>
        <v>.</v>
      </c>
      <c r="AP53" s="2181" t="str">
        <f>$I$53&amp;"."&amp;$M$53&amp;"."&amp;$Q$53</f>
        <v>..</v>
      </c>
      <c r="AQ53" s="2181" t="str">
        <f>$I$53&amp;"."&amp;$M$53&amp;"."&amp;$Q$53&amp;"."&amp;$U$53</f>
        <v>...</v>
      </c>
    </row>
    <row s="39721" customFormat="1" customHeight="1" ht="17.25" hidden="1">
      <c r="A54" s="1233"/>
      <c r="C54" s="1232"/>
      <c r="D54" s="2961"/>
      <c r="E54" s="2969"/>
      <c r="F54" s="2972"/>
      <c r="G54" s="2969"/>
      <c r="H54" s="2975"/>
      <c r="I54" s="2977"/>
      <c r="J54" s="2979"/>
      <c r="K54" s="2964"/>
      <c r="L54" s="2964"/>
      <c r="M54" s="2964"/>
      <c r="N54" s="2966"/>
      <c r="O54" s="2964"/>
      <c r="P54" s="2964"/>
      <c r="Q54" s="2964"/>
      <c r="R54" s="2967"/>
      <c r="S54" s="2964"/>
      <c r="T54" s="2850"/>
      <c r="U54" s="2850"/>
      <c r="V54" s="2850"/>
      <c r="W54" s="2851"/>
      <c r="X54" s="2181"/>
      <c r="Y54" s="2181"/>
      <c r="Z54" s="2181"/>
      <c r="AA54" s="2181"/>
      <c r="AB54" s="2181"/>
      <c r="AC54" s="2181"/>
      <c r="AD54" s="2181"/>
      <c r="AE54" s="2181"/>
      <c r="AF54" s="2181"/>
      <c r="AG54" s="2181"/>
      <c r="AH54" s="2181"/>
      <c r="AI54" s="2181"/>
      <c r="AJ54" s="2181"/>
      <c r="AK54" s="2181"/>
      <c r="AL54" s="2181"/>
      <c r="AM54" s="2181"/>
      <c r="AN54" s="2181"/>
      <c r="AO54" s="2181"/>
      <c r="AP54" s="2181"/>
      <c r="AQ54" s="2181"/>
    </row>
    <row s="39721" customFormat="1" customHeight="1" ht="17.25" hidden="1">
      <c r="A55" s="1233"/>
      <c r="C55" s="1232"/>
      <c r="D55" s="2962"/>
      <c r="E55" s="2970"/>
      <c r="F55" s="2972"/>
      <c r="G55" s="2970"/>
      <c r="H55" s="2975"/>
      <c r="I55" s="2977"/>
      <c r="J55" s="2980"/>
      <c r="K55" s="2964"/>
      <c r="L55" s="2964"/>
      <c r="M55" s="2964"/>
      <c r="N55" s="2967"/>
      <c r="O55" s="2964"/>
      <c r="P55" s="2848"/>
      <c r="Q55" s="2850"/>
      <c r="R55" s="2850"/>
      <c r="S55" s="1241"/>
      <c r="T55" s="1241"/>
      <c r="U55" s="1241"/>
      <c r="V55" s="1241"/>
      <c r="W55" s="2851"/>
      <c r="X55" s="2181"/>
      <c r="Y55" s="2181"/>
      <c r="Z55" s="2181"/>
      <c r="AA55" s="2181"/>
      <c r="AB55" s="2181"/>
      <c r="AC55" s="2181"/>
      <c r="AD55" s="2181"/>
      <c r="AE55" s="2181"/>
      <c r="AF55" s="2181"/>
      <c r="AG55" s="2181"/>
      <c r="AH55" s="2181"/>
      <c r="AI55" s="2181"/>
      <c r="AJ55" s="2181"/>
      <c r="AK55" s="2181"/>
      <c r="AL55" s="2181"/>
      <c r="AM55" s="2181"/>
      <c r="AN55" s="2181"/>
      <c r="AO55" s="2181"/>
      <c r="AP55" s="2181"/>
      <c r="AQ55" s="2181"/>
    </row>
    <row s="39721" customFormat="1" customHeight="1" ht="17.25" hidden="1">
      <c r="A56" s="1233"/>
      <c r="C56" s="1121"/>
      <c r="D56" s="2962"/>
      <c r="E56" s="2970"/>
      <c r="F56" s="2972"/>
      <c r="G56" s="2970"/>
      <c r="H56" s="2975"/>
      <c r="I56" s="2977"/>
      <c r="J56" s="2980"/>
      <c r="K56" s="2964"/>
      <c r="L56" s="2850"/>
      <c r="M56" s="2850"/>
      <c r="N56" s="2850"/>
      <c r="O56" s="2850"/>
      <c r="P56" s="2850"/>
      <c r="Q56" s="2850"/>
      <c r="R56" s="2850"/>
      <c r="S56" s="1241"/>
      <c r="T56" s="1241"/>
      <c r="U56" s="1241"/>
      <c r="V56" s="1241"/>
      <c r="W56" s="2851"/>
      <c r="Y56" s="2182"/>
      <c r="Z56" s="2182"/>
      <c r="AA56" s="2182"/>
      <c r="AB56" s="2182"/>
      <c r="AC56" s="2182"/>
      <c r="AD56" s="2182"/>
      <c r="AE56" s="2182"/>
      <c r="AF56" s="2182"/>
      <c r="AG56" s="2182"/>
      <c r="AH56" s="2182"/>
      <c r="AI56" s="2182"/>
      <c r="AJ56" s="2182"/>
      <c r="AK56" s="2182"/>
      <c r="AL56" s="2182"/>
      <c r="AM56" s="2182"/>
      <c r="AN56" s="2182"/>
      <c r="AO56" s="2182"/>
      <c r="AP56" s="2182"/>
      <c r="AQ56" s="2182"/>
    </row>
    <row s="39721" customFormat="1" customHeight="1" ht="17.25" hidden="1">
      <c r="A57" s="1233"/>
      <c r="C57" s="1232"/>
      <c r="D57" s="2962"/>
      <c r="E57" s="2970"/>
      <c r="F57" s="2973"/>
      <c r="G57" s="2970"/>
      <c r="H57" s="2214"/>
      <c r="I57" s="2852"/>
      <c r="J57" s="2852"/>
      <c r="K57" s="2852"/>
      <c r="L57" s="2852"/>
      <c r="M57" s="2852"/>
      <c r="N57" s="2852"/>
      <c r="O57" s="2852"/>
      <c r="P57" s="2852"/>
      <c r="Q57" s="2852"/>
      <c r="R57" s="2852"/>
      <c r="S57" s="2216"/>
      <c r="T57" s="2216"/>
      <c r="U57" s="2216"/>
      <c r="V57" s="2216"/>
      <c r="W57" s="2853"/>
      <c r="X57" s="2181"/>
      <c r="Y57" s="2181"/>
      <c r="Z57" s="2181"/>
      <c r="AA57" s="2181"/>
      <c r="AB57" s="2181"/>
      <c r="AC57" s="2181"/>
      <c r="AD57" s="2181"/>
      <c r="AE57" s="2181"/>
      <c r="AF57" s="2181"/>
      <c r="AG57" s="2181"/>
      <c r="AH57" s="2181"/>
      <c r="AI57" s="2181"/>
      <c r="AJ57" s="2181"/>
      <c r="AK57" s="2181"/>
      <c r="AL57" s="2181"/>
      <c r="AM57" s="2181"/>
      <c r="AN57" s="2181"/>
      <c r="AO57" s="2181"/>
      <c r="AP57" s="2181"/>
      <c r="AQ57" s="2181"/>
    </row>
    <row s="39721" customFormat="1" customHeight="1" ht="17.25" hidden="1">
      <c r="A58" s="1233"/>
      <c r="C58" s="1121"/>
      <c r="D58" s="2961">
        <v>10</v>
      </c>
      <c r="E58" s="2969" t="s">
        <v>201</v>
      </c>
      <c r="F58" s="2971" t="s">
        <v>52</v>
      </c>
      <c r="G58" s="2969"/>
      <c r="H58" s="2974"/>
      <c r="I58" s="2976"/>
      <c r="J58" s="2978"/>
      <c r="K58" s="2963"/>
      <c r="L58" s="2963"/>
      <c r="M58" s="2963"/>
      <c r="N58" s="2965"/>
      <c r="O58" s="2963"/>
      <c r="P58" s="2963"/>
      <c r="Q58" s="2963"/>
      <c r="R58" s="2968"/>
      <c r="S58" s="2963"/>
      <c r="T58" s="2847"/>
      <c r="U58" s="2847"/>
      <c r="V58" s="2849"/>
      <c r="W58" s="2211"/>
      <c r="X58" s="2182"/>
      <c r="Y58" s="2182"/>
      <c r="Z58" s="2182"/>
      <c r="AA58" s="2182"/>
      <c r="AB58" s="2182"/>
      <c r="AC58" s="2182" t="s">
        <v>202</v>
      </c>
      <c r="AD58" s="2182" t="s">
        <v>203</v>
      </c>
      <c r="AE58" s="2182" t="s">
        <v>204</v>
      </c>
      <c r="AF58" s="2182" t="s">
        <v>205</v>
      </c>
      <c r="AG58" s="2182" t="s">
        <v>206</v>
      </c>
      <c r="AH58" s="2182" t="str">
        <f>IF($E$58=0,"",$E$58)</f>
        <v>Предельный уровень цены на тепловую энергию (мощность), поставляемую теплоснабжающими организациями потребителям</v>
      </c>
      <c r="AI58" s="2182" t="str">
        <f>IF($G$58=0,"",$G$58)</f>
        <v/>
      </c>
      <c r="AJ58" s="2182" t="str">
        <f>IF($J$58=0,"",$J$58)</f>
        <v/>
      </c>
      <c r="AK58" s="2182" t="str">
        <f>IF($K$58="нет","без дифференциации",IF($N$58=0,"",$N$58))</f>
        <v/>
      </c>
      <c r="AL58" s="2182" t="str">
        <f>IF($O$58="нет","без дифференциации",IF($R$58=0,"",$R$58))</f>
        <v/>
      </c>
      <c r="AM58" s="2182" t="str">
        <f>IF($S$58="нет","без дифференциации",IF($V$58=0,"",$V$58))</f>
        <v/>
      </c>
      <c r="AN58" s="2687">
        <f>$I$58</f>
        <v>0</v>
      </c>
      <c r="AO58" s="2182" t="str">
        <f>$I$58&amp;"."&amp;$M$58</f>
        <v>.</v>
      </c>
      <c r="AP58" s="2181" t="str">
        <f>$I$58&amp;"."&amp;$M$58&amp;"."&amp;$Q$58</f>
        <v>..</v>
      </c>
      <c r="AQ58" s="2181" t="str">
        <f>$I$58&amp;"."&amp;$M$58&amp;"."&amp;$Q$58&amp;"."&amp;$U$58</f>
        <v>...</v>
      </c>
    </row>
    <row s="39721" customFormat="1" customHeight="1" ht="17.25" hidden="1">
      <c r="A59" s="1233"/>
      <c r="C59" s="1232"/>
      <c r="D59" s="2961"/>
      <c r="E59" s="2969"/>
      <c r="F59" s="2972"/>
      <c r="G59" s="2969"/>
      <c r="H59" s="2975"/>
      <c r="I59" s="2977"/>
      <c r="J59" s="2979"/>
      <c r="K59" s="2964"/>
      <c r="L59" s="2964"/>
      <c r="M59" s="2964"/>
      <c r="N59" s="2966"/>
      <c r="O59" s="2964"/>
      <c r="P59" s="2964"/>
      <c r="Q59" s="2964"/>
      <c r="R59" s="2967"/>
      <c r="S59" s="2964"/>
      <c r="T59" s="2850"/>
      <c r="U59" s="2850"/>
      <c r="V59" s="2850"/>
      <c r="W59" s="2851"/>
      <c r="X59" s="2181"/>
      <c r="Y59" s="2181"/>
      <c r="Z59" s="2181"/>
      <c r="AA59" s="2181"/>
      <c r="AB59" s="2181"/>
      <c r="AC59" s="2181"/>
      <c r="AD59" s="2181"/>
      <c r="AE59" s="2181"/>
      <c r="AF59" s="2181"/>
      <c r="AG59" s="2181"/>
      <c r="AH59" s="2181"/>
      <c r="AI59" s="2181"/>
      <c r="AJ59" s="2181"/>
      <c r="AK59" s="2181"/>
      <c r="AL59" s="2181"/>
      <c r="AM59" s="2181"/>
      <c r="AN59" s="2181"/>
      <c r="AO59" s="2181"/>
      <c r="AP59" s="2181"/>
      <c r="AQ59" s="2181"/>
    </row>
    <row s="39721" customFormat="1" customHeight="1" ht="17.25" hidden="1">
      <c r="A60" s="1233"/>
      <c r="C60" s="1232"/>
      <c r="D60" s="2962"/>
      <c r="E60" s="2970"/>
      <c r="F60" s="2972"/>
      <c r="G60" s="2970"/>
      <c r="H60" s="2975"/>
      <c r="I60" s="2977"/>
      <c r="J60" s="2980"/>
      <c r="K60" s="2964"/>
      <c r="L60" s="2964"/>
      <c r="M60" s="2964"/>
      <c r="N60" s="2967"/>
      <c r="O60" s="2964"/>
      <c r="P60" s="2848"/>
      <c r="Q60" s="2850"/>
      <c r="R60" s="2850"/>
      <c r="S60" s="1241"/>
      <c r="T60" s="1241"/>
      <c r="U60" s="1241"/>
      <c r="V60" s="1241"/>
      <c r="W60" s="2851"/>
      <c r="X60" s="2181"/>
      <c r="Y60" s="2181"/>
      <c r="Z60" s="2181"/>
      <c r="AA60" s="2181"/>
      <c r="AB60" s="2181"/>
      <c r="AC60" s="2181"/>
      <c r="AD60" s="2181"/>
      <c r="AE60" s="2181"/>
      <c r="AF60" s="2181"/>
      <c r="AG60" s="2181"/>
      <c r="AH60" s="2181"/>
      <c r="AI60" s="2181"/>
      <c r="AJ60" s="2181"/>
      <c r="AK60" s="2181"/>
      <c r="AL60" s="2181"/>
      <c r="AM60" s="2181"/>
      <c r="AN60" s="2181"/>
      <c r="AO60" s="2181"/>
      <c r="AP60" s="2181"/>
      <c r="AQ60" s="2181"/>
    </row>
    <row s="39721" customFormat="1" customHeight="1" ht="17.25" hidden="1">
      <c r="A61" s="1233"/>
      <c r="C61" s="1121"/>
      <c r="D61" s="2962"/>
      <c r="E61" s="2970"/>
      <c r="F61" s="2972"/>
      <c r="G61" s="2970"/>
      <c r="H61" s="2975"/>
      <c r="I61" s="2977"/>
      <c r="J61" s="2980"/>
      <c r="K61" s="2964"/>
      <c r="L61" s="2850"/>
      <c r="M61" s="2850"/>
      <c r="N61" s="2850"/>
      <c r="O61" s="2850"/>
      <c r="P61" s="2850"/>
      <c r="Q61" s="2850"/>
      <c r="R61" s="2850"/>
      <c r="S61" s="1241"/>
      <c r="T61" s="1241"/>
      <c r="U61" s="1241"/>
      <c r="V61" s="1241"/>
      <c r="W61" s="2851"/>
      <c r="Y61" s="2182"/>
      <c r="Z61" s="2182"/>
      <c r="AA61" s="2182"/>
      <c r="AB61" s="2182"/>
      <c r="AC61" s="2182"/>
      <c r="AD61" s="2182"/>
      <c r="AE61" s="2182"/>
      <c r="AF61" s="2182"/>
      <c r="AG61" s="2182"/>
      <c r="AH61" s="2182"/>
      <c r="AI61" s="2182"/>
      <c r="AJ61" s="2182"/>
      <c r="AK61" s="2182"/>
      <c r="AL61" s="2182"/>
      <c r="AM61" s="2182"/>
      <c r="AN61" s="2182"/>
      <c r="AO61" s="2182"/>
      <c r="AP61" s="2182"/>
      <c r="AQ61" s="2182"/>
    </row>
    <row s="39721" customFormat="1" customHeight="1" ht="17.25" hidden="1">
      <c r="A62" s="1233"/>
      <c r="C62" s="1232"/>
      <c r="D62" s="2962"/>
      <c r="E62" s="2970"/>
      <c r="F62" s="2973"/>
      <c r="G62" s="2970"/>
      <c r="H62" s="2214"/>
      <c r="I62" s="2852"/>
      <c r="J62" s="2852"/>
      <c r="K62" s="2852"/>
      <c r="L62" s="2852"/>
      <c r="M62" s="2852"/>
      <c r="N62" s="2852"/>
      <c r="O62" s="2852"/>
      <c r="P62" s="2852"/>
      <c r="Q62" s="2852"/>
      <c r="R62" s="2852"/>
      <c r="S62" s="2216"/>
      <c r="T62" s="2216"/>
      <c r="U62" s="2216"/>
      <c r="V62" s="2216"/>
      <c r="W62" s="2853"/>
      <c r="X62" s="2181"/>
      <c r="Y62" s="2181"/>
      <c r="Z62" s="2181"/>
      <c r="AA62" s="2181"/>
      <c r="AB62" s="2181"/>
      <c r="AC62" s="2181"/>
      <c r="AD62" s="2181"/>
      <c r="AE62" s="2181"/>
      <c r="AF62" s="2181"/>
      <c r="AG62" s="2181"/>
      <c r="AH62" s="2181"/>
      <c r="AI62" s="2181"/>
      <c r="AJ62" s="2181"/>
      <c r="AK62" s="2181"/>
      <c r="AL62" s="2181"/>
      <c r="AM62" s="2181"/>
      <c r="AN62" s="2181"/>
      <c r="AO62" s="2181"/>
      <c r="AP62" s="2181"/>
      <c r="AQ62" s="2181"/>
    </row>
    <row customHeight="1" ht="11.25" hidden="1"/>
    <row customHeight="1" ht="11.25" hidden="1">
      <c r="E64" s="2998" t="s">
        <v>207</v>
      </c>
      <c r="F64" s="2998"/>
      <c r="G64" s="2998"/>
      <c r="H64" s="2998"/>
      <c r="I64" s="2998"/>
      <c r="J64" s="2998"/>
      <c r="K64" s="2998"/>
      <c r="L64" s="2998"/>
      <c r="M64" s="2998"/>
      <c r="N64" s="2998"/>
      <c r="O64" s="2998"/>
      <c r="P64" s="2998"/>
      <c r="Q64" s="2998"/>
      <c r="R64" s="2998"/>
      <c r="S64" s="2998"/>
      <c r="T64" s="2998"/>
      <c r="U64" s="2998"/>
      <c r="V64" s="2998"/>
      <c r="W64" s="2998"/>
    </row>
    <row customHeight="1" ht="36.75" hidden="1">
      <c r="E65" s="2996" t="s">
        <v>208</v>
      </c>
      <c r="F65" s="2996"/>
      <c r="G65" s="2997"/>
      <c r="H65" s="2997"/>
      <c r="I65" s="2997"/>
      <c r="J65" s="2997"/>
      <c r="K65" s="2997"/>
      <c r="L65" s="2997"/>
      <c r="M65" s="2997"/>
      <c r="N65" s="2997"/>
      <c r="O65" s="2997"/>
      <c r="P65" s="2997"/>
      <c r="Q65" s="2997"/>
      <c r="R65" s="2997"/>
      <c r="S65" s="2997"/>
      <c r="T65" s="2997"/>
      <c r="U65" s="2997"/>
      <c r="V65" s="2997"/>
      <c r="W65" s="2997"/>
    </row>
    <row customHeight="1" ht="28.5" hidden="1">
      <c r="E66" s="2996" t="s">
        <v>209</v>
      </c>
      <c r="F66" s="2996"/>
      <c r="G66" s="2997"/>
      <c r="H66" s="2997"/>
      <c r="I66" s="2997"/>
      <c r="J66" s="2997"/>
      <c r="K66" s="2997"/>
      <c r="L66" s="2997"/>
      <c r="M66" s="2997"/>
      <c r="N66" s="2997"/>
      <c r="O66" s="2997"/>
      <c r="P66" s="2997"/>
      <c r="Q66" s="2997"/>
      <c r="R66" s="2997"/>
      <c r="S66" s="2997"/>
      <c r="T66" s="2997"/>
      <c r="U66" s="2997"/>
      <c r="V66" s="2997"/>
      <c r="W66" s="2997"/>
    </row>
    <row customHeight="1" ht="27" hidden="1">
      <c r="E67" s="2996" t="s">
        <v>210</v>
      </c>
      <c r="F67" s="2996"/>
      <c r="G67" s="2997"/>
      <c r="H67" s="2997"/>
      <c r="I67" s="2997"/>
      <c r="J67" s="2997"/>
      <c r="K67" s="2997"/>
      <c r="L67" s="2997"/>
      <c r="M67" s="2997"/>
      <c r="N67" s="2997"/>
      <c r="O67" s="2997"/>
      <c r="P67" s="2997"/>
      <c r="Q67" s="2997"/>
      <c r="R67" s="2997"/>
      <c r="S67" s="2997"/>
      <c r="T67" s="2997"/>
      <c r="U67" s="2997"/>
      <c r="V67" s="2997"/>
      <c r="W67" s="2997"/>
    </row>
    <row customHeight="1" ht="17.25" hidden="1">
      <c r="E68" s="2996" t="s">
        <v>211</v>
      </c>
      <c r="F68" s="2996"/>
      <c r="G68" s="2997"/>
      <c r="H68" s="2997"/>
      <c r="I68" s="2997"/>
      <c r="J68" s="2997"/>
      <c r="K68" s="2997"/>
      <c r="L68" s="2997"/>
      <c r="M68" s="2997"/>
      <c r="N68" s="2997"/>
      <c r="O68" s="2997"/>
      <c r="P68" s="2997"/>
      <c r="Q68" s="2997"/>
      <c r="R68" s="2997"/>
      <c r="S68" s="2997"/>
      <c r="T68" s="2997"/>
      <c r="U68" s="2997"/>
      <c r="V68" s="2997"/>
      <c r="W68" s="2997"/>
    </row>
    <row customHeight="1" ht="15" hidden="1">
      <c r="E69" s="1252"/>
      <c r="F69" s="2200"/>
      <c r="G69" s="1070"/>
      <c r="H69" s="1070"/>
      <c r="I69" s="1070"/>
      <c r="J69" s="1070"/>
      <c r="K69" s="1070"/>
      <c r="L69" s="1070"/>
      <c r="M69" s="1070"/>
      <c r="N69" s="1070"/>
      <c r="O69" s="1070"/>
      <c r="P69" s="1070"/>
      <c r="Q69" s="1070"/>
      <c r="R69" s="1070"/>
      <c r="S69" s="1070"/>
      <c r="T69" s="1070"/>
      <c r="U69" s="1070"/>
      <c r="V69" s="1070"/>
      <c r="W69" s="1070"/>
    </row>
    <row customHeight="1" ht="15" hidden="1">
      <c r="E70" s="2998" t="s">
        <v>212</v>
      </c>
      <c r="F70" s="2998"/>
      <c r="G70" s="2998"/>
      <c r="H70" s="2998"/>
      <c r="I70" s="2998"/>
      <c r="J70" s="2998"/>
      <c r="K70" s="2998"/>
      <c r="L70" s="2998"/>
      <c r="M70" s="2998"/>
      <c r="N70" s="2998"/>
      <c r="O70" s="2998"/>
      <c r="P70" s="2998"/>
      <c r="Q70" s="2998"/>
      <c r="R70" s="2998"/>
      <c r="S70" s="2998"/>
      <c r="T70" s="2998"/>
      <c r="U70" s="2998"/>
      <c r="V70" s="2998"/>
      <c r="W70" s="2998"/>
    </row>
    <row customHeight="1" ht="17.25" hidden="1">
      <c r="E71" s="2996" t="s">
        <v>213</v>
      </c>
      <c r="F71" s="2996"/>
      <c r="G71" s="2997"/>
      <c r="H71" s="2997"/>
      <c r="I71" s="2997"/>
      <c r="J71" s="2997"/>
      <c r="K71" s="2997"/>
      <c r="L71" s="2997"/>
      <c r="M71" s="2997"/>
      <c r="N71" s="2997"/>
      <c r="O71" s="2997"/>
      <c r="P71" s="2997"/>
      <c r="Q71" s="2997"/>
      <c r="R71" s="2997"/>
      <c r="S71" s="2997"/>
      <c r="T71" s="2997"/>
      <c r="U71" s="2997"/>
      <c r="V71" s="2997"/>
      <c r="W71" s="2997"/>
    </row>
    <row customHeight="1" ht="17.25" hidden="1">
      <c r="E72" s="2996" t="s">
        <v>214</v>
      </c>
      <c r="F72" s="2996"/>
      <c r="G72" s="2997"/>
      <c r="H72" s="2997"/>
      <c r="I72" s="2997"/>
      <c r="J72" s="2997"/>
      <c r="K72" s="2997"/>
      <c r="L72" s="2997"/>
      <c r="M72" s="2997"/>
      <c r="N72" s="2997"/>
      <c r="O72" s="2997"/>
      <c r="P72" s="2997"/>
      <c r="Q72" s="2997"/>
      <c r="R72" s="2997"/>
      <c r="S72" s="2997"/>
      <c r="T72" s="2997"/>
      <c r="U72" s="2997"/>
      <c r="V72" s="2997"/>
      <c r="W72" s="2997"/>
    </row>
    <row s="39735" customFormat="1" customHeight="1" ht="11.25" hidden="1">
      <c r="A73" s="1189"/>
      <c r="B73" s="1189"/>
      <c r="Y73" s="2174"/>
      <c r="Z73" s="2174"/>
      <c r="AA73" s="2174"/>
      <c r="AB73" s="2174"/>
      <c r="AC73" s="2174"/>
      <c r="AD73" s="2174"/>
      <c r="AE73" s="2174"/>
      <c r="AF73" s="2174"/>
      <c r="AG73" s="2174"/>
      <c r="AH73" s="2174"/>
      <c r="AI73" s="2174"/>
      <c r="AJ73" s="2174"/>
      <c r="AK73" s="2174"/>
      <c r="AL73" s="2174"/>
      <c r="AM73" s="2174"/>
      <c r="AN73" s="2174"/>
      <c r="AO73" s="2174"/>
      <c r="AP73" s="2174"/>
      <c r="AQ73" s="2174"/>
    </row>
    <row s="39735" customFormat="1" customHeight="1" ht="17.25" hidden="1">
      <c r="A74" s="1233"/>
      <c r="C74" s="1121"/>
      <c r="D74" s="2961">
        <v>1</v>
      </c>
      <c r="E74" s="2969" t="s">
        <v>215</v>
      </c>
      <c r="F74" s="2971" t="s">
        <v>52</v>
      </c>
      <c r="G74" s="2969"/>
      <c r="H74" s="2974"/>
      <c r="I74" s="2976"/>
      <c r="J74" s="2978"/>
      <c r="K74" s="2963"/>
      <c r="L74" s="2963"/>
      <c r="M74" s="2963"/>
      <c r="N74" s="2965"/>
      <c r="O74" s="2963"/>
      <c r="P74" s="2963"/>
      <c r="Q74" s="2963"/>
      <c r="R74" s="2968"/>
      <c r="S74" s="2963"/>
      <c r="T74" s="2385"/>
      <c r="U74" s="2385"/>
      <c r="V74" s="2387"/>
      <c r="W74" s="2211"/>
      <c r="Y74" s="2182"/>
      <c r="Z74" s="2182"/>
      <c r="AA74" s="2182"/>
      <c r="AB74" s="2182"/>
      <c r="AC74" s="2182" t="s">
        <v>216</v>
      </c>
      <c r="AD74" s="2182" t="s">
        <v>217</v>
      </c>
      <c r="AE74" s="2182" t="s">
        <v>218</v>
      </c>
      <c r="AF74" s="2182" t="s">
        <v>219</v>
      </c>
      <c r="AG74" s="2182"/>
      <c r="AH74" s="2182" t="str">
        <f>IF($E$74=0,"",$E$74)</f>
        <v>Тариф на питьевую воду (питьевое водоснабжение)</v>
      </c>
      <c r="AI74" s="2182" t="str">
        <f>IF($G$74=0,"",$G$74)</f>
        <v/>
      </c>
      <c r="AJ74" s="2182" t="str">
        <f>IF($J$74=0,"",$J$74)</f>
        <v/>
      </c>
      <c r="AK74" s="2182" t="str">
        <f>IF($K$74="нет","без дифференциации",IF($N$74=0,"",$N$74))</f>
        <v/>
      </c>
      <c r="AL74" s="2182" t="str">
        <f>IF($O$74="нет","без дифференциации",IF($R$74=0,"",$R$74))</f>
        <v/>
      </c>
      <c r="AM74" s="2182" t="str">
        <f>IF($S$74="нет","без дифференциации",IF($V$74=0,"",$V$74))</f>
        <v/>
      </c>
      <c r="AN74" s="2182">
        <f>$I$74</f>
        <v>0</v>
      </c>
      <c r="AO74" s="2182" t="str">
        <f>$I$74&amp;"."&amp;$M$74</f>
        <v>.</v>
      </c>
      <c r="AP74" s="2182" t="str">
        <f>$I$74&amp;"."&amp;$M$74&amp;"."&amp;$Q$74</f>
        <v>..</v>
      </c>
      <c r="AQ74" s="2182" t="str">
        <f>$I$74&amp;"."&amp;$M$74&amp;"."&amp;$Q$74&amp;"."&amp;$U$74</f>
        <v>...</v>
      </c>
    </row>
    <row s="39735" customFormat="1" customHeight="1" ht="17.25" hidden="1">
      <c r="A75" s="1233"/>
      <c r="C75" s="1232"/>
      <c r="D75" s="2961"/>
      <c r="E75" s="2969"/>
      <c r="F75" s="2972"/>
      <c r="G75" s="2969"/>
      <c r="H75" s="2975"/>
      <c r="I75" s="2977"/>
      <c r="J75" s="2979"/>
      <c r="K75" s="2964"/>
      <c r="L75" s="2964"/>
      <c r="M75" s="2964"/>
      <c r="N75" s="2966"/>
      <c r="O75" s="2964"/>
      <c r="P75" s="2964"/>
      <c r="Q75" s="2964"/>
      <c r="R75" s="2967"/>
      <c r="S75" s="2964"/>
      <c r="T75" s="2212"/>
      <c r="U75" s="2212"/>
      <c r="V75" s="2212"/>
      <c r="W75" s="2213"/>
      <c r="Y75" s="2174"/>
      <c r="Z75" s="2174"/>
      <c r="AA75" s="2174"/>
      <c r="AB75" s="2174"/>
      <c r="AC75" s="2174"/>
      <c r="AD75" s="2174"/>
      <c r="AE75" s="2174"/>
      <c r="AF75" s="2174"/>
      <c r="AG75" s="2174"/>
      <c r="AH75" s="2174"/>
      <c r="AI75" s="2174"/>
      <c r="AJ75" s="2174"/>
      <c r="AK75" s="2174"/>
      <c r="AL75" s="2174"/>
      <c r="AM75" s="2174"/>
      <c r="AN75" s="2174"/>
      <c r="AO75" s="2174"/>
      <c r="AP75" s="2174"/>
      <c r="AQ75" s="2174"/>
    </row>
    <row s="39737" customFormat="1" customHeight="1" ht="17.25" hidden="1">
      <c r="A76" s="1233"/>
      <c r="C76" s="1121"/>
      <c r="D76" s="2961"/>
      <c r="E76" s="2969"/>
      <c r="F76" s="2972"/>
      <c r="G76" s="2969"/>
      <c r="H76" s="2975"/>
      <c r="I76" s="2977"/>
      <c r="J76" s="2980"/>
      <c r="K76" s="2964"/>
      <c r="L76" s="2964"/>
      <c r="M76" s="2964"/>
      <c r="N76" s="2967"/>
      <c r="O76" s="2964"/>
      <c r="P76" s="2386"/>
      <c r="Q76" s="2212"/>
      <c r="R76" s="2212"/>
      <c r="S76" s="1241"/>
      <c r="T76" s="1241"/>
      <c r="U76" s="1241"/>
      <c r="V76" s="1241"/>
      <c r="W76" s="2213"/>
      <c r="Y76" s="2182"/>
      <c r="Z76" s="2182"/>
      <c r="AA76" s="2182"/>
      <c r="AB76" s="2182"/>
      <c r="AC76" s="2182"/>
      <c r="AD76" s="2182"/>
      <c r="AE76" s="2182"/>
      <c r="AF76" s="2182"/>
      <c r="AG76" s="2182"/>
      <c r="AH76" s="2182"/>
      <c r="AI76" s="2182"/>
      <c r="AJ76" s="2182"/>
      <c r="AK76" s="2182"/>
      <c r="AL76" s="2182"/>
      <c r="AM76" s="2182"/>
      <c r="AN76" s="2182"/>
      <c r="AO76" s="2182"/>
      <c r="AP76" s="2182"/>
      <c r="AQ76" s="2182"/>
    </row>
    <row s="39737" customFormat="1" customHeight="1" ht="17.25" hidden="1">
      <c r="A77" s="1233"/>
      <c r="C77" s="1232"/>
      <c r="D77" s="2961"/>
      <c r="E77" s="2969"/>
      <c r="F77" s="2972"/>
      <c r="G77" s="2969"/>
      <c r="H77" s="2975"/>
      <c r="I77" s="2977"/>
      <c r="J77" s="2980"/>
      <c r="K77" s="2964"/>
      <c r="L77" s="2212"/>
      <c r="M77" s="2212"/>
      <c r="N77" s="2212"/>
      <c r="O77" s="2212"/>
      <c r="P77" s="2212"/>
      <c r="Q77" s="2212"/>
      <c r="R77" s="2212"/>
      <c r="S77" s="1241"/>
      <c r="T77" s="1241"/>
      <c r="U77" s="1241"/>
      <c r="V77" s="1241"/>
      <c r="W77" s="2213"/>
      <c r="Y77" s="2174"/>
      <c r="Z77" s="2174"/>
      <c r="AA77" s="2174"/>
      <c r="AB77" s="2174"/>
      <c r="AC77" s="2174"/>
      <c r="AD77" s="2174"/>
      <c r="AE77" s="2174"/>
      <c r="AF77" s="2174"/>
      <c r="AG77" s="2174"/>
      <c r="AH77" s="2174"/>
      <c r="AI77" s="2174"/>
      <c r="AJ77" s="2174"/>
      <c r="AK77" s="2174"/>
      <c r="AL77" s="2174"/>
      <c r="AM77" s="2174"/>
      <c r="AN77" s="2174"/>
      <c r="AO77" s="2174"/>
      <c r="AP77" s="2174"/>
      <c r="AQ77" s="2174"/>
    </row>
    <row s="39735" customFormat="1" customHeight="1" ht="17.25" hidden="1">
      <c r="A78" s="1233"/>
      <c r="C78" s="1232"/>
      <c r="D78" s="2962"/>
      <c r="E78" s="2970"/>
      <c r="F78" s="2973"/>
      <c r="G78" s="2970"/>
      <c r="H78" s="2214"/>
      <c r="I78" s="2215"/>
      <c r="J78" s="2215"/>
      <c r="K78" s="2215"/>
      <c r="L78" s="2215"/>
      <c r="M78" s="2215"/>
      <c r="N78" s="2215"/>
      <c r="O78" s="2215"/>
      <c r="P78" s="2215"/>
      <c r="Q78" s="2215"/>
      <c r="R78" s="2215"/>
      <c r="S78" s="2216"/>
      <c r="T78" s="2216"/>
      <c r="U78" s="2216"/>
      <c r="V78" s="2216"/>
      <c r="W78" s="2217"/>
      <c r="Y78" s="2174"/>
      <c r="Z78" s="2174"/>
      <c r="AA78" s="2174"/>
      <c r="AB78" s="2174"/>
      <c r="AC78" s="2174"/>
      <c r="AD78" s="2174"/>
      <c r="AE78" s="2174"/>
      <c r="AF78" s="2174"/>
      <c r="AG78" s="2174"/>
      <c r="AH78" s="2174"/>
      <c r="AI78" s="2174"/>
      <c r="AJ78" s="2174"/>
      <c r="AK78" s="2174"/>
      <c r="AL78" s="2174"/>
      <c r="AM78" s="2174"/>
      <c r="AN78" s="2174"/>
      <c r="AO78" s="2174"/>
      <c r="AP78" s="2174"/>
      <c r="AQ78" s="2174"/>
    </row>
    <row s="39735" customFormat="1" customHeight="1" ht="17.25" hidden="1">
      <c r="A79" s="1233"/>
      <c r="C79" s="1121"/>
      <c r="D79" s="2961">
        <v>2</v>
      </c>
      <c r="E79" s="2969" t="s">
        <v>220</v>
      </c>
      <c r="F79" s="2971" t="s">
        <v>52</v>
      </c>
      <c r="G79" s="2969"/>
      <c r="H79" s="2974"/>
      <c r="I79" s="2976"/>
      <c r="J79" s="2978"/>
      <c r="K79" s="2963"/>
      <c r="L79" s="2963"/>
      <c r="M79" s="2963"/>
      <c r="N79" s="2965"/>
      <c r="O79" s="2963"/>
      <c r="P79" s="2963"/>
      <c r="Q79" s="2963"/>
      <c r="R79" s="2968"/>
      <c r="S79" s="2963"/>
      <c r="T79" s="2358"/>
      <c r="U79" s="2358"/>
      <c r="V79" s="2360"/>
      <c r="W79" s="2211"/>
      <c r="X79" s="2182"/>
      <c r="Y79" s="2182"/>
      <c r="Z79" s="2182"/>
      <c r="AA79" s="2182"/>
      <c r="AB79" s="2182"/>
      <c r="AC79" s="2182" t="s">
        <v>221</v>
      </c>
      <c r="AD79" s="2182" t="s">
        <v>222</v>
      </c>
      <c r="AE79" s="2182" t="s">
        <v>223</v>
      </c>
      <c r="AF79" s="2182" t="s">
        <v>224</v>
      </c>
      <c r="AG79" s="2182"/>
      <c r="AH79" s="2182" t="str">
        <f>IF($E$79=0,"",$E$79)</f>
        <v>Тариф на техническую воду</v>
      </c>
      <c r="AI79" s="2182" t="str">
        <f>IF($G$79=0,"",$G$79)</f>
        <v/>
      </c>
      <c r="AJ79" s="2182" t="str">
        <f>IF($J$79=0,"",$J$79)</f>
        <v/>
      </c>
      <c r="AK79" s="2182" t="str">
        <f>IF($K$79="нет","без дифференциации",IF($N$79=0,"",$N$79))</f>
        <v/>
      </c>
      <c r="AL79" s="2182" t="str">
        <f>IF($O$79="нет","без дифференциации",IF($R$79=0,"",$R$79))</f>
        <v/>
      </c>
      <c r="AM79" s="2182" t="str">
        <f>IF($S$79="нет","без дифференциации",IF($V$79=0,"",$V$79))</f>
        <v/>
      </c>
      <c r="AN79" s="2687">
        <f>$I$79</f>
        <v>0</v>
      </c>
      <c r="AO79" s="2182" t="str">
        <f>$I$79&amp;"."&amp;$M$79</f>
        <v>.</v>
      </c>
      <c r="AP79" s="2174" t="str">
        <f>$I$79&amp;"."&amp;$M$79&amp;"."&amp;$Q$79</f>
        <v>..</v>
      </c>
      <c r="AQ79" s="2174" t="str">
        <f>$I$79&amp;"."&amp;$M$79&amp;"."&amp;$Q$79&amp;"."&amp;$U$79</f>
        <v>...</v>
      </c>
    </row>
    <row s="39735" customFormat="1" customHeight="1" ht="17.25" hidden="1">
      <c r="A80" s="1233"/>
      <c r="C80" s="1232"/>
      <c r="D80" s="2961"/>
      <c r="E80" s="2969"/>
      <c r="F80" s="2972"/>
      <c r="G80" s="2969"/>
      <c r="H80" s="2975"/>
      <c r="I80" s="2977"/>
      <c r="J80" s="2979"/>
      <c r="K80" s="2964"/>
      <c r="L80" s="2964"/>
      <c r="M80" s="2964"/>
      <c r="N80" s="2966"/>
      <c r="O80" s="2964"/>
      <c r="P80" s="2964"/>
      <c r="Q80" s="2964"/>
      <c r="R80" s="2967"/>
      <c r="S80" s="2964"/>
      <c r="T80" s="2212"/>
      <c r="U80" s="2212"/>
      <c r="V80" s="2212"/>
      <c r="W80" s="2213"/>
      <c r="X80" s="2174"/>
      <c r="Y80" s="2174"/>
      <c r="Z80" s="2174"/>
      <c r="AA80" s="2174"/>
      <c r="AB80" s="2174"/>
      <c r="AC80" s="2174"/>
      <c r="AD80" s="2174"/>
      <c r="AE80" s="2174"/>
      <c r="AF80" s="2174"/>
      <c r="AG80" s="2174"/>
      <c r="AH80" s="2174"/>
      <c r="AI80" s="2174"/>
      <c r="AJ80" s="2174"/>
      <c r="AK80" s="2174"/>
      <c r="AL80" s="2174"/>
      <c r="AM80" s="2174"/>
      <c r="AN80" s="2174"/>
      <c r="AO80" s="2174"/>
      <c r="AP80" s="2174"/>
      <c r="AQ80" s="2174"/>
    </row>
    <row s="39735" customFormat="1" customHeight="1" ht="17.25" hidden="1">
      <c r="A81" s="1233"/>
      <c r="C81" s="1232"/>
      <c r="D81" s="2962"/>
      <c r="E81" s="2970"/>
      <c r="F81" s="2972"/>
      <c r="G81" s="2970"/>
      <c r="H81" s="2975"/>
      <c r="I81" s="2977"/>
      <c r="J81" s="2980"/>
      <c r="K81" s="2964"/>
      <c r="L81" s="2964"/>
      <c r="M81" s="2964"/>
      <c r="N81" s="2967"/>
      <c r="O81" s="2964"/>
      <c r="P81" s="2359"/>
      <c r="Q81" s="2212"/>
      <c r="R81" s="2212"/>
      <c r="S81" s="1241"/>
      <c r="T81" s="1241"/>
      <c r="U81" s="1241"/>
      <c r="V81" s="1241"/>
      <c r="W81" s="2213"/>
      <c r="X81" s="2174"/>
      <c r="Y81" s="2174"/>
      <c r="Z81" s="2174"/>
      <c r="AA81" s="2174"/>
      <c r="AB81" s="2174"/>
      <c r="AC81" s="2174"/>
      <c r="AD81" s="2174"/>
      <c r="AE81" s="2174"/>
      <c r="AF81" s="2174"/>
      <c r="AG81" s="2174"/>
      <c r="AH81" s="2174"/>
      <c r="AI81" s="2174"/>
      <c r="AJ81" s="2174"/>
      <c r="AK81" s="2174"/>
      <c r="AL81" s="2174"/>
      <c r="AM81" s="2174"/>
      <c r="AN81" s="2174"/>
      <c r="AO81" s="2174"/>
      <c r="AP81" s="2174"/>
      <c r="AQ81" s="2174"/>
    </row>
    <row s="39735" customFormat="1" customHeight="1" ht="17.25" hidden="1">
      <c r="A82" s="1233"/>
      <c r="C82" s="1232"/>
      <c r="D82" s="2962"/>
      <c r="E82" s="2970"/>
      <c r="F82" s="2972"/>
      <c r="G82" s="2970"/>
      <c r="H82" s="2975"/>
      <c r="I82" s="2977"/>
      <c r="J82" s="2980"/>
      <c r="K82" s="2964"/>
      <c r="L82" s="2212"/>
      <c r="M82" s="2212"/>
      <c r="N82" s="2212"/>
      <c r="O82" s="2212"/>
      <c r="P82" s="2212"/>
      <c r="Q82" s="2212"/>
      <c r="R82" s="2212"/>
      <c r="S82" s="1241"/>
      <c r="T82" s="1241"/>
      <c r="U82" s="1241"/>
      <c r="V82" s="1241"/>
      <c r="W82" s="2213"/>
      <c r="X82" s="2174"/>
      <c r="Y82" s="2174"/>
      <c r="Z82" s="2174"/>
      <c r="AA82" s="2174"/>
      <c r="AB82" s="2174"/>
      <c r="AC82" s="2174"/>
      <c r="AD82" s="2174"/>
      <c r="AE82" s="2174"/>
      <c r="AF82" s="2174"/>
      <c r="AG82" s="2174"/>
      <c r="AH82" s="2174"/>
      <c r="AI82" s="2174"/>
      <c r="AJ82" s="2174"/>
      <c r="AK82" s="2174"/>
      <c r="AL82" s="2174"/>
      <c r="AM82" s="2174"/>
      <c r="AN82" s="2174"/>
      <c r="AO82" s="2174"/>
      <c r="AP82" s="2174"/>
      <c r="AQ82" s="2174"/>
    </row>
    <row s="39735" customFormat="1" customHeight="1" ht="17.25" hidden="1">
      <c r="A83" s="1233"/>
      <c r="C83" s="1232"/>
      <c r="D83" s="2962"/>
      <c r="E83" s="2970"/>
      <c r="F83" s="2973"/>
      <c r="G83" s="2970"/>
      <c r="H83" s="2214"/>
      <c r="I83" s="2215"/>
      <c r="J83" s="2215"/>
      <c r="K83" s="2215"/>
      <c r="L83" s="2215"/>
      <c r="M83" s="2215"/>
      <c r="N83" s="2215"/>
      <c r="O83" s="2215"/>
      <c r="P83" s="2215"/>
      <c r="Q83" s="2215"/>
      <c r="R83" s="2215"/>
      <c r="S83" s="2216"/>
      <c r="T83" s="2216"/>
      <c r="U83" s="2216"/>
      <c r="V83" s="2216"/>
      <c r="W83" s="2217"/>
      <c r="X83" s="2174"/>
      <c r="Y83" s="2174"/>
      <c r="Z83" s="2174"/>
      <c r="AA83" s="2174"/>
      <c r="AB83" s="2174"/>
      <c r="AC83" s="2174"/>
      <c r="AD83" s="2174"/>
      <c r="AE83" s="2174"/>
      <c r="AF83" s="2174"/>
      <c r="AG83" s="2174"/>
      <c r="AH83" s="2174"/>
      <c r="AI83" s="2174"/>
      <c r="AJ83" s="2174"/>
      <c r="AK83" s="2174"/>
      <c r="AL83" s="2174"/>
      <c r="AM83" s="2174"/>
      <c r="AN83" s="2174"/>
      <c r="AO83" s="2174"/>
      <c r="AP83" s="2174"/>
      <c r="AQ83" s="2174"/>
    </row>
    <row s="39735" customFormat="1" customHeight="1" ht="17.25" hidden="1">
      <c r="A84" s="1233"/>
      <c r="C84" s="1121"/>
      <c r="D84" s="2961">
        <v>3</v>
      </c>
      <c r="E84" s="2969" t="s">
        <v>225</v>
      </c>
      <c r="F84" s="2971" t="s">
        <v>52</v>
      </c>
      <c r="G84" s="2969"/>
      <c r="H84" s="2974"/>
      <c r="I84" s="2976"/>
      <c r="J84" s="2978"/>
      <c r="K84" s="2963"/>
      <c r="L84" s="2963"/>
      <c r="M84" s="2963"/>
      <c r="N84" s="2965"/>
      <c r="O84" s="2963"/>
      <c r="P84" s="2963"/>
      <c r="Q84" s="2963"/>
      <c r="R84" s="2968"/>
      <c r="S84" s="2963"/>
      <c r="T84" s="2358"/>
      <c r="U84" s="2358"/>
      <c r="V84" s="2360"/>
      <c r="W84" s="2211"/>
      <c r="X84" s="2182"/>
      <c r="Y84" s="2182"/>
      <c r="Z84" s="2182"/>
      <c r="AA84" s="2182"/>
      <c r="AB84" s="2182"/>
      <c r="AC84" s="2182" t="s">
        <v>226</v>
      </c>
      <c r="AD84" s="2182" t="s">
        <v>227</v>
      </c>
      <c r="AE84" s="2182" t="s">
        <v>228</v>
      </c>
      <c r="AF84" s="2182" t="s">
        <v>229</v>
      </c>
      <c r="AG84" s="2182"/>
      <c r="AH84" s="2182" t="str">
        <f>IF($E$84=0,"",$E$84)</f>
        <v>Тариф на транспортировку воды</v>
      </c>
      <c r="AI84" s="2182" t="str">
        <f>IF($G$84=0,"",$G$84)</f>
        <v/>
      </c>
      <c r="AJ84" s="2182" t="str">
        <f>IF($J$84=0,"",$J$84)</f>
        <v/>
      </c>
      <c r="AK84" s="2182" t="str">
        <f>IF($K$84="нет","без дифференциации",IF($N$84=0,"",$N$84))</f>
        <v/>
      </c>
      <c r="AL84" s="2182" t="str">
        <f>IF($O$84="нет","без дифференциации",IF($R$84=0,"",$R$84))</f>
        <v/>
      </c>
      <c r="AM84" s="2182" t="str">
        <f>IF($S$84="нет","без дифференциации",IF($V$84=0,"",$V$84))</f>
        <v/>
      </c>
      <c r="AN84" s="2687">
        <f>$I$84</f>
        <v>0</v>
      </c>
      <c r="AO84" s="2182" t="str">
        <f>$I$84&amp;"."&amp;$M$84</f>
        <v>.</v>
      </c>
      <c r="AP84" s="2174" t="str">
        <f>$I$84&amp;"."&amp;$M$84&amp;"."&amp;$Q$84</f>
        <v>..</v>
      </c>
      <c r="AQ84" s="2174" t="str">
        <f>$I$84&amp;"."&amp;$M$84&amp;"."&amp;$Q$84&amp;"."&amp;$U$84</f>
        <v>...</v>
      </c>
    </row>
    <row s="39735" customFormat="1" customHeight="1" ht="17.25" hidden="1">
      <c r="A85" s="1233"/>
      <c r="C85" s="1232"/>
      <c r="D85" s="2961"/>
      <c r="E85" s="2969"/>
      <c r="F85" s="2972"/>
      <c r="G85" s="2969"/>
      <c r="H85" s="2975"/>
      <c r="I85" s="2977"/>
      <c r="J85" s="2979"/>
      <c r="K85" s="2964"/>
      <c r="L85" s="2964"/>
      <c r="M85" s="2964"/>
      <c r="N85" s="2966"/>
      <c r="O85" s="2964"/>
      <c r="P85" s="2964"/>
      <c r="Q85" s="2964"/>
      <c r="R85" s="2967"/>
      <c r="S85" s="2964"/>
      <c r="T85" s="2212"/>
      <c r="U85" s="2212"/>
      <c r="V85" s="2212"/>
      <c r="W85" s="2213"/>
      <c r="X85" s="2174"/>
      <c r="Y85" s="2174"/>
      <c r="Z85" s="2174"/>
      <c r="AA85" s="2174"/>
      <c r="AB85" s="2174"/>
      <c r="AC85" s="2174"/>
      <c r="AD85" s="2174"/>
      <c r="AE85" s="2174"/>
      <c r="AF85" s="2174"/>
      <c r="AG85" s="2174"/>
      <c r="AH85" s="2174"/>
      <c r="AI85" s="2174"/>
      <c r="AJ85" s="2174"/>
      <c r="AK85" s="2174"/>
      <c r="AL85" s="2174"/>
      <c r="AM85" s="2174"/>
      <c r="AN85" s="2174"/>
      <c r="AO85" s="2174"/>
      <c r="AP85" s="2174"/>
      <c r="AQ85" s="2174"/>
    </row>
    <row s="39735" customFormat="1" customHeight="1" ht="17.25" hidden="1">
      <c r="A86" s="1233"/>
      <c r="C86" s="1232"/>
      <c r="D86" s="2962"/>
      <c r="E86" s="2970"/>
      <c r="F86" s="2972"/>
      <c r="G86" s="2970"/>
      <c r="H86" s="2975"/>
      <c r="I86" s="2977"/>
      <c r="J86" s="2980"/>
      <c r="K86" s="2964"/>
      <c r="L86" s="2964"/>
      <c r="M86" s="2964"/>
      <c r="N86" s="2967"/>
      <c r="O86" s="2964"/>
      <c r="P86" s="2359"/>
      <c r="Q86" s="2212"/>
      <c r="R86" s="2212"/>
      <c r="S86" s="1241"/>
      <c r="T86" s="1241"/>
      <c r="U86" s="1241"/>
      <c r="V86" s="1241"/>
      <c r="W86" s="2213"/>
      <c r="X86" s="2174"/>
      <c r="Y86" s="2174"/>
      <c r="Z86" s="2174"/>
      <c r="AA86" s="2174"/>
      <c r="AB86" s="2174"/>
      <c r="AC86" s="2174"/>
      <c r="AD86" s="2174"/>
      <c r="AE86" s="2174"/>
      <c r="AF86" s="2174"/>
      <c r="AG86" s="2174"/>
      <c r="AH86" s="2174"/>
      <c r="AI86" s="2174"/>
      <c r="AJ86" s="2174"/>
      <c r="AK86" s="2174"/>
      <c r="AL86" s="2174"/>
      <c r="AM86" s="2174"/>
      <c r="AN86" s="2174"/>
      <c r="AO86" s="2174"/>
      <c r="AP86" s="2174"/>
      <c r="AQ86" s="2174"/>
    </row>
    <row s="39735" customFormat="1" customHeight="1" ht="17.25" hidden="1">
      <c r="A87" s="1233"/>
      <c r="C87" s="1232"/>
      <c r="D87" s="2962"/>
      <c r="E87" s="2970"/>
      <c r="F87" s="2972"/>
      <c r="G87" s="2970"/>
      <c r="H87" s="2975"/>
      <c r="I87" s="2977"/>
      <c r="J87" s="2980"/>
      <c r="K87" s="2964"/>
      <c r="L87" s="2212"/>
      <c r="M87" s="2212"/>
      <c r="N87" s="2212"/>
      <c r="O87" s="2212"/>
      <c r="P87" s="2212"/>
      <c r="Q87" s="2212"/>
      <c r="R87" s="2212"/>
      <c r="S87" s="1241"/>
      <c r="T87" s="1241"/>
      <c r="U87" s="1241"/>
      <c r="V87" s="1241"/>
      <c r="W87" s="2213"/>
      <c r="X87" s="2174"/>
      <c r="Y87" s="2174"/>
      <c r="Z87" s="2174"/>
      <c r="AA87" s="2174"/>
      <c r="AB87" s="2174"/>
      <c r="AC87" s="2174"/>
      <c r="AD87" s="2174"/>
      <c r="AE87" s="2174"/>
      <c r="AF87" s="2174"/>
      <c r="AG87" s="2174"/>
      <c r="AH87" s="2174"/>
      <c r="AI87" s="2174"/>
      <c r="AJ87" s="2174"/>
      <c r="AK87" s="2174"/>
      <c r="AL87" s="2174"/>
      <c r="AM87" s="2174"/>
      <c r="AN87" s="2174"/>
      <c r="AO87" s="2174"/>
      <c r="AP87" s="2174"/>
      <c r="AQ87" s="2174"/>
    </row>
    <row s="39735" customFormat="1" customHeight="1" ht="17.25" hidden="1">
      <c r="A88" s="1233"/>
      <c r="C88" s="1232"/>
      <c r="D88" s="2962"/>
      <c r="E88" s="2970"/>
      <c r="F88" s="2973"/>
      <c r="G88" s="2970"/>
      <c r="H88" s="2214"/>
      <c r="I88" s="2215"/>
      <c r="J88" s="2215"/>
      <c r="K88" s="2215"/>
      <c r="L88" s="2215"/>
      <c r="M88" s="2215"/>
      <c r="N88" s="2215"/>
      <c r="O88" s="2215"/>
      <c r="P88" s="2215"/>
      <c r="Q88" s="2215"/>
      <c r="R88" s="2215"/>
      <c r="S88" s="2216"/>
      <c r="T88" s="2216"/>
      <c r="U88" s="2216"/>
      <c r="V88" s="2216"/>
      <c r="W88" s="2217"/>
      <c r="X88" s="2174"/>
      <c r="Y88" s="2174"/>
      <c r="Z88" s="2174"/>
      <c r="AA88" s="2174"/>
      <c r="AB88" s="2174"/>
      <c r="AC88" s="2174"/>
      <c r="AD88" s="2174"/>
      <c r="AE88" s="2174"/>
      <c r="AF88" s="2174"/>
      <c r="AG88" s="2174"/>
      <c r="AH88" s="2174"/>
      <c r="AI88" s="2174"/>
      <c r="AJ88" s="2174"/>
      <c r="AK88" s="2174"/>
      <c r="AL88" s="2174"/>
      <c r="AM88" s="2174"/>
      <c r="AN88" s="2174"/>
      <c r="AO88" s="2174"/>
      <c r="AP88" s="2174"/>
      <c r="AQ88" s="2174"/>
    </row>
    <row s="39735" customFormat="1" customHeight="1" ht="17.25" hidden="1">
      <c r="A89" s="1233"/>
      <c r="C89" s="1121"/>
      <c r="D89" s="2961">
        <v>4</v>
      </c>
      <c r="E89" s="2969" t="s">
        <v>230</v>
      </c>
      <c r="F89" s="2971" t="s">
        <v>52</v>
      </c>
      <c r="G89" s="2969"/>
      <c r="H89" s="2974"/>
      <c r="I89" s="2976"/>
      <c r="J89" s="2978"/>
      <c r="K89" s="2963"/>
      <c r="L89" s="2963"/>
      <c r="M89" s="2963"/>
      <c r="N89" s="2965"/>
      <c r="O89" s="2963"/>
      <c r="P89" s="2963"/>
      <c r="Q89" s="2963"/>
      <c r="R89" s="2968"/>
      <c r="S89" s="2963"/>
      <c r="T89" s="2358"/>
      <c r="U89" s="2358"/>
      <c r="V89" s="2360"/>
      <c r="W89" s="2211"/>
      <c r="X89" s="2182"/>
      <c r="Y89" s="2182"/>
      <c r="Z89" s="2182"/>
      <c r="AA89" s="2182"/>
      <c r="AB89" s="2182"/>
      <c r="AC89" s="2182" t="s">
        <v>231</v>
      </c>
      <c r="AD89" s="2182" t="s">
        <v>232</v>
      </c>
      <c r="AE89" s="2182" t="s">
        <v>233</v>
      </c>
      <c r="AF89" s="2182" t="s">
        <v>234</v>
      </c>
      <c r="AG89" s="2182"/>
      <c r="AH89" s="2182" t="str">
        <f>IF($E$89=0,"",$E$89)</f>
        <v>Тариф на подвоз воды</v>
      </c>
      <c r="AI89" s="2182" t="str">
        <f>IF($G$89=0,"",$G$89)</f>
        <v/>
      </c>
      <c r="AJ89" s="2182" t="str">
        <f>IF($J$89=0,"",$J$89)</f>
        <v/>
      </c>
      <c r="AK89" s="2182" t="str">
        <f>IF($K$89="нет","без дифференциации",IF($N$89=0,"",$N$89))</f>
        <v/>
      </c>
      <c r="AL89" s="2182" t="str">
        <f>IF($O$89="нет","без дифференциации",IF($R$89=0,"",$R$89))</f>
        <v/>
      </c>
      <c r="AM89" s="2182" t="str">
        <f>IF($S$89="нет","без дифференциации",IF($V$89=0,"",$V$89))</f>
        <v/>
      </c>
      <c r="AN89" s="2687">
        <f>$I$89</f>
        <v>0</v>
      </c>
      <c r="AO89" s="2182" t="str">
        <f>$I$89&amp;"."&amp;$M$89</f>
        <v>.</v>
      </c>
      <c r="AP89" s="2174" t="str">
        <f>$I$89&amp;"."&amp;$M$89&amp;"."&amp;$Q$89</f>
        <v>..</v>
      </c>
      <c r="AQ89" s="2174" t="str">
        <f>$I$89&amp;"."&amp;$M$89&amp;"."&amp;$Q$89&amp;"."&amp;$U$89</f>
        <v>...</v>
      </c>
    </row>
    <row s="39735" customFormat="1" customHeight="1" ht="17.25" hidden="1">
      <c r="A90" s="1233"/>
      <c r="C90" s="1232"/>
      <c r="D90" s="2961"/>
      <c r="E90" s="2969"/>
      <c r="F90" s="2972"/>
      <c r="G90" s="2969"/>
      <c r="H90" s="2975"/>
      <c r="I90" s="2977"/>
      <c r="J90" s="2979"/>
      <c r="K90" s="2964"/>
      <c r="L90" s="2964"/>
      <c r="M90" s="2964"/>
      <c r="N90" s="2966"/>
      <c r="O90" s="2964"/>
      <c r="P90" s="2964"/>
      <c r="Q90" s="2964"/>
      <c r="R90" s="2967"/>
      <c r="S90" s="2964"/>
      <c r="T90" s="2212"/>
      <c r="U90" s="2212"/>
      <c r="V90" s="2212"/>
      <c r="W90" s="2213"/>
      <c r="X90" s="2174"/>
      <c r="Y90" s="2174"/>
      <c r="Z90" s="2174"/>
      <c r="AA90" s="2174"/>
      <c r="AB90" s="2174"/>
      <c r="AC90" s="2174"/>
      <c r="AD90" s="2174"/>
      <c r="AE90" s="2174"/>
      <c r="AF90" s="2174"/>
      <c r="AG90" s="2174"/>
      <c r="AH90" s="2174"/>
      <c r="AI90" s="2174"/>
      <c r="AJ90" s="2174"/>
      <c r="AK90" s="2174"/>
      <c r="AL90" s="2174"/>
      <c r="AM90" s="2174"/>
      <c r="AN90" s="2174"/>
      <c r="AO90" s="2174"/>
      <c r="AP90" s="2174"/>
      <c r="AQ90" s="2174"/>
    </row>
    <row s="39735" customFormat="1" customHeight="1" ht="17.25" hidden="1">
      <c r="A91" s="1233"/>
      <c r="C91" s="1232"/>
      <c r="D91" s="2962"/>
      <c r="E91" s="2970"/>
      <c r="F91" s="2972"/>
      <c r="G91" s="2970"/>
      <c r="H91" s="2975"/>
      <c r="I91" s="2977"/>
      <c r="J91" s="2980"/>
      <c r="K91" s="2964"/>
      <c r="L91" s="2964"/>
      <c r="M91" s="2964"/>
      <c r="N91" s="2967"/>
      <c r="O91" s="2964"/>
      <c r="P91" s="2359"/>
      <c r="Q91" s="2212"/>
      <c r="R91" s="2212"/>
      <c r="S91" s="1241"/>
      <c r="T91" s="1241"/>
      <c r="U91" s="1241"/>
      <c r="V91" s="1241"/>
      <c r="W91" s="2213"/>
      <c r="X91" s="2174"/>
      <c r="Y91" s="2174"/>
      <c r="Z91" s="2174"/>
      <c r="AA91" s="2174"/>
      <c r="AB91" s="2174"/>
      <c r="AC91" s="2174"/>
      <c r="AD91" s="2174"/>
      <c r="AE91" s="2174"/>
      <c r="AF91" s="2174"/>
      <c r="AG91" s="2174"/>
      <c r="AH91" s="2174"/>
      <c r="AI91" s="2174"/>
      <c r="AJ91" s="2174"/>
      <c r="AK91" s="2174"/>
      <c r="AL91" s="2174"/>
      <c r="AM91" s="2174"/>
      <c r="AN91" s="2174"/>
      <c r="AO91" s="2174"/>
      <c r="AP91" s="2174"/>
      <c r="AQ91" s="2174"/>
    </row>
    <row s="39735" customFormat="1" customHeight="1" ht="17.25" hidden="1">
      <c r="A92" s="1233"/>
      <c r="C92" s="1232"/>
      <c r="D92" s="2962"/>
      <c r="E92" s="2970"/>
      <c r="F92" s="2972"/>
      <c r="G92" s="2970"/>
      <c r="H92" s="2975"/>
      <c r="I92" s="2977"/>
      <c r="J92" s="2980"/>
      <c r="K92" s="2964"/>
      <c r="L92" s="2212"/>
      <c r="M92" s="2212"/>
      <c r="N92" s="2212"/>
      <c r="O92" s="2212"/>
      <c r="P92" s="2212"/>
      <c r="Q92" s="2212"/>
      <c r="R92" s="2212"/>
      <c r="S92" s="1241"/>
      <c r="T92" s="1241"/>
      <c r="U92" s="1241"/>
      <c r="V92" s="1241"/>
      <c r="W92" s="2213"/>
      <c r="X92" s="2174"/>
      <c r="Y92" s="2174"/>
      <c r="Z92" s="2174"/>
      <c r="AA92" s="2174"/>
      <c r="AB92" s="2174"/>
      <c r="AC92" s="2174"/>
      <c r="AD92" s="2174"/>
      <c r="AE92" s="2174"/>
      <c r="AF92" s="2174"/>
      <c r="AG92" s="2174"/>
      <c r="AH92" s="2174"/>
      <c r="AI92" s="2174"/>
      <c r="AJ92" s="2174"/>
      <c r="AK92" s="2174"/>
      <c r="AL92" s="2174"/>
      <c r="AM92" s="2174"/>
      <c r="AN92" s="2174"/>
      <c r="AO92" s="2174"/>
      <c r="AP92" s="2174"/>
      <c r="AQ92" s="2174"/>
    </row>
    <row s="39735" customFormat="1" customHeight="1" ht="17.25" hidden="1">
      <c r="A93" s="1233"/>
      <c r="C93" s="1232"/>
      <c r="D93" s="2962"/>
      <c r="E93" s="2970"/>
      <c r="F93" s="2973"/>
      <c r="G93" s="2970"/>
      <c r="H93" s="2214"/>
      <c r="I93" s="2215"/>
      <c r="J93" s="2215"/>
      <c r="K93" s="2215"/>
      <c r="L93" s="2215"/>
      <c r="M93" s="2215"/>
      <c r="N93" s="2215"/>
      <c r="O93" s="2215"/>
      <c r="P93" s="2215"/>
      <c r="Q93" s="2215"/>
      <c r="R93" s="2215"/>
      <c r="S93" s="2216"/>
      <c r="T93" s="2216"/>
      <c r="U93" s="2216"/>
      <c r="V93" s="2216"/>
      <c r="W93" s="2217"/>
      <c r="X93" s="2174"/>
      <c r="Y93" s="2174"/>
      <c r="Z93" s="2174"/>
      <c r="AA93" s="2174"/>
      <c r="AB93" s="2174"/>
      <c r="AC93" s="2174"/>
      <c r="AD93" s="2174"/>
      <c r="AE93" s="2174"/>
      <c r="AF93" s="2174"/>
      <c r="AG93" s="2174"/>
      <c r="AH93" s="2174"/>
      <c r="AI93" s="2174"/>
      <c r="AJ93" s="2174"/>
      <c r="AK93" s="2174"/>
      <c r="AL93" s="2174"/>
      <c r="AM93" s="2174"/>
      <c r="AN93" s="2174"/>
      <c r="AO93" s="2174"/>
      <c r="AP93" s="2174"/>
      <c r="AQ93" s="2174"/>
    </row>
    <row s="39721" customFormat="1" customHeight="1" ht="17.25" hidden="1">
      <c r="A94" s="1233"/>
      <c r="C94" s="1121"/>
      <c r="D94" s="2961">
        <v>5</v>
      </c>
      <c r="E94" s="2969" t="s">
        <v>235</v>
      </c>
      <c r="F94" s="2971" t="s">
        <v>52</v>
      </c>
      <c r="G94" s="2969"/>
      <c r="H94" s="2974"/>
      <c r="I94" s="2976"/>
      <c r="J94" s="2978"/>
      <c r="K94" s="2963"/>
      <c r="L94" s="2963"/>
      <c r="M94" s="2963"/>
      <c r="N94" s="2965"/>
      <c r="O94" s="2963"/>
      <c r="P94" s="2963"/>
      <c r="Q94" s="2963"/>
      <c r="R94" s="2968"/>
      <c r="S94" s="2963"/>
      <c r="T94" s="2859"/>
      <c r="U94" s="2859"/>
      <c r="V94" s="2861"/>
      <c r="W94" s="2211"/>
      <c r="X94" s="2182"/>
      <c r="Y94" s="2182"/>
      <c r="Z94" s="2182"/>
      <c r="AA94" s="2182"/>
      <c r="AB94" s="2182"/>
      <c r="AC94" s="2182" t="s">
        <v>236</v>
      </c>
      <c r="AD94" s="2182" t="s">
        <v>237</v>
      </c>
      <c r="AE94" s="2182" t="s">
        <v>238</v>
      </c>
      <c r="AF94" s="2182" t="s">
        <v>239</v>
      </c>
      <c r="AG94" s="2182"/>
      <c r="AH94" s="2182" t="str">
        <f>IF($E$94=0,"",$E$94)</f>
        <v>Тариф на подключение (технологическое присоединение) к централизованной системе холодного водоснабжения</v>
      </c>
      <c r="AI94" s="2182" t="str">
        <f>IF($G$94=0,"",$G$94)</f>
        <v/>
      </c>
      <c r="AJ94" s="2182" t="str">
        <f>IF($J$94=0,"",$J$94)</f>
        <v/>
      </c>
      <c r="AK94" s="2182" t="str">
        <f>IF($K$94="нет","без дифференциации",IF($N$94=0,"",$N$94))</f>
        <v/>
      </c>
      <c r="AL94" s="2182" t="str">
        <f>IF($O$94="нет","без дифференциации",IF($R$94=0,"",$R$94))</f>
        <v/>
      </c>
      <c r="AM94" s="2182" t="str">
        <f>IF($S$94="нет","без дифференциации",IF($V$94=0,"",$V$94))</f>
        <v/>
      </c>
      <c r="AN94" s="2687">
        <f>$I$94</f>
        <v>0</v>
      </c>
      <c r="AO94" s="2182" t="str">
        <f>$I$94&amp;"."&amp;$M$94</f>
        <v>.</v>
      </c>
      <c r="AP94" s="2181" t="str">
        <f>$I$94&amp;"."&amp;$M$94&amp;"."&amp;$Q$94</f>
        <v>..</v>
      </c>
      <c r="AQ94" s="2181" t="str">
        <f>$I$94&amp;"."&amp;$M$94&amp;"."&amp;$Q$94&amp;"."&amp;$U$94</f>
        <v>...</v>
      </c>
    </row>
    <row s="39721" customFormat="1" customHeight="1" ht="17.25" hidden="1">
      <c r="A95" s="1233"/>
      <c r="C95" s="1232"/>
      <c r="D95" s="2961"/>
      <c r="E95" s="2969"/>
      <c r="F95" s="2972"/>
      <c r="G95" s="2969"/>
      <c r="H95" s="2975"/>
      <c r="I95" s="2977"/>
      <c r="J95" s="2979"/>
      <c r="K95" s="2964"/>
      <c r="L95" s="2964"/>
      <c r="M95" s="2964"/>
      <c r="N95" s="2966"/>
      <c r="O95" s="2964"/>
      <c r="P95" s="2964"/>
      <c r="Q95" s="2964"/>
      <c r="R95" s="2967"/>
      <c r="S95" s="2964"/>
      <c r="T95" s="2864"/>
      <c r="U95" s="2864"/>
      <c r="V95" s="2864"/>
      <c r="W95" s="2865"/>
      <c r="X95" s="2181"/>
      <c r="Y95" s="2181"/>
      <c r="Z95" s="2181"/>
      <c r="AA95" s="2181"/>
      <c r="AB95" s="2181"/>
      <c r="AC95" s="2181"/>
      <c r="AD95" s="2181"/>
      <c r="AE95" s="2181"/>
      <c r="AF95" s="2181"/>
      <c r="AG95" s="2181"/>
      <c r="AH95" s="2181"/>
      <c r="AI95" s="2181"/>
      <c r="AJ95" s="2181"/>
      <c r="AK95" s="2181"/>
      <c r="AL95" s="2181"/>
      <c r="AM95" s="2181"/>
      <c r="AN95" s="2181"/>
      <c r="AO95" s="2181"/>
      <c r="AP95" s="2181"/>
      <c r="AQ95" s="2181"/>
    </row>
    <row s="39721" customFormat="1" customHeight="1" ht="17.25" hidden="1">
      <c r="A96" s="1233"/>
      <c r="C96" s="1232"/>
      <c r="D96" s="2962"/>
      <c r="E96" s="2970"/>
      <c r="F96" s="2972"/>
      <c r="G96" s="2970"/>
      <c r="H96" s="2975"/>
      <c r="I96" s="2977"/>
      <c r="J96" s="2980"/>
      <c r="K96" s="2964"/>
      <c r="L96" s="2964"/>
      <c r="M96" s="2964"/>
      <c r="N96" s="2967"/>
      <c r="O96" s="2964"/>
      <c r="P96" s="2860"/>
      <c r="Q96" s="2864"/>
      <c r="R96" s="2864"/>
      <c r="S96" s="1241"/>
      <c r="T96" s="1241"/>
      <c r="U96" s="1241"/>
      <c r="V96" s="1241"/>
      <c r="W96" s="2865"/>
      <c r="X96" s="2181"/>
      <c r="Y96" s="2181"/>
      <c r="Z96" s="2181"/>
      <c r="AA96" s="2181"/>
      <c r="AB96" s="2181"/>
      <c r="AC96" s="2181"/>
      <c r="AD96" s="2181"/>
      <c r="AE96" s="2181"/>
      <c r="AF96" s="2181"/>
      <c r="AG96" s="2181"/>
      <c r="AH96" s="2181"/>
      <c r="AI96" s="2181"/>
      <c r="AJ96" s="2181"/>
      <c r="AK96" s="2181"/>
      <c r="AL96" s="2181"/>
      <c r="AM96" s="2181"/>
      <c r="AN96" s="2181"/>
      <c r="AO96" s="2181"/>
      <c r="AP96" s="2181"/>
      <c r="AQ96" s="2181"/>
    </row>
    <row s="39721" customFormat="1" customHeight="1" ht="17.25" hidden="1">
      <c r="A97" s="1233"/>
      <c r="C97" s="1232"/>
      <c r="D97" s="2962"/>
      <c r="E97" s="2970"/>
      <c r="F97" s="2972"/>
      <c r="G97" s="2970"/>
      <c r="H97" s="2975"/>
      <c r="I97" s="2977"/>
      <c r="J97" s="2980"/>
      <c r="K97" s="2964"/>
      <c r="L97" s="2864"/>
      <c r="M97" s="2864"/>
      <c r="N97" s="2864"/>
      <c r="O97" s="2864"/>
      <c r="P97" s="2864"/>
      <c r="Q97" s="2864"/>
      <c r="R97" s="2864"/>
      <c r="S97" s="1241"/>
      <c r="T97" s="1241"/>
      <c r="U97" s="1241"/>
      <c r="V97" s="1241"/>
      <c r="W97" s="2865"/>
      <c r="X97" s="2181"/>
      <c r="Y97" s="2181"/>
      <c r="Z97" s="2181"/>
      <c r="AA97" s="2181"/>
      <c r="AB97" s="2181"/>
      <c r="AC97" s="2181"/>
      <c r="AD97" s="2181"/>
      <c r="AE97" s="2181"/>
      <c r="AF97" s="2181"/>
      <c r="AG97" s="2181"/>
      <c r="AH97" s="2181"/>
      <c r="AI97" s="2181"/>
      <c r="AJ97" s="2181"/>
      <c r="AK97" s="2181"/>
      <c r="AL97" s="2181"/>
      <c r="AM97" s="2181"/>
      <c r="AN97" s="2181"/>
      <c r="AO97" s="2181"/>
      <c r="AP97" s="2181"/>
      <c r="AQ97" s="2181"/>
    </row>
    <row s="39721" customFormat="1" customHeight="1" ht="17.25" hidden="1">
      <c r="A98" s="1233"/>
      <c r="C98" s="1232"/>
      <c r="D98" s="2962"/>
      <c r="E98" s="2970"/>
      <c r="F98" s="2973"/>
      <c r="G98" s="2970"/>
      <c r="H98" s="2214"/>
      <c r="I98" s="2862"/>
      <c r="J98" s="2862"/>
      <c r="K98" s="2862"/>
      <c r="L98" s="2862"/>
      <c r="M98" s="2862"/>
      <c r="N98" s="2862"/>
      <c r="O98" s="2862"/>
      <c r="P98" s="2862"/>
      <c r="Q98" s="2862"/>
      <c r="R98" s="2862"/>
      <c r="S98" s="2216"/>
      <c r="T98" s="2216"/>
      <c r="U98" s="2216"/>
      <c r="V98" s="2216"/>
      <c r="W98" s="2863"/>
      <c r="X98" s="2181"/>
      <c r="Y98" s="2181"/>
      <c r="Z98" s="2181"/>
      <c r="AA98" s="2181"/>
      <c r="AB98" s="2181"/>
      <c r="AC98" s="2181"/>
      <c r="AD98" s="2181"/>
      <c r="AE98" s="2181"/>
      <c r="AF98" s="2181"/>
      <c r="AG98" s="2181"/>
      <c r="AH98" s="2181"/>
      <c r="AI98" s="2181"/>
      <c r="AJ98" s="2181"/>
      <c r="AK98" s="2181"/>
      <c r="AL98" s="2181"/>
      <c r="AM98" s="2181"/>
      <c r="AN98" s="2181"/>
      <c r="AO98" s="2181"/>
      <c r="AP98" s="2181"/>
      <c r="AQ98" s="2181"/>
    </row>
    <row s="39721" customFormat="1" customHeight="1" ht="11.25" hidden="1">
      <c r="A99" s="1189"/>
      <c r="B99" s="1189"/>
      <c r="Y99" s="2174"/>
      <c r="Z99" s="2174"/>
      <c r="AA99" s="2174"/>
      <c r="AB99" s="2174"/>
      <c r="AC99" s="2174"/>
      <c r="AD99" s="2174"/>
      <c r="AE99" s="2174"/>
      <c r="AF99" s="2174"/>
      <c r="AG99" s="2174"/>
      <c r="AH99" s="2174"/>
      <c r="AI99" s="2174"/>
      <c r="AJ99" s="2174"/>
      <c r="AK99" s="2174"/>
      <c r="AL99" s="2174"/>
      <c r="AM99" s="2174"/>
      <c r="AN99" s="2174"/>
      <c r="AO99" s="2174"/>
      <c r="AP99" s="2174"/>
      <c r="AQ99" s="2174"/>
    </row>
    <row s="39721" customFormat="1" customHeight="1" ht="17.25" hidden="1">
      <c r="A100" s="1233"/>
      <c r="C100" s="1121"/>
      <c r="D100" s="2961">
        <v>1</v>
      </c>
      <c r="E100" s="2969" t="s">
        <v>240</v>
      </c>
      <c r="F100" s="2971" t="s">
        <v>52</v>
      </c>
      <c r="G100" s="2969"/>
      <c r="H100" s="2974"/>
      <c r="I100" s="2976"/>
      <c r="J100" s="2978"/>
      <c r="K100" s="2963"/>
      <c r="L100" s="2963"/>
      <c r="M100" s="2963"/>
      <c r="N100" s="2965"/>
      <c r="O100" s="2963"/>
      <c r="P100" s="2963"/>
      <c r="Q100" s="2963"/>
      <c r="R100" s="2968"/>
      <c r="S100" s="2963"/>
      <c r="T100" s="2385"/>
      <c r="U100" s="2385"/>
      <c r="V100" s="2387"/>
      <c r="W100" s="2211"/>
      <c r="Y100" s="2182"/>
      <c r="Z100" s="2182"/>
      <c r="AA100" s="2182"/>
      <c r="AB100" s="2182"/>
      <c r="AC100" s="2182" t="s">
        <v>241</v>
      </c>
      <c r="AD100" s="2182" t="s">
        <v>242</v>
      </c>
      <c r="AE100" s="2182" t="s">
        <v>243</v>
      </c>
      <c r="AF100" s="2182" t="s">
        <v>244</v>
      </c>
      <c r="AG100" s="2182"/>
      <c r="AH100" s="2182" t="str">
        <f>IF($E$100=0,"",$E$100)</f>
        <v>Тариф на горячую воду (горячее водоснабжение)</v>
      </c>
      <c r="AI100" s="2182" t="str">
        <f>IF($G$100=0,"",$G$100)</f>
        <v/>
      </c>
      <c r="AJ100" s="2182" t="str">
        <f>IF($J$100=0,"",$J$100)</f>
        <v/>
      </c>
      <c r="AK100" s="2182" t="str">
        <f>IF($K$100="нет","без дифференциации",IF($N$100=0,"",$N$100))</f>
        <v/>
      </c>
      <c r="AL100" s="2182" t="str">
        <f>IF($O$100="нет","без дифференциации",IF($R$100=0,"",$R$100))</f>
        <v/>
      </c>
      <c r="AM100" s="2182" t="str">
        <f>IF($S$100="нет","без дифференциации",IF($V$100=0,"",$V$100))</f>
        <v/>
      </c>
      <c r="AN100" s="2182">
        <f>$I$100</f>
        <v>0</v>
      </c>
      <c r="AO100" s="2182" t="str">
        <f>$I$100&amp;"."&amp;$M$100</f>
        <v>.</v>
      </c>
      <c r="AP100" s="2182" t="str">
        <f>$I$100&amp;"."&amp;$M$100&amp;"."&amp;$Q$100</f>
        <v>..</v>
      </c>
      <c r="AQ100" s="2182" t="str">
        <f>$I$100&amp;"."&amp;$M$100&amp;"."&amp;$Q$100&amp;"."&amp;$U$100</f>
        <v>...</v>
      </c>
    </row>
    <row s="39721" customFormat="1" customHeight="1" ht="17.25" hidden="1">
      <c r="A101" s="1233"/>
      <c r="C101" s="1232"/>
      <c r="D101" s="2961"/>
      <c r="E101" s="2969"/>
      <c r="F101" s="2972"/>
      <c r="G101" s="2969"/>
      <c r="H101" s="2975"/>
      <c r="I101" s="2977"/>
      <c r="J101" s="2979"/>
      <c r="K101" s="2964"/>
      <c r="L101" s="2964"/>
      <c r="M101" s="2964"/>
      <c r="N101" s="2966"/>
      <c r="O101" s="2964"/>
      <c r="P101" s="2964"/>
      <c r="Q101" s="2964"/>
      <c r="R101" s="2967"/>
      <c r="S101" s="2964"/>
      <c r="T101" s="2212"/>
      <c r="U101" s="2212"/>
      <c r="V101" s="2212"/>
      <c r="W101" s="2213"/>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row>
    <row s="39721" customFormat="1" customHeight="1" ht="17.25" hidden="1">
      <c r="A102" s="1233"/>
      <c r="C102" s="1121"/>
      <c r="D102" s="2961"/>
      <c r="E102" s="2969"/>
      <c r="F102" s="2972"/>
      <c r="G102" s="2969"/>
      <c r="H102" s="2975"/>
      <c r="I102" s="2977"/>
      <c r="J102" s="2980"/>
      <c r="K102" s="2964"/>
      <c r="L102" s="2964"/>
      <c r="M102" s="2964"/>
      <c r="N102" s="2967"/>
      <c r="O102" s="2964"/>
      <c r="P102" s="2386"/>
      <c r="Q102" s="2212"/>
      <c r="R102" s="2212"/>
      <c r="S102" s="1241"/>
      <c r="T102" s="1241"/>
      <c r="U102" s="1241"/>
      <c r="V102" s="1241"/>
      <c r="W102" s="2213"/>
      <c r="Y102" s="2182"/>
      <c r="Z102" s="2182"/>
      <c r="AA102" s="2182"/>
      <c r="AB102" s="2182"/>
      <c r="AC102" s="2182"/>
      <c r="AD102" s="2182"/>
      <c r="AE102" s="2182"/>
      <c r="AF102" s="2182"/>
      <c r="AG102" s="2182"/>
      <c r="AH102" s="2182"/>
      <c r="AI102" s="2182"/>
      <c r="AJ102" s="2182"/>
      <c r="AK102" s="2182"/>
      <c r="AL102" s="2182"/>
      <c r="AM102" s="2182"/>
      <c r="AN102" s="2182"/>
      <c r="AO102" s="2182"/>
      <c r="AP102" s="2182"/>
      <c r="AQ102" s="2182"/>
    </row>
    <row s="39721" customFormat="1" customHeight="1" ht="17.25" hidden="1">
      <c r="A103" s="1233"/>
      <c r="C103" s="1232"/>
      <c r="D103" s="2961"/>
      <c r="E103" s="2969"/>
      <c r="F103" s="2972"/>
      <c r="G103" s="2969"/>
      <c r="H103" s="2975"/>
      <c r="I103" s="2977"/>
      <c r="J103" s="2980"/>
      <c r="K103" s="2964"/>
      <c r="L103" s="2212"/>
      <c r="M103" s="2212"/>
      <c r="N103" s="2212"/>
      <c r="O103" s="2212"/>
      <c r="P103" s="2212"/>
      <c r="Q103" s="2212"/>
      <c r="R103" s="2212"/>
      <c r="S103" s="1241"/>
      <c r="T103" s="1241"/>
      <c r="U103" s="1241"/>
      <c r="V103" s="1241"/>
      <c r="W103" s="2213"/>
      <c r="Y103" s="2174"/>
      <c r="Z103" s="2174"/>
      <c r="AA103" s="2174"/>
      <c r="AB103" s="2174"/>
      <c r="AC103" s="2174"/>
      <c r="AD103" s="2174"/>
      <c r="AE103" s="2174"/>
      <c r="AF103" s="2174"/>
      <c r="AG103" s="2174"/>
      <c r="AH103" s="2174"/>
      <c r="AI103" s="2174"/>
      <c r="AJ103" s="2174"/>
      <c r="AK103" s="2174"/>
      <c r="AL103" s="2174"/>
      <c r="AM103" s="2174"/>
      <c r="AN103" s="2174"/>
      <c r="AO103" s="2174"/>
      <c r="AP103" s="2174"/>
      <c r="AQ103" s="2174"/>
    </row>
    <row s="39721" customFormat="1" customHeight="1" ht="17.25" hidden="1">
      <c r="A104" s="1233"/>
      <c r="C104" s="1232"/>
      <c r="D104" s="2962"/>
      <c r="E104" s="2970"/>
      <c r="F104" s="2973"/>
      <c r="G104" s="2970"/>
      <c r="H104" s="2214"/>
      <c r="I104" s="2215"/>
      <c r="J104" s="2215"/>
      <c r="K104" s="2215"/>
      <c r="L104" s="2215"/>
      <c r="M104" s="2215"/>
      <c r="N104" s="2215"/>
      <c r="O104" s="2215"/>
      <c r="P104" s="2215"/>
      <c r="Q104" s="2215"/>
      <c r="R104" s="2215"/>
      <c r="S104" s="2216"/>
      <c r="T104" s="2216"/>
      <c r="U104" s="2216"/>
      <c r="V104" s="2216"/>
      <c r="W104" s="2217"/>
      <c r="Y104" s="2174"/>
      <c r="Z104" s="2174"/>
      <c r="AA104" s="2174"/>
      <c r="AB104" s="2174"/>
      <c r="AC104" s="2174"/>
      <c r="AD104" s="2174"/>
      <c r="AE104" s="2174"/>
      <c r="AF104" s="2174"/>
      <c r="AG104" s="2174"/>
      <c r="AH104" s="2174"/>
      <c r="AI104" s="2174"/>
      <c r="AJ104" s="2174"/>
      <c r="AK104" s="2174"/>
      <c r="AL104" s="2174"/>
      <c r="AM104" s="2174"/>
      <c r="AN104" s="2174"/>
      <c r="AO104" s="2174"/>
      <c r="AP104" s="2174"/>
      <c r="AQ104" s="2174"/>
    </row>
    <row s="39721" customFormat="1" customHeight="1" ht="17.25" hidden="1">
      <c r="A105" s="1233"/>
      <c r="C105" s="1121"/>
      <c r="D105" s="2961">
        <v>2</v>
      </c>
      <c r="E105" s="2969" t="s">
        <v>245</v>
      </c>
      <c r="F105" s="2971" t="s">
        <v>52</v>
      </c>
      <c r="G105" s="2969"/>
      <c r="H105" s="2974"/>
      <c r="I105" s="2976"/>
      <c r="J105" s="2978"/>
      <c r="K105" s="2963"/>
      <c r="L105" s="2963"/>
      <c r="M105" s="2963"/>
      <c r="N105" s="2965"/>
      <c r="O105" s="2963"/>
      <c r="P105" s="2963"/>
      <c r="Q105" s="2963"/>
      <c r="R105" s="2968"/>
      <c r="S105" s="2963"/>
      <c r="T105" s="2385"/>
      <c r="U105" s="2385"/>
      <c r="V105" s="2387"/>
      <c r="W105" s="2211"/>
      <c r="X105" s="2182"/>
      <c r="Y105" s="2182"/>
      <c r="Z105" s="2182"/>
      <c r="AA105" s="2182"/>
      <c r="AB105" s="2182"/>
      <c r="AC105" s="2182" t="s">
        <v>246</v>
      </c>
      <c r="AD105" s="2182" t="s">
        <v>247</v>
      </c>
      <c r="AE105" s="2182" t="s">
        <v>248</v>
      </c>
      <c r="AF105" s="2182" t="s">
        <v>249</v>
      </c>
      <c r="AG105" s="2182"/>
      <c r="AH105" s="2182" t="str">
        <f>IF($E$105=0,"",$E$105)</f>
        <v>Тариф на транспортировку горячей воды</v>
      </c>
      <c r="AI105" s="2182" t="str">
        <f>IF($G$105=0,"",$G$105)</f>
        <v/>
      </c>
      <c r="AJ105" s="2182" t="str">
        <f>IF($J$105=0,"",$J$105)</f>
        <v/>
      </c>
      <c r="AK105" s="2182" t="str">
        <f>IF($K$105="нет","без дифференциации",IF($N$105=0,"",$N$105))</f>
        <v/>
      </c>
      <c r="AL105" s="2182" t="str">
        <f>IF($O$105="нет","без дифференциации",IF($R$105=0,"",$R$105))</f>
        <v/>
      </c>
      <c r="AM105" s="2182" t="str">
        <f>IF($S$105="нет","без дифференциации",IF($V$105=0,"",$V$105))</f>
        <v/>
      </c>
      <c r="AN105" s="2687">
        <f>$I$105</f>
        <v>0</v>
      </c>
      <c r="AO105" s="2182" t="str">
        <f>$I$105&amp;"."&amp;$M$105</f>
        <v>.</v>
      </c>
      <c r="AP105" s="2174" t="str">
        <f>$I$105&amp;"."&amp;$M$105&amp;"."&amp;$Q$105</f>
        <v>..</v>
      </c>
      <c r="AQ105" s="2174" t="str">
        <f>$I$105&amp;"."&amp;$M$105&amp;"."&amp;$Q$105&amp;"."&amp;$U$105</f>
        <v>...</v>
      </c>
    </row>
    <row s="39721" customFormat="1" customHeight="1" ht="17.25" hidden="1">
      <c r="A106" s="1233"/>
      <c r="C106" s="1232"/>
      <c r="D106" s="2961"/>
      <c r="E106" s="2969"/>
      <c r="F106" s="2972"/>
      <c r="G106" s="2969"/>
      <c r="H106" s="2975"/>
      <c r="I106" s="2977"/>
      <c r="J106" s="2979"/>
      <c r="K106" s="2964"/>
      <c r="L106" s="2964"/>
      <c r="M106" s="2964"/>
      <c r="N106" s="2966"/>
      <c r="O106" s="2964"/>
      <c r="P106" s="2964"/>
      <c r="Q106" s="2964"/>
      <c r="R106" s="2967"/>
      <c r="S106" s="2964"/>
      <c r="T106" s="2212"/>
      <c r="U106" s="2212"/>
      <c r="V106" s="2212"/>
      <c r="W106" s="2213"/>
      <c r="X106" s="2174"/>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row>
    <row s="39721" customFormat="1" customHeight="1" ht="17.25" hidden="1">
      <c r="A107" s="1233"/>
      <c r="C107" s="1232"/>
      <c r="D107" s="2962"/>
      <c r="E107" s="2970"/>
      <c r="F107" s="2972"/>
      <c r="G107" s="2970"/>
      <c r="H107" s="2975"/>
      <c r="I107" s="2977"/>
      <c r="J107" s="2980"/>
      <c r="K107" s="2964"/>
      <c r="L107" s="2964"/>
      <c r="M107" s="2964"/>
      <c r="N107" s="2967"/>
      <c r="O107" s="2964"/>
      <c r="P107" s="2386"/>
      <c r="Q107" s="2212"/>
      <c r="R107" s="2212"/>
      <c r="S107" s="1241"/>
      <c r="T107" s="1241"/>
      <c r="U107" s="1241"/>
      <c r="V107" s="1241"/>
      <c r="W107" s="2213"/>
      <c r="X107" s="2174"/>
      <c r="Y107" s="2174"/>
      <c r="Z107" s="2174"/>
      <c r="AA107" s="2174"/>
      <c r="AB107" s="2174"/>
      <c r="AC107" s="2174"/>
      <c r="AD107" s="2174"/>
      <c r="AE107" s="2174"/>
      <c r="AF107" s="2174"/>
      <c r="AG107" s="2174"/>
      <c r="AH107" s="2174"/>
      <c r="AI107" s="2174"/>
      <c r="AJ107" s="2174"/>
      <c r="AK107" s="2174"/>
      <c r="AL107" s="2174"/>
      <c r="AM107" s="2174"/>
      <c r="AN107" s="2174"/>
      <c r="AO107" s="2174"/>
      <c r="AP107" s="2174"/>
      <c r="AQ107" s="2174"/>
    </row>
    <row s="39721" customFormat="1" customHeight="1" ht="17.25" hidden="1">
      <c r="A108" s="1233"/>
      <c r="C108" s="1232"/>
      <c r="D108" s="2962"/>
      <c r="E108" s="2970"/>
      <c r="F108" s="2972"/>
      <c r="G108" s="2970"/>
      <c r="H108" s="2975"/>
      <c r="I108" s="2977"/>
      <c r="J108" s="2980"/>
      <c r="K108" s="2964"/>
      <c r="L108" s="2212"/>
      <c r="M108" s="2212"/>
      <c r="N108" s="2212"/>
      <c r="O108" s="2212"/>
      <c r="P108" s="2212"/>
      <c r="Q108" s="2212"/>
      <c r="R108" s="2212"/>
      <c r="S108" s="1241"/>
      <c r="T108" s="1241"/>
      <c r="U108" s="1241"/>
      <c r="V108" s="1241"/>
      <c r="W108" s="2213"/>
      <c r="X108" s="2174"/>
      <c r="Y108" s="2174"/>
      <c r="Z108" s="2174"/>
      <c r="AA108" s="2174"/>
      <c r="AB108" s="2174"/>
      <c r="AC108" s="2174"/>
      <c r="AD108" s="2174"/>
      <c r="AE108" s="2174"/>
      <c r="AF108" s="2174"/>
      <c r="AG108" s="2174"/>
      <c r="AH108" s="2174"/>
      <c r="AI108" s="2174"/>
      <c r="AJ108" s="2174"/>
      <c r="AK108" s="2174"/>
      <c r="AL108" s="2174"/>
      <c r="AM108" s="2174"/>
      <c r="AN108" s="2174"/>
      <c r="AO108" s="2174"/>
      <c r="AP108" s="2174"/>
      <c r="AQ108" s="2174"/>
    </row>
    <row s="39721" customFormat="1" customHeight="1" ht="17.25" hidden="1">
      <c r="A109" s="1233"/>
      <c r="C109" s="1232"/>
      <c r="D109" s="2962"/>
      <c r="E109" s="2970"/>
      <c r="F109" s="2973"/>
      <c r="G109" s="2970"/>
      <c r="H109" s="2214"/>
      <c r="I109" s="2215"/>
      <c r="J109" s="2215"/>
      <c r="K109" s="2215"/>
      <c r="L109" s="2215"/>
      <c r="M109" s="2215"/>
      <c r="N109" s="2215"/>
      <c r="O109" s="2215"/>
      <c r="P109" s="2215"/>
      <c r="Q109" s="2215"/>
      <c r="R109" s="2215"/>
      <c r="S109" s="2216"/>
      <c r="T109" s="2216"/>
      <c r="U109" s="2216"/>
      <c r="V109" s="2216"/>
      <c r="W109" s="2217"/>
      <c r="X109" s="2174"/>
      <c r="Y109" s="2174"/>
      <c r="Z109" s="2174"/>
      <c r="AA109" s="2174"/>
      <c r="AB109" s="2174"/>
      <c r="AC109" s="2174"/>
      <c r="AD109" s="2174"/>
      <c r="AE109" s="2174"/>
      <c r="AF109" s="2174"/>
      <c r="AG109" s="2174"/>
      <c r="AH109" s="2174"/>
      <c r="AI109" s="2174"/>
      <c r="AJ109" s="2174"/>
      <c r="AK109" s="2174"/>
      <c r="AL109" s="2174"/>
      <c r="AM109" s="2174"/>
      <c r="AN109" s="2174"/>
      <c r="AO109" s="2174"/>
      <c r="AP109" s="2174"/>
      <c r="AQ109" s="2174"/>
    </row>
    <row s="39721" customFormat="1" customHeight="1" ht="17.25" hidden="1">
      <c r="A110" s="1233"/>
      <c r="C110" s="1121"/>
      <c r="D110" s="2961">
        <v>3</v>
      </c>
      <c r="E110" s="2969" t="s">
        <v>250</v>
      </c>
      <c r="F110" s="2971" t="s">
        <v>52</v>
      </c>
      <c r="G110" s="2969"/>
      <c r="H110" s="2974"/>
      <c r="I110" s="2976"/>
      <c r="J110" s="2978"/>
      <c r="K110" s="2963"/>
      <c r="L110" s="2963"/>
      <c r="M110" s="2963"/>
      <c r="N110" s="2965"/>
      <c r="O110" s="2963"/>
      <c r="P110" s="2963"/>
      <c r="Q110" s="2963"/>
      <c r="R110" s="2968"/>
      <c r="S110" s="2963"/>
      <c r="T110" s="2859"/>
      <c r="U110" s="2859"/>
      <c r="V110" s="2861"/>
      <c r="W110" s="2211"/>
      <c r="X110" s="2182"/>
      <c r="Y110" s="2182"/>
      <c r="Z110" s="2182"/>
      <c r="AA110" s="2182"/>
      <c r="AB110" s="2182"/>
      <c r="AC110" s="2182" t="s">
        <v>251</v>
      </c>
      <c r="AD110" s="2182" t="s">
        <v>252</v>
      </c>
      <c r="AE110" s="2182" t="s">
        <v>253</v>
      </c>
      <c r="AF110" s="2182" t="s">
        <v>254</v>
      </c>
      <c r="AG110" s="2182"/>
      <c r="AH110" s="2182" t="str">
        <f>IF($E$110=0,"",$E$110)</f>
        <v>Тариф на подключение (технологическое присоединение) к централизованной системе горячего водоснабжения</v>
      </c>
      <c r="AI110" s="2182" t="str">
        <f>IF($G$110=0,"",$G$110)</f>
        <v/>
      </c>
      <c r="AJ110" s="2182" t="str">
        <f>IF($J$110=0,"",$J$110)</f>
        <v/>
      </c>
      <c r="AK110" s="2182" t="str">
        <f>IF($K$110="нет","без дифференциации",IF($N$110=0,"",$N$110))</f>
        <v/>
      </c>
      <c r="AL110" s="2182" t="str">
        <f>IF($O$110="нет","без дифференциации",IF($R$110=0,"",$R$110))</f>
        <v/>
      </c>
      <c r="AM110" s="2182" t="str">
        <f>IF($S$110="нет","без дифференциации",IF($V$110=0,"",$V$110))</f>
        <v/>
      </c>
      <c r="AN110" s="2687">
        <f>$I$110</f>
        <v>0</v>
      </c>
      <c r="AO110" s="2182" t="str">
        <f>$I$110&amp;"."&amp;$M$110</f>
        <v>.</v>
      </c>
      <c r="AP110" s="2181" t="str">
        <f>$I$110&amp;"."&amp;$M$110&amp;"."&amp;$Q$110</f>
        <v>..</v>
      </c>
      <c r="AQ110" s="2181" t="str">
        <f>$I$110&amp;"."&amp;$M$110&amp;"."&amp;$Q$110&amp;"."&amp;$U$110</f>
        <v>...</v>
      </c>
    </row>
    <row s="39721" customFormat="1" customHeight="1" ht="17.25" hidden="1">
      <c r="A111" s="1233"/>
      <c r="C111" s="1232"/>
      <c r="D111" s="2961"/>
      <c r="E111" s="2969"/>
      <c r="F111" s="2972"/>
      <c r="G111" s="2969"/>
      <c r="H111" s="2975"/>
      <c r="I111" s="2977"/>
      <c r="J111" s="2979"/>
      <c r="K111" s="2964"/>
      <c r="L111" s="2964"/>
      <c r="M111" s="2964"/>
      <c r="N111" s="2966"/>
      <c r="O111" s="2964"/>
      <c r="P111" s="2964"/>
      <c r="Q111" s="2964"/>
      <c r="R111" s="2967"/>
      <c r="S111" s="2964"/>
      <c r="T111" s="2864"/>
      <c r="U111" s="2864"/>
      <c r="V111" s="2864"/>
      <c r="W111" s="2865"/>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row>
    <row s="39721" customFormat="1" customHeight="1" ht="17.25" hidden="1">
      <c r="A112" s="1233"/>
      <c r="C112" s="1232"/>
      <c r="D112" s="2962"/>
      <c r="E112" s="2970"/>
      <c r="F112" s="2972"/>
      <c r="G112" s="2970"/>
      <c r="H112" s="2975"/>
      <c r="I112" s="2977"/>
      <c r="J112" s="2980"/>
      <c r="K112" s="2964"/>
      <c r="L112" s="2964"/>
      <c r="M112" s="2964"/>
      <c r="N112" s="2967"/>
      <c r="O112" s="2964"/>
      <c r="P112" s="2860"/>
      <c r="Q112" s="2864"/>
      <c r="R112" s="2864"/>
      <c r="S112" s="1241"/>
      <c r="T112" s="1241"/>
      <c r="U112" s="1241"/>
      <c r="V112" s="1241"/>
      <c r="W112" s="2865"/>
      <c r="X112" s="2181"/>
      <c r="Y112" s="2181"/>
      <c r="Z112" s="2181"/>
      <c r="AA112" s="2181"/>
      <c r="AB112" s="2181"/>
      <c r="AC112" s="2181"/>
      <c r="AD112" s="2181"/>
      <c r="AE112" s="2181"/>
      <c r="AF112" s="2181"/>
      <c r="AG112" s="2181"/>
      <c r="AH112" s="2181"/>
      <c r="AI112" s="2181"/>
      <c r="AJ112" s="2181"/>
      <c r="AK112" s="2181"/>
      <c r="AL112" s="2181"/>
      <c r="AM112" s="2181"/>
      <c r="AN112" s="2181"/>
      <c r="AO112" s="2181"/>
      <c r="AP112" s="2181"/>
      <c r="AQ112" s="2181"/>
    </row>
    <row s="39721" customFormat="1" customHeight="1" ht="17.25" hidden="1">
      <c r="A113" s="1233"/>
      <c r="C113" s="1232"/>
      <c r="D113" s="2962"/>
      <c r="E113" s="2970"/>
      <c r="F113" s="2972"/>
      <c r="G113" s="2970"/>
      <c r="H113" s="2975"/>
      <c r="I113" s="2977"/>
      <c r="J113" s="2980"/>
      <c r="K113" s="2964"/>
      <c r="L113" s="2864"/>
      <c r="M113" s="2864"/>
      <c r="N113" s="2864"/>
      <c r="O113" s="2864"/>
      <c r="P113" s="2864"/>
      <c r="Q113" s="2864"/>
      <c r="R113" s="2864"/>
      <c r="S113" s="1241"/>
      <c r="T113" s="1241"/>
      <c r="U113" s="1241"/>
      <c r="V113" s="1241"/>
      <c r="W113" s="2865"/>
      <c r="X113" s="2181"/>
      <c r="Y113" s="2181"/>
      <c r="Z113" s="2181"/>
      <c r="AA113" s="2181"/>
      <c r="AB113" s="2181"/>
      <c r="AC113" s="2181"/>
      <c r="AD113" s="2181"/>
      <c r="AE113" s="2181"/>
      <c r="AF113" s="2181"/>
      <c r="AG113" s="2181"/>
      <c r="AH113" s="2181"/>
      <c r="AI113" s="2181"/>
      <c r="AJ113" s="2181"/>
      <c r="AK113" s="2181"/>
      <c r="AL113" s="2181"/>
      <c r="AM113" s="2181"/>
      <c r="AN113" s="2181"/>
      <c r="AO113" s="2181"/>
      <c r="AP113" s="2181"/>
      <c r="AQ113" s="2181"/>
    </row>
    <row s="39721" customFormat="1" customHeight="1" ht="17.25" hidden="1">
      <c r="A114" s="1233"/>
      <c r="C114" s="1232"/>
      <c r="D114" s="2962"/>
      <c r="E114" s="2970"/>
      <c r="F114" s="2973"/>
      <c r="G114" s="2970"/>
      <c r="H114" s="2214"/>
      <c r="I114" s="2862"/>
      <c r="J114" s="2862"/>
      <c r="K114" s="2862"/>
      <c r="L114" s="2862"/>
      <c r="M114" s="2862"/>
      <c r="N114" s="2862"/>
      <c r="O114" s="2862"/>
      <c r="P114" s="2862"/>
      <c r="Q114" s="2862"/>
      <c r="R114" s="2862"/>
      <c r="S114" s="2216"/>
      <c r="T114" s="2216"/>
      <c r="U114" s="2216"/>
      <c r="V114" s="2216"/>
      <c r="W114" s="2863"/>
      <c r="X114" s="2181"/>
      <c r="Y114" s="2181"/>
      <c r="Z114" s="2181"/>
      <c r="AA114" s="2181"/>
      <c r="AB114" s="2181"/>
      <c r="AC114" s="2181"/>
      <c r="AD114" s="2181"/>
      <c r="AE114" s="2181"/>
      <c r="AF114" s="2181"/>
      <c r="AG114" s="2181"/>
      <c r="AH114" s="2181"/>
      <c r="AI114" s="2181"/>
      <c r="AJ114" s="2181"/>
      <c r="AK114" s="2181"/>
      <c r="AL114" s="2181"/>
      <c r="AM114" s="2181"/>
      <c r="AN114" s="2181"/>
      <c r="AO114" s="2181"/>
      <c r="AP114" s="2181"/>
      <c r="AQ114" s="2181"/>
    </row>
    <row s="39721" customFormat="1" customHeight="1" ht="11.25" hidden="1">
      <c r="A115" s="1189"/>
      <c r="B115" s="1189"/>
      <c r="Y115" s="2174"/>
      <c r="Z115" s="2174"/>
      <c r="AA115" s="2174"/>
      <c r="AB115" s="2174"/>
      <c r="AC115" s="2174"/>
      <c r="AD115" s="2174"/>
      <c r="AE115" s="2174"/>
      <c r="AF115" s="2174"/>
      <c r="AG115" s="2174"/>
      <c r="AH115" s="2174"/>
      <c r="AI115" s="2174"/>
      <c r="AJ115" s="2174"/>
      <c r="AK115" s="2174"/>
      <c r="AL115" s="2174"/>
      <c r="AM115" s="2174"/>
      <c r="AN115" s="2174"/>
      <c r="AO115" s="2174"/>
      <c r="AP115" s="2174"/>
      <c r="AQ115" s="2174"/>
    </row>
    <row s="39721" customFormat="1" customHeight="1" ht="17.25" hidden="1">
      <c r="A116" s="1233"/>
      <c r="C116" s="1121"/>
      <c r="D116" s="2961">
        <v>1</v>
      </c>
      <c r="E116" s="2969" t="s">
        <v>255</v>
      </c>
      <c r="F116" s="2971" t="s">
        <v>52</v>
      </c>
      <c r="G116" s="2969"/>
      <c r="H116" s="2974"/>
      <c r="I116" s="2976"/>
      <c r="J116" s="2978"/>
      <c r="K116" s="2963"/>
      <c r="L116" s="2963"/>
      <c r="M116" s="2963"/>
      <c r="N116" s="2965"/>
      <c r="O116" s="2963"/>
      <c r="P116" s="2963"/>
      <c r="Q116" s="2963"/>
      <c r="R116" s="2968"/>
      <c r="S116" s="2963"/>
      <c r="T116" s="2385"/>
      <c r="U116" s="2385"/>
      <c r="V116" s="2387"/>
      <c r="W116" s="2211"/>
      <c r="Y116" s="2182"/>
      <c r="Z116" s="2182"/>
      <c r="AA116" s="2182"/>
      <c r="AB116" s="2182"/>
      <c r="AC116" s="2182" t="s">
        <v>256</v>
      </c>
      <c r="AD116" s="2182" t="s">
        <v>257</v>
      </c>
      <c r="AE116" s="2182" t="s">
        <v>258</v>
      </c>
      <c r="AF116" s="2182" t="s">
        <v>259</v>
      </c>
      <c r="AG116" s="2182"/>
      <c r="AH116" s="2182" t="str">
        <f>IF($E$116=0,"",$E$116)</f>
        <v>Тариф на водоотведение</v>
      </c>
      <c r="AI116" s="2182" t="str">
        <f>IF($G$116=0,"",$G$116)</f>
        <v/>
      </c>
      <c r="AJ116" s="2182" t="str">
        <f>IF($J$116=0,"",$J$116)</f>
        <v/>
      </c>
      <c r="AK116" s="2182" t="str">
        <f>IF($K$116="нет","без дифференциации",IF($N$116=0,"",$N$116))</f>
        <v/>
      </c>
      <c r="AL116" s="2182" t="str">
        <f>IF($O$116="нет","без дифференциации",IF($R$116=0,"",$R$116))</f>
        <v/>
      </c>
      <c r="AM116" s="2182" t="str">
        <f>IF($S$116="нет","без дифференциации",IF($V$116=0,"",$V$116))</f>
        <v/>
      </c>
      <c r="AN116" s="2182">
        <f>$I$116</f>
        <v>0</v>
      </c>
      <c r="AO116" s="2182" t="str">
        <f>$I$116&amp;"."&amp;$M$116</f>
        <v>.</v>
      </c>
      <c r="AP116" s="2182" t="str">
        <f>$I$116&amp;"."&amp;$M$116&amp;"."&amp;$Q$116</f>
        <v>..</v>
      </c>
      <c r="AQ116" s="2182" t="str">
        <f>$I$116&amp;"."&amp;$M$116&amp;"."&amp;$Q$116&amp;"."&amp;$U$116</f>
        <v>...</v>
      </c>
    </row>
    <row s="39721" customFormat="1" customHeight="1" ht="17.25" hidden="1">
      <c r="A117" s="1233"/>
      <c r="C117" s="1232"/>
      <c r="D117" s="2961"/>
      <c r="E117" s="2969"/>
      <c r="F117" s="2972"/>
      <c r="G117" s="2969"/>
      <c r="H117" s="2975"/>
      <c r="I117" s="2977"/>
      <c r="J117" s="2979"/>
      <c r="K117" s="2964"/>
      <c r="L117" s="2964"/>
      <c r="M117" s="2964"/>
      <c r="N117" s="2966"/>
      <c r="O117" s="2964"/>
      <c r="P117" s="2964"/>
      <c r="Q117" s="2964"/>
      <c r="R117" s="2967"/>
      <c r="S117" s="2964"/>
      <c r="T117" s="2212"/>
      <c r="U117" s="2212"/>
      <c r="V117" s="2212"/>
      <c r="W117" s="2213"/>
      <c r="Y117" s="2174"/>
      <c r="Z117" s="2174"/>
      <c r="AA117" s="2174"/>
      <c r="AB117" s="2174"/>
      <c r="AC117" s="2174"/>
      <c r="AD117" s="2174"/>
      <c r="AE117" s="2174"/>
      <c r="AF117" s="2174"/>
      <c r="AG117" s="2174"/>
      <c r="AH117" s="2174"/>
      <c r="AI117" s="2174"/>
      <c r="AJ117" s="2174"/>
      <c r="AK117" s="2174"/>
      <c r="AL117" s="2174"/>
      <c r="AM117" s="2174"/>
      <c r="AN117" s="2174"/>
      <c r="AO117" s="2174"/>
      <c r="AP117" s="2174"/>
      <c r="AQ117" s="2174"/>
    </row>
    <row s="39721" customFormat="1" customHeight="1" ht="17.25" hidden="1">
      <c r="A118" s="1233"/>
      <c r="C118" s="1121"/>
      <c r="D118" s="2961"/>
      <c r="E118" s="2969"/>
      <c r="F118" s="2972"/>
      <c r="G118" s="2969"/>
      <c r="H118" s="2975"/>
      <c r="I118" s="2977"/>
      <c r="J118" s="2980"/>
      <c r="K118" s="2964"/>
      <c r="L118" s="2964"/>
      <c r="M118" s="2964"/>
      <c r="N118" s="2967"/>
      <c r="O118" s="2964"/>
      <c r="P118" s="2386"/>
      <c r="Q118" s="2212"/>
      <c r="R118" s="2212"/>
      <c r="S118" s="1241"/>
      <c r="T118" s="1241"/>
      <c r="U118" s="1241"/>
      <c r="V118" s="1241"/>
      <c r="W118" s="2213"/>
      <c r="Y118" s="2182"/>
      <c r="Z118" s="2182"/>
      <c r="AA118" s="2182"/>
      <c r="AB118" s="2182"/>
      <c r="AC118" s="2182"/>
      <c r="AD118" s="2182"/>
      <c r="AE118" s="2182"/>
      <c r="AF118" s="2182"/>
      <c r="AG118" s="2182"/>
      <c r="AH118" s="2182"/>
      <c r="AI118" s="2182"/>
      <c r="AJ118" s="2182"/>
      <c r="AK118" s="2182"/>
      <c r="AL118" s="2182"/>
      <c r="AM118" s="2182"/>
      <c r="AN118" s="2182"/>
      <c r="AO118" s="2182"/>
      <c r="AP118" s="2182"/>
      <c r="AQ118" s="2182"/>
    </row>
    <row s="39721" customFormat="1" customHeight="1" ht="17.25" hidden="1">
      <c r="A119" s="1233"/>
      <c r="C119" s="1232"/>
      <c r="D119" s="2961"/>
      <c r="E119" s="2969"/>
      <c r="F119" s="2972"/>
      <c r="G119" s="2969"/>
      <c r="H119" s="2975"/>
      <c r="I119" s="2977"/>
      <c r="J119" s="2980"/>
      <c r="K119" s="2964"/>
      <c r="L119" s="2212"/>
      <c r="M119" s="2212"/>
      <c r="N119" s="2212"/>
      <c r="O119" s="2212"/>
      <c r="P119" s="2212"/>
      <c r="Q119" s="2212"/>
      <c r="R119" s="2212"/>
      <c r="S119" s="1241"/>
      <c r="T119" s="1241"/>
      <c r="U119" s="1241"/>
      <c r="V119" s="1241"/>
      <c r="W119" s="2213"/>
      <c r="Y119" s="2174"/>
      <c r="Z119" s="2174"/>
      <c r="AA119" s="2174"/>
      <c r="AB119" s="2174"/>
      <c r="AC119" s="2174"/>
      <c r="AD119" s="2174"/>
      <c r="AE119" s="2174"/>
      <c r="AF119" s="2174"/>
      <c r="AG119" s="2174"/>
      <c r="AH119" s="2174"/>
      <c r="AI119" s="2174"/>
      <c r="AJ119" s="2174"/>
      <c r="AK119" s="2174"/>
      <c r="AL119" s="2174"/>
      <c r="AM119" s="2174"/>
      <c r="AN119" s="2174"/>
      <c r="AO119" s="2174"/>
      <c r="AP119" s="2174"/>
      <c r="AQ119" s="2174"/>
    </row>
    <row s="39721" customFormat="1" customHeight="1" ht="17.25" hidden="1">
      <c r="A120" s="1233"/>
      <c r="C120" s="1232"/>
      <c r="D120" s="2962"/>
      <c r="E120" s="2970"/>
      <c r="F120" s="2973"/>
      <c r="G120" s="2970"/>
      <c r="H120" s="2214"/>
      <c r="I120" s="2215"/>
      <c r="J120" s="2215"/>
      <c r="K120" s="2215"/>
      <c r="L120" s="2215"/>
      <c r="M120" s="2215"/>
      <c r="N120" s="2215"/>
      <c r="O120" s="2215"/>
      <c r="P120" s="2215"/>
      <c r="Q120" s="2215"/>
      <c r="R120" s="2215"/>
      <c r="S120" s="2216"/>
      <c r="T120" s="2216"/>
      <c r="U120" s="2216"/>
      <c r="V120" s="2216"/>
      <c r="W120" s="2217"/>
      <c r="Y120" s="2174"/>
      <c r="Z120" s="2174"/>
      <c r="AA120" s="2174"/>
      <c r="AB120" s="2174"/>
      <c r="AC120" s="2174"/>
      <c r="AD120" s="2174"/>
      <c r="AE120" s="2174"/>
      <c r="AF120" s="2174"/>
      <c r="AG120" s="2174"/>
      <c r="AH120" s="2174"/>
      <c r="AI120" s="2174"/>
      <c r="AJ120" s="2174"/>
      <c r="AK120" s="2174"/>
      <c r="AL120" s="2174"/>
      <c r="AM120" s="2174"/>
      <c r="AN120" s="2174"/>
      <c r="AO120" s="2174"/>
      <c r="AP120" s="2174"/>
      <c r="AQ120" s="2174"/>
    </row>
    <row s="39721" customFormat="1" customHeight="1" ht="17.25" hidden="1">
      <c r="A121" s="1233"/>
      <c r="C121" s="1121"/>
      <c r="D121" s="2961">
        <v>2</v>
      </c>
      <c r="E121" s="2969" t="s">
        <v>260</v>
      </c>
      <c r="F121" s="2971" t="s">
        <v>52</v>
      </c>
      <c r="G121" s="2969"/>
      <c r="H121" s="2974"/>
      <c r="I121" s="2976"/>
      <c r="J121" s="2978"/>
      <c r="K121" s="2963"/>
      <c r="L121" s="2963"/>
      <c r="M121" s="2963"/>
      <c r="N121" s="2965"/>
      <c r="O121" s="2963"/>
      <c r="P121" s="2963"/>
      <c r="Q121" s="2963"/>
      <c r="R121" s="2968"/>
      <c r="S121" s="2963"/>
      <c r="T121" s="2385"/>
      <c r="U121" s="2385"/>
      <c r="V121" s="2387"/>
      <c r="W121" s="2211"/>
      <c r="X121" s="2182"/>
      <c r="Y121" s="2182"/>
      <c r="Z121" s="2182"/>
      <c r="AA121" s="2182"/>
      <c r="AB121" s="2182"/>
      <c r="AC121" s="2182" t="s">
        <v>261</v>
      </c>
      <c r="AD121" s="2182" t="s">
        <v>262</v>
      </c>
      <c r="AE121" s="2182" t="s">
        <v>263</v>
      </c>
      <c r="AF121" s="2182" t="s">
        <v>264</v>
      </c>
      <c r="AG121" s="2182"/>
      <c r="AH121" s="2182" t="str">
        <f>IF($E$121=0,"",$E$121)</f>
        <v>Тариф на транспортировку сточных вод</v>
      </c>
      <c r="AI121" s="2182" t="str">
        <f>IF($G$121=0,"",$G$121)</f>
        <v/>
      </c>
      <c r="AJ121" s="2182" t="str">
        <f>IF($J$121=0,"",$J$121)</f>
        <v/>
      </c>
      <c r="AK121" s="2182" t="str">
        <f>IF($K$121="нет","без дифференциации",IF($N$121=0,"",$N$121))</f>
        <v/>
      </c>
      <c r="AL121" s="2182" t="str">
        <f>IF($O$121="нет","без дифференциации",IF($R$121=0,"",$R$121))</f>
        <v/>
      </c>
      <c r="AM121" s="2182" t="str">
        <f>IF($S$121="нет","без дифференциации",IF($V$121=0,"",$V$121))</f>
        <v/>
      </c>
      <c r="AN121" s="2687">
        <f>$I$121</f>
        <v>0</v>
      </c>
      <c r="AO121" s="2182" t="str">
        <f>$I$121&amp;"."&amp;$M$121</f>
        <v>.</v>
      </c>
      <c r="AP121" s="2174" t="str">
        <f>$I$121&amp;"."&amp;$M$121&amp;"."&amp;$Q$121</f>
        <v>..</v>
      </c>
      <c r="AQ121" s="2174" t="str">
        <f>$I$121&amp;"."&amp;$M$121&amp;"."&amp;$Q$121&amp;"."&amp;$U$121</f>
        <v>...</v>
      </c>
    </row>
    <row s="39721" customFormat="1" customHeight="1" ht="17.25" hidden="1">
      <c r="A122" s="1233"/>
      <c r="C122" s="1232"/>
      <c r="D122" s="2961"/>
      <c r="E122" s="2969"/>
      <c r="F122" s="2972"/>
      <c r="G122" s="2969"/>
      <c r="H122" s="2975"/>
      <c r="I122" s="2977"/>
      <c r="J122" s="2979"/>
      <c r="K122" s="2964"/>
      <c r="L122" s="2964"/>
      <c r="M122" s="2964"/>
      <c r="N122" s="2966"/>
      <c r="O122" s="2964"/>
      <c r="P122" s="2964"/>
      <c r="Q122" s="2964"/>
      <c r="R122" s="2967"/>
      <c r="S122" s="2964"/>
      <c r="T122" s="2212"/>
      <c r="U122" s="2212"/>
      <c r="V122" s="2212"/>
      <c r="W122" s="2213"/>
      <c r="X122" s="2174"/>
      <c r="Y122" s="2174"/>
      <c r="Z122" s="2174"/>
      <c r="AA122" s="2174"/>
      <c r="AB122" s="2174"/>
      <c r="AC122" s="2174"/>
      <c r="AD122" s="2174"/>
      <c r="AE122" s="2174"/>
      <c r="AF122" s="2174"/>
      <c r="AG122" s="2174"/>
      <c r="AH122" s="2174"/>
      <c r="AI122" s="2174"/>
      <c r="AJ122" s="2174"/>
      <c r="AK122" s="2174"/>
      <c r="AL122" s="2174"/>
      <c r="AM122" s="2174"/>
      <c r="AN122" s="2174"/>
      <c r="AO122" s="2174"/>
      <c r="AP122" s="2174"/>
      <c r="AQ122" s="2174"/>
    </row>
    <row s="39721" customFormat="1" customHeight="1" ht="17.25" hidden="1">
      <c r="A123" s="1233"/>
      <c r="C123" s="1232"/>
      <c r="D123" s="2962"/>
      <c r="E123" s="2970"/>
      <c r="F123" s="2972"/>
      <c r="G123" s="2970"/>
      <c r="H123" s="2975"/>
      <c r="I123" s="2977"/>
      <c r="J123" s="2980"/>
      <c r="K123" s="2964"/>
      <c r="L123" s="2964"/>
      <c r="M123" s="2964"/>
      <c r="N123" s="2967"/>
      <c r="O123" s="2964"/>
      <c r="P123" s="2386"/>
      <c r="Q123" s="2212"/>
      <c r="R123" s="2212"/>
      <c r="S123" s="1241"/>
      <c r="T123" s="1241"/>
      <c r="U123" s="1241"/>
      <c r="V123" s="1241"/>
      <c r="W123" s="2213"/>
      <c r="X123" s="2174"/>
      <c r="Y123" s="2174"/>
      <c r="Z123" s="2174"/>
      <c r="AA123" s="2174"/>
      <c r="AB123" s="2174"/>
      <c r="AC123" s="2174"/>
      <c r="AD123" s="2174"/>
      <c r="AE123" s="2174"/>
      <c r="AF123" s="2174"/>
      <c r="AG123" s="2174"/>
      <c r="AH123" s="2174"/>
      <c r="AI123" s="2174"/>
      <c r="AJ123" s="2174"/>
      <c r="AK123" s="2174"/>
      <c r="AL123" s="2174"/>
      <c r="AM123" s="2174"/>
      <c r="AN123" s="2174"/>
      <c r="AO123" s="2174"/>
      <c r="AP123" s="2174"/>
      <c r="AQ123" s="2174"/>
    </row>
    <row s="39721" customFormat="1" customHeight="1" ht="17.25" hidden="1">
      <c r="A124" s="1233"/>
      <c r="C124" s="1232"/>
      <c r="D124" s="2962"/>
      <c r="E124" s="2970"/>
      <c r="F124" s="2972"/>
      <c r="G124" s="2970"/>
      <c r="H124" s="2975"/>
      <c r="I124" s="2977"/>
      <c r="J124" s="2980"/>
      <c r="K124" s="2964"/>
      <c r="L124" s="2212"/>
      <c r="M124" s="2212"/>
      <c r="N124" s="2212"/>
      <c r="O124" s="2212"/>
      <c r="P124" s="2212"/>
      <c r="Q124" s="2212"/>
      <c r="R124" s="2212"/>
      <c r="S124" s="1241"/>
      <c r="T124" s="1241"/>
      <c r="U124" s="1241"/>
      <c r="V124" s="1241"/>
      <c r="W124" s="2213"/>
      <c r="X124" s="2174"/>
      <c r="Y124" s="2174"/>
      <c r="Z124" s="2174"/>
      <c r="AA124" s="2174"/>
      <c r="AB124" s="2174"/>
      <c r="AC124" s="2174"/>
      <c r="AD124" s="2174"/>
      <c r="AE124" s="2174"/>
      <c r="AF124" s="2174"/>
      <c r="AG124" s="2174"/>
      <c r="AH124" s="2174"/>
      <c r="AI124" s="2174"/>
      <c r="AJ124" s="2174"/>
      <c r="AK124" s="2174"/>
      <c r="AL124" s="2174"/>
      <c r="AM124" s="2174"/>
      <c r="AN124" s="2174"/>
      <c r="AO124" s="2174"/>
      <c r="AP124" s="2174"/>
      <c r="AQ124" s="2174"/>
    </row>
    <row s="39721" customFormat="1" customHeight="1" ht="17.25" hidden="1">
      <c r="A125" s="1233"/>
      <c r="C125" s="1232"/>
      <c r="D125" s="2962"/>
      <c r="E125" s="2970"/>
      <c r="F125" s="2973"/>
      <c r="G125" s="2970"/>
      <c r="H125" s="2214"/>
      <c r="I125" s="2215"/>
      <c r="J125" s="2215"/>
      <c r="K125" s="2215"/>
      <c r="L125" s="2215"/>
      <c r="M125" s="2215"/>
      <c r="N125" s="2215"/>
      <c r="O125" s="2215"/>
      <c r="P125" s="2215"/>
      <c r="Q125" s="2215"/>
      <c r="R125" s="2215"/>
      <c r="S125" s="2216"/>
      <c r="T125" s="2216"/>
      <c r="U125" s="2216"/>
      <c r="V125" s="2216"/>
      <c r="W125" s="2217"/>
      <c r="X125" s="2174"/>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row>
    <row s="39721" customFormat="1" customHeight="1" ht="17.25" hidden="1">
      <c r="A126" s="1233"/>
      <c r="C126" s="1121"/>
      <c r="D126" s="2961">
        <v>3</v>
      </c>
      <c r="E126" s="2969" t="s">
        <v>265</v>
      </c>
      <c r="F126" s="2971" t="s">
        <v>52</v>
      </c>
      <c r="G126" s="2969"/>
      <c r="H126" s="2974"/>
      <c r="I126" s="2976"/>
      <c r="J126" s="2978"/>
      <c r="K126" s="2963"/>
      <c r="L126" s="2963"/>
      <c r="M126" s="2963"/>
      <c r="N126" s="2965"/>
      <c r="O126" s="2963"/>
      <c r="P126" s="2963"/>
      <c r="Q126" s="2963"/>
      <c r="R126" s="2968"/>
      <c r="S126" s="2963"/>
      <c r="T126" s="2859"/>
      <c r="U126" s="2859"/>
      <c r="V126" s="2861"/>
      <c r="W126" s="2211"/>
      <c r="X126" s="2182"/>
      <c r="Y126" s="2182"/>
      <c r="Z126" s="2182"/>
      <c r="AA126" s="2182"/>
      <c r="AB126" s="2182"/>
      <c r="AC126" s="2182" t="s">
        <v>266</v>
      </c>
      <c r="AD126" s="2182" t="s">
        <v>267</v>
      </c>
      <c r="AE126" s="2182" t="s">
        <v>268</v>
      </c>
      <c r="AF126" s="2182" t="s">
        <v>269</v>
      </c>
      <c r="AG126" s="2182"/>
      <c r="AH126" s="2182" t="str">
        <f>IF($E$126=0,"",$E$126)</f>
        <v>Тариф на подключение (технологическое присоединение) к централизованной системе водоотведения</v>
      </c>
      <c r="AI126" s="2182" t="str">
        <f>IF($G$126=0,"",$G$126)</f>
        <v/>
      </c>
      <c r="AJ126" s="2182" t="str">
        <f>IF($J$126=0,"",$J$126)</f>
        <v/>
      </c>
      <c r="AK126" s="2182" t="str">
        <f>IF($K$126="нет","без дифференциации",IF($N$126=0,"",$N$126))</f>
        <v/>
      </c>
      <c r="AL126" s="2182" t="str">
        <f>IF($O$126="нет","без дифференциации",IF($R$126=0,"",$R$126))</f>
        <v/>
      </c>
      <c r="AM126" s="2182" t="str">
        <f>IF($S$126="нет","без дифференциации",IF($V$126=0,"",$V$126))</f>
        <v/>
      </c>
      <c r="AN126" s="2687">
        <f>$I$126</f>
        <v>0</v>
      </c>
      <c r="AO126" s="2182" t="str">
        <f>$I$126&amp;"."&amp;$M$126</f>
        <v>.</v>
      </c>
      <c r="AP126" s="2181" t="str">
        <f>$I$126&amp;"."&amp;$M$126&amp;"."&amp;$Q$126</f>
        <v>..</v>
      </c>
      <c r="AQ126" s="2181" t="str">
        <f>$I$126&amp;"."&amp;$M$126&amp;"."&amp;$Q$126&amp;"."&amp;$U$126</f>
        <v>...</v>
      </c>
    </row>
    <row s="39721" customFormat="1" customHeight="1" ht="17.25" hidden="1">
      <c r="A127" s="1233"/>
      <c r="C127" s="1232"/>
      <c r="D127" s="2961"/>
      <c r="E127" s="2969"/>
      <c r="F127" s="2972"/>
      <c r="G127" s="2969"/>
      <c r="H127" s="2975"/>
      <c r="I127" s="2977"/>
      <c r="J127" s="2979"/>
      <c r="K127" s="2964"/>
      <c r="L127" s="2964"/>
      <c r="M127" s="2964"/>
      <c r="N127" s="2966"/>
      <c r="O127" s="2964"/>
      <c r="P127" s="2964"/>
      <c r="Q127" s="2964"/>
      <c r="R127" s="2967"/>
      <c r="S127" s="2964"/>
      <c r="T127" s="2864"/>
      <c r="U127" s="2864"/>
      <c r="V127" s="2864"/>
      <c r="W127" s="2865"/>
      <c r="X127" s="2181"/>
      <c r="Y127" s="2181"/>
      <c r="Z127" s="2181"/>
      <c r="AA127" s="2181"/>
      <c r="AB127" s="2181"/>
      <c r="AC127" s="2181"/>
      <c r="AD127" s="2181"/>
      <c r="AE127" s="2181"/>
      <c r="AF127" s="2181"/>
      <c r="AG127" s="2181"/>
      <c r="AH127" s="2181"/>
      <c r="AI127" s="2181"/>
      <c r="AJ127" s="2181"/>
      <c r="AK127" s="2181"/>
      <c r="AL127" s="2181"/>
      <c r="AM127" s="2181"/>
      <c r="AN127" s="2181"/>
      <c r="AO127" s="2181"/>
      <c r="AP127" s="2181"/>
      <c r="AQ127" s="2181"/>
    </row>
    <row s="39721" customFormat="1" customHeight="1" ht="17.25" hidden="1">
      <c r="A128" s="1233"/>
      <c r="C128" s="1232"/>
      <c r="D128" s="2962"/>
      <c r="E128" s="2970"/>
      <c r="F128" s="2972"/>
      <c r="G128" s="2970"/>
      <c r="H128" s="2975"/>
      <c r="I128" s="2977"/>
      <c r="J128" s="2980"/>
      <c r="K128" s="2964"/>
      <c r="L128" s="2964"/>
      <c r="M128" s="2964"/>
      <c r="N128" s="2967"/>
      <c r="O128" s="2964"/>
      <c r="P128" s="2860"/>
      <c r="Q128" s="2864"/>
      <c r="R128" s="2864"/>
      <c r="S128" s="1241"/>
      <c r="T128" s="1241"/>
      <c r="U128" s="1241"/>
      <c r="V128" s="1241"/>
      <c r="W128" s="2865"/>
      <c r="X128" s="2181"/>
      <c r="Y128" s="2181"/>
      <c r="Z128" s="2181"/>
      <c r="AA128" s="2181"/>
      <c r="AB128" s="2181"/>
      <c r="AC128" s="2181"/>
      <c r="AD128" s="2181"/>
      <c r="AE128" s="2181"/>
      <c r="AF128" s="2181"/>
      <c r="AG128" s="2181"/>
      <c r="AH128" s="2181"/>
      <c r="AI128" s="2181"/>
      <c r="AJ128" s="2181"/>
      <c r="AK128" s="2181"/>
      <c r="AL128" s="2181"/>
      <c r="AM128" s="2181"/>
      <c r="AN128" s="2181"/>
      <c r="AO128" s="2181"/>
      <c r="AP128" s="2181"/>
      <c r="AQ128" s="2181"/>
    </row>
    <row s="39721" customFormat="1" customHeight="1" ht="17.25" hidden="1">
      <c r="A129" s="1233"/>
      <c r="C129" s="1232"/>
      <c r="D129" s="2962"/>
      <c r="E129" s="2970"/>
      <c r="F129" s="2972"/>
      <c r="G129" s="2970"/>
      <c r="H129" s="2975"/>
      <c r="I129" s="2977"/>
      <c r="J129" s="2980"/>
      <c r="K129" s="2964"/>
      <c r="L129" s="2864"/>
      <c r="M129" s="2864"/>
      <c r="N129" s="2864"/>
      <c r="O129" s="2864"/>
      <c r="P129" s="2864"/>
      <c r="Q129" s="2864"/>
      <c r="R129" s="2864"/>
      <c r="S129" s="1241"/>
      <c r="T129" s="1241"/>
      <c r="U129" s="1241"/>
      <c r="V129" s="1241"/>
      <c r="W129" s="2865"/>
      <c r="X129" s="2181"/>
      <c r="Y129" s="2181"/>
      <c r="Z129" s="2181"/>
      <c r="AA129" s="2181"/>
      <c r="AB129" s="2181"/>
      <c r="AC129" s="2181"/>
      <c r="AD129" s="2181"/>
      <c r="AE129" s="2181"/>
      <c r="AF129" s="2181"/>
      <c r="AG129" s="2181"/>
      <c r="AH129" s="2181"/>
      <c r="AI129" s="2181"/>
      <c r="AJ129" s="2181"/>
      <c r="AK129" s="2181"/>
      <c r="AL129" s="2181"/>
      <c r="AM129" s="2181"/>
      <c r="AN129" s="2181"/>
      <c r="AO129" s="2181"/>
      <c r="AP129" s="2181"/>
      <c r="AQ129" s="2181"/>
    </row>
    <row s="39721" customFormat="1" customHeight="1" ht="17.25" hidden="1">
      <c r="A130" s="1233"/>
      <c r="C130" s="1232"/>
      <c r="D130" s="2962"/>
      <c r="E130" s="2970"/>
      <c r="F130" s="2973"/>
      <c r="G130" s="2970"/>
      <c r="H130" s="2214"/>
      <c r="I130" s="2862"/>
      <c r="J130" s="2862"/>
      <c r="K130" s="2862"/>
      <c r="L130" s="2862"/>
      <c r="M130" s="2862"/>
      <c r="N130" s="2862"/>
      <c r="O130" s="2862"/>
      <c r="P130" s="2862"/>
      <c r="Q130" s="2862"/>
      <c r="R130" s="2862"/>
      <c r="S130" s="2216"/>
      <c r="T130" s="2216"/>
      <c r="U130" s="2216"/>
      <c r="V130" s="2216"/>
      <c r="W130" s="2863"/>
      <c r="X130" s="2181"/>
      <c r="Y130" s="2181"/>
      <c r="Z130" s="2181"/>
      <c r="AA130" s="2181"/>
      <c r="AB130" s="2181"/>
      <c r="AC130" s="2181"/>
      <c r="AD130" s="2181"/>
      <c r="AE130" s="2181"/>
      <c r="AF130" s="2181"/>
      <c r="AG130" s="2181"/>
      <c r="AH130" s="2181"/>
      <c r="AI130" s="2181"/>
      <c r="AJ130" s="2181"/>
      <c r="AK130" s="2181"/>
      <c r="AL130" s="2181"/>
      <c r="AM130" s="2181"/>
      <c r="AN130" s="2181"/>
      <c r="AO130" s="2181"/>
      <c r="AP130" s="2181"/>
      <c r="AQ130" s="2181"/>
    </row>
    <row r="134" customHeight="1" ht="11.25">
      <c r="E134" s="2265"/>
    </row>
    <row customHeight="1" ht="11.25">
      <c r="E135" s="2265"/>
    </row>
    <row customHeight="1" ht="11.25">
      <c r="E136" s="2265"/>
    </row>
    <row customHeight="1" ht="11.25">
      <c r="E137" s="2265"/>
    </row>
    <row customHeight="1" ht="11.25">
      <c r="E138" s="2265"/>
    </row>
    <row customHeight="1" ht="11.25">
      <c r="E139" s="2265"/>
    </row>
    <row customHeight="1" ht="11.25">
      <c r="E140" s="2265"/>
    </row>
  </sheetData>
  <sheetProtection formatColumns="0" formatRows="0" autoFilter="0" sort="0" insertRows="0" insertColumns="1" deleteRows="0" deleteColumns="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CE60D8-0BEF-6B71-39D2-18B39571DC5F}" mc:Ignorable="x14ac xr xr2 xr3">
  <dimension ref="A1:I24"/>
  <sheetViews>
    <sheetView topLeftCell="C4" showGridLines="0" zoomScale="90" workbookViewId="0">
      <selection activeCell="A1" sqref="A1"/>
    </sheetView>
  </sheetViews>
  <sheetFormatPr defaultColWidth="9.140625" customHeight="1" defaultRowHeight="11.25"/>
  <cols>
    <col min="1" max="2" style="39873" width="15.00390625" hidden="1" customWidth="1"/>
    <col min="3" max="3" style="39916" width="3.7109375" customWidth="1"/>
    <col min="4" max="4" style="39917" width="6.8515625" customWidth="1"/>
    <col min="5" max="5" style="39916" width="52.28125" customWidth="1"/>
    <col min="6" max="6" style="39916" width="48.8515625" customWidth="1"/>
    <col min="7" max="7" style="39916" width="93.421875" customWidth="1"/>
    <col min="8" max="8" style="39916" width="9.140625"/>
    <col min="9" max="9" style="39916" width="65.00390625" customWidth="1"/>
  </cols>
  <sheetData>
    <row customHeight="1" ht="11.25" hidden="1">
      <c r="A1" s="1413" t="s">
        <v>290</v>
      </c>
    </row>
    <row customHeight="1" ht="22.5" hidden="1">
      <c r="A2" s="1414"/>
      <c r="B2" s="1414"/>
      <c r="C2" s="2645" t="s">
        <v>844</v>
      </c>
      <c r="D2" s="2435"/>
      <c r="E2" s="2441"/>
      <c r="F2" s="2464"/>
      <c r="H2" s="1387"/>
    </row>
    <row customHeight="1" ht="11.25" hidden="1"/>
    <row customHeight="1" ht="11.25">
      <c r="A4" s="2465"/>
      <c r="B4" s="2465"/>
    </row>
    <row customHeight="1" ht="26.25">
      <c r="D5" s="30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63"/>
      <c r="F5" s="3064"/>
      <c r="I5" s="1627"/>
    </row>
    <row customHeight="1" ht="17.25">
      <c r="D6" s="3000" t="str">
        <f>IF(region_name=0,"Не определено",region_name)</f>
        <v>г.Санкт-Петербург</v>
      </c>
      <c r="E6" s="3000"/>
      <c r="F6" s="3000"/>
      <c r="I6" s="1627"/>
    </row>
    <row s="39832" customFormat="1" customHeight="1" ht="11.25">
      <c r="A7" s="1413"/>
      <c r="B7" s="1413"/>
      <c r="D7" s="1626"/>
      <c r="E7" s="1626"/>
      <c r="F7" s="1664"/>
      <c r="G7" s="1626"/>
    </row>
    <row customHeight="1" ht="11.25" hidden="1">
      <c r="A8" s="1414"/>
      <c r="B8" s="1414"/>
      <c r="C8" s="1369"/>
      <c r="D8" s="1375"/>
      <c r="E8" s="3031"/>
      <c r="F8" s="3031"/>
    </row>
    <row customHeight="1" ht="11.25">
      <c r="A9" s="1414"/>
      <c r="B9" s="1414"/>
      <c r="C9" s="1369"/>
      <c r="D9" s="3028" t="s">
        <v>291</v>
      </c>
      <c r="E9" s="3029"/>
      <c r="F9" s="3029"/>
      <c r="G9" s="3032" t="s">
        <v>292</v>
      </c>
    </row>
    <row customHeight="1" ht="11.25">
      <c r="A10" s="1414"/>
      <c r="B10" s="1414"/>
      <c r="C10" s="1369"/>
      <c r="D10" s="2389" t="s">
        <v>84</v>
      </c>
      <c r="E10" s="2391" t="s">
        <v>293</v>
      </c>
      <c r="F10" s="2391" t="s">
        <v>294</v>
      </c>
      <c r="G10" s="3033"/>
    </row>
    <row customHeight="1" ht="0.75">
      <c r="A11" s="1414"/>
      <c r="B11" s="1414"/>
      <c r="C11" s="1369"/>
      <c r="D11" s="1376"/>
      <c r="E11" s="1376"/>
      <c r="F11" s="1376"/>
      <c r="G11" s="1376"/>
    </row>
    <row customHeight="1" ht="22.5">
      <c r="A12" s="1414"/>
      <c r="B12" s="1414"/>
      <c r="C12" s="1369"/>
      <c r="D12" s="2435">
        <v>1</v>
      </c>
      <c r="E12" s="13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824" t="str">
        <f>IF(org="","",org)</f>
        <v>ПАО "ТГК-1" филиал "Невский"</v>
      </c>
      <c r="G12" s="13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448"/>
    </row>
    <row customHeight="1" ht="18.75">
      <c r="A13" s="1414"/>
      <c r="B13" s="1414"/>
      <c r="C13" s="1369"/>
      <c r="D13" s="2435">
        <v>2</v>
      </c>
      <c r="E13" s="2442" t="s">
        <v>1810</v>
      </c>
      <c r="F13" s="2436" t="s">
        <v>297</v>
      </c>
      <c r="G13" s="1386"/>
      <c r="H13" s="2448"/>
    </row>
    <row customHeight="1" ht="18.75">
      <c r="A14" s="1414"/>
      <c r="B14" s="1414"/>
      <c r="C14" s="1369"/>
      <c r="D14" s="2438" t="s">
        <v>614</v>
      </c>
      <c r="E14" s="2439" t="s">
        <v>1811</v>
      </c>
      <c r="F14" s="2441"/>
      <c r="G14" s="2440" t="s">
        <v>1812</v>
      </c>
      <c r="H14" s="2448"/>
    </row>
    <row customHeight="1" ht="18.75">
      <c r="A15" s="1414"/>
      <c r="B15" s="1414"/>
      <c r="C15" s="1369"/>
      <c r="D15" s="2438" t="s">
        <v>298</v>
      </c>
      <c r="E15" s="2439" t="s">
        <v>1813</v>
      </c>
      <c r="F15" s="2441"/>
      <c r="G15" s="2440" t="s">
        <v>1814</v>
      </c>
      <c r="H15" s="2448"/>
    </row>
    <row customHeight="1" ht="22.5">
      <c r="A16" s="1414"/>
      <c r="B16" s="1414"/>
      <c r="C16" s="1369"/>
      <c r="D16" s="2438" t="s">
        <v>301</v>
      </c>
      <c r="E16" s="2437" t="s">
        <v>1815</v>
      </c>
      <c r="F16" s="2446"/>
      <c r="G16" s="1386" t="s">
        <v>1816</v>
      </c>
      <c r="H16" s="2448"/>
    </row>
    <row customHeight="1" ht="45">
      <c r="A17" s="1414"/>
      <c r="B17" s="1414"/>
      <c r="C17" s="1369"/>
      <c r="D17" s="2435">
        <v>3</v>
      </c>
      <c r="E17" s="2442" t="s">
        <v>1817</v>
      </c>
      <c r="F17" s="2441"/>
      <c r="G17" s="1386" t="s">
        <v>1818</v>
      </c>
      <c r="H17" s="2448"/>
    </row>
    <row customHeight="1" ht="45">
      <c r="A18" s="2390">
        <v>1</v>
      </c>
      <c r="B18" s="1414"/>
      <c r="C18" s="2392"/>
      <c r="D18" s="2435" t="s">
        <v>87</v>
      </c>
      <c r="E18" s="2442" t="s">
        <v>1819</v>
      </c>
      <c r="F18" s="2441"/>
      <c r="G18" s="1386" t="s">
        <v>1818</v>
      </c>
      <c r="H18" s="2448"/>
      <c r="I18" s="1764"/>
    </row>
    <row customHeight="1" ht="22.5">
      <c r="A19" s="1414"/>
      <c r="B19" s="1414"/>
      <c r="C19" s="1369"/>
      <c r="D19" s="2435" t="s">
        <v>104</v>
      </c>
      <c r="E19" s="2442" t="s">
        <v>1820</v>
      </c>
      <c r="F19" s="2436" t="s">
        <v>297</v>
      </c>
      <c r="G19" s="3288" t="s">
        <v>1821</v>
      </c>
      <c r="H19" s="1387"/>
    </row>
    <row s="41575" customFormat="1" customHeight="1" ht="5.25" hidden="1">
      <c r="A20" s="1414"/>
      <c r="B20" s="1414"/>
      <c r="C20" s="2444"/>
      <c r="D20" s="2443" t="s">
        <v>1091</v>
      </c>
      <c r="E20" s="1927"/>
      <c r="F20" s="1926"/>
      <c r="G20" s="3289"/>
    </row>
    <row customHeight="1" ht="15">
      <c r="A21" s="1414"/>
      <c r="B21" s="1414"/>
      <c r="C21" s="1369"/>
      <c r="D21" s="1379"/>
      <c r="E21" s="1327" t="s">
        <v>330</v>
      </c>
      <c r="F21" s="1381"/>
      <c r="G21" s="3290"/>
      <c r="H21" s="2448"/>
    </row>
    <row s="39873" customFormat="1" customHeight="1" ht="24.75">
      <c r="A22" s="1414"/>
      <c r="B22" s="1414"/>
      <c r="C22" s="1414"/>
      <c r="D22" s="2435" t="s">
        <v>88</v>
      </c>
      <c r="E22" s="1386" t="s">
        <v>1822</v>
      </c>
      <c r="F22" s="2441"/>
      <c r="G22" s="1386" t="s">
        <v>1823</v>
      </c>
      <c r="H22" s="2447"/>
    </row>
    <row s="39873" customFormat="1" customHeight="1" ht="18.75">
      <c r="A23" s="1414"/>
      <c r="B23" s="1414"/>
      <c r="C23" s="1414"/>
      <c r="D23" s="2435" t="s">
        <v>89</v>
      </c>
      <c r="E23" s="2442" t="s">
        <v>1824</v>
      </c>
      <c r="F23" s="2446"/>
      <c r="G23" s="1386" t="s">
        <v>1825</v>
      </c>
      <c r="H23" s="2447"/>
    </row>
    <row s="39873" customFormat="1" customHeight="1" ht="144" hidden="1">
      <c r="A24" s="1414"/>
      <c r="B24" s="1414"/>
      <c r="C24" s="1414"/>
      <c r="D24" s="2435" t="s">
        <v>105</v>
      </c>
      <c r="E24" s="2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814"/>
      <c r="G24" s="2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447"/>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480893-1198-0FF3-A321-A3420ED3CF28}" mc:Ignorable="x14ac xr xr2 xr3">
  <dimension ref="A1:IT23"/>
  <sheetViews>
    <sheetView topLeftCell="D4" showGridLines="0" zoomScale="90" workbookViewId="0">
      <selection activeCell="A1" sqref="A1"/>
    </sheetView>
  </sheetViews>
  <sheetFormatPr defaultColWidth="9.140625" customHeight="1" defaultRowHeight="14.25"/>
  <cols>
    <col min="1" max="1" style="40215" width="9.140625" hidden="1"/>
    <col min="2" max="2" style="40129" width="9.140625" hidden="1"/>
    <col min="3" max="3" style="40215" width="3.7109375" hidden="1" customWidth="1"/>
    <col min="4" max="4" style="39983" width="3.8515625" customWidth="1"/>
    <col min="5" max="5" style="40215" width="6.28125" customWidth="1"/>
    <col min="6" max="6" style="40215" width="46.7109375" customWidth="1"/>
    <col min="7" max="8" style="40215" width="16.7109375" customWidth="1"/>
    <col min="9" max="9" style="40215" width="35.28125" customWidth="1"/>
    <col min="10" max="10" style="40215" width="89.57421875" customWidth="1"/>
    <col min="11" max="11" style="41602" width="3.7109375" customWidth="1"/>
    <col min="12" max="14" style="41602" width="9.140625"/>
    <col min="15" max="15" style="39543" width="25.7109375" customWidth="1"/>
    <col min="16" max="16" style="41602" width="14.421875" customWidth="1"/>
    <col min="17" max="20" style="39544" width="9.140625"/>
    <col min="21" max="254" style="40215" width="9.140625"/>
  </cols>
  <sheetData>
    <row customHeight="1" ht="14.25" hidden="1"/>
    <row s="39511" customFormat="1" customHeight="1" ht="22.5" hidden="1">
      <c r="A2" s="1743"/>
      <c r="B2" s="2074">
        <v>1</v>
      </c>
      <c r="C2" s="2074"/>
      <c r="D2" s="2841" t="s">
        <v>844</v>
      </c>
      <c r="E2" s="2399"/>
      <c r="F2" s="2406"/>
      <c r="G2" s="2406"/>
      <c r="H2" s="2406"/>
      <c r="I2" s="2901"/>
      <c r="J2" s="2902"/>
      <c r="K2" s="2450"/>
      <c r="L2" s="1423"/>
      <c r="M2" s="1423"/>
      <c r="N2" s="1412" t="str">
        <f t="array" ref="N2:N2">IF(ISERROR(MATCH(MID(O2,1,250),MID(note_ter,1,250),0)),"n","y")</f>
        <v>n</v>
      </c>
      <c r="O2" s="1423"/>
      <c r="P2" s="1412" t="str">
        <f>G2&amp;"("&amp;J2&amp;")"</f>
        <v>()</v>
      </c>
      <c r="Q2" s="2074"/>
      <c r="R2" s="2074"/>
      <c r="S2" s="1332"/>
      <c r="T2" s="2074"/>
      <c r="U2" s="2074"/>
      <c r="V2" s="2074"/>
      <c r="W2" s="1334"/>
      <c r="X2" s="1334"/>
      <c r="Y2" s="1331"/>
      <c r="Z2" s="1331"/>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4"/>
      <c r="BU2" s="1334"/>
      <c r="BV2" s="1334"/>
      <c r="BW2" s="1334"/>
      <c r="BX2" s="1334"/>
      <c r="BY2" s="1334"/>
      <c r="BZ2" s="1334"/>
      <c r="CA2" s="1334"/>
      <c r="CB2" s="1334"/>
      <c r="CC2" s="1334"/>
    </row>
    <row s="40202" customFormat="1" customHeight="1" ht="5.25" hidden="1">
      <c r="A3" s="1408"/>
      <c r="D3" s="1406"/>
      <c r="F3" s="1159" t="s">
        <v>79</v>
      </c>
      <c r="G3" s="1406" t="s">
        <v>80</v>
      </c>
      <c r="H3" s="1406"/>
      <c r="I3" s="1406"/>
      <c r="J3" s="1139" t="s">
        <v>81</v>
      </c>
      <c r="K3" s="1159" t="s">
        <v>79</v>
      </c>
      <c r="L3" s="1159"/>
      <c r="M3" s="1159"/>
      <c r="N3" s="1159"/>
      <c r="O3" s="1160"/>
      <c r="P3" s="1159"/>
      <c r="Q3" s="1159"/>
      <c r="R3" s="1159"/>
      <c r="S3" s="1159"/>
      <c r="T3" s="115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row>
    <row s="39502" customFormat="1" customHeight="1" ht="14.25">
      <c r="A4" s="2069"/>
      <c r="B4" s="2074"/>
      <c r="C4" s="2069"/>
      <c r="D4" s="2410"/>
      <c r="E4" s="1421"/>
      <c r="F4" s="1421"/>
      <c r="G4" s="1421"/>
      <c r="H4" s="1421"/>
      <c r="I4" s="1421"/>
      <c r="J4" s="1079"/>
      <c r="K4" s="1159"/>
      <c r="L4" s="1412"/>
      <c r="M4" s="1412"/>
      <c r="N4" s="1412"/>
      <c r="O4" s="1138"/>
      <c r="P4" s="1412"/>
      <c r="Q4" s="1137"/>
      <c r="R4" s="1137"/>
      <c r="S4" s="1137"/>
      <c r="T4" s="1137"/>
    </row>
    <row s="39502" customFormat="1" customHeight="1" ht="25.5">
      <c r="A5" s="2069"/>
      <c r="B5" s="2074"/>
      <c r="C5" s="2069"/>
      <c r="D5" s="2410"/>
      <c r="E5" s="29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26"/>
      <c r="G5" s="2926"/>
      <c r="H5" s="2926"/>
      <c r="I5" s="2926"/>
      <c r="J5" s="2926"/>
      <c r="K5" s="1159"/>
      <c r="L5" s="1412"/>
      <c r="M5" s="1412"/>
      <c r="N5" s="1412"/>
      <c r="O5" s="1138"/>
      <c r="P5" s="1412"/>
      <c r="Q5" s="1137"/>
      <c r="R5" s="1137"/>
      <c r="S5" s="1137"/>
      <c r="T5" s="1137"/>
    </row>
    <row s="39502" customFormat="1" customHeight="1" ht="14.25">
      <c r="A6" s="2069"/>
      <c r="B6" s="2074"/>
      <c r="C6" s="2069"/>
      <c r="D6" s="2410"/>
      <c r="E6" s="1421"/>
      <c r="F6" s="1080"/>
      <c r="G6" s="1080"/>
      <c r="H6" s="1080"/>
      <c r="I6" s="1080"/>
      <c r="J6" s="1081"/>
      <c r="K6" s="1412"/>
      <c r="L6" s="1412"/>
      <c r="M6" s="1412"/>
      <c r="N6" s="1412"/>
      <c r="O6" s="1138"/>
      <c r="P6" s="1412"/>
      <c r="Q6" s="1137"/>
      <c r="R6" s="1137"/>
      <c r="S6" s="1137"/>
      <c r="T6" s="1137"/>
    </row>
    <row s="39502" customFormat="1" customHeight="1" ht="14.25">
      <c r="A7" s="2069"/>
      <c r="B7" s="2074"/>
      <c r="C7" s="2069"/>
      <c r="D7" s="2410"/>
      <c r="E7" s="2927" t="s">
        <v>291</v>
      </c>
      <c r="F7" s="2928"/>
      <c r="G7" s="2928"/>
      <c r="H7" s="2928"/>
      <c r="I7" s="2928"/>
      <c r="J7" s="3291" t="s">
        <v>292</v>
      </c>
      <c r="K7" s="1412"/>
      <c r="L7" s="1412"/>
      <c r="M7" s="1412"/>
      <c r="N7" s="1412"/>
      <c r="O7" s="1138"/>
      <c r="P7" s="1412"/>
      <c r="Q7" s="1137"/>
      <c r="R7" s="1137"/>
      <c r="S7" s="1137"/>
      <c r="T7" s="1137"/>
    </row>
    <row s="39502" customFormat="1" customHeight="1" ht="20.25">
      <c r="A8" s="2069"/>
      <c r="B8" s="2074"/>
      <c r="C8" s="2069"/>
      <c r="D8" s="2410"/>
      <c r="E8" s="2463" t="s">
        <v>84</v>
      </c>
      <c r="F8" s="2455" t="s">
        <v>1826</v>
      </c>
      <c r="G8" s="2455" t="s">
        <v>43</v>
      </c>
      <c r="H8" s="2455" t="s">
        <v>45</v>
      </c>
      <c r="I8" s="2455" t="s">
        <v>1827</v>
      </c>
      <c r="J8" s="3292"/>
      <c r="K8" s="1412"/>
      <c r="L8" s="1412"/>
      <c r="M8" s="1412"/>
      <c r="N8" s="1412"/>
      <c r="O8" s="1138"/>
      <c r="P8" s="1412"/>
      <c r="Q8" s="1137"/>
      <c r="R8" s="1137"/>
      <c r="S8" s="1137"/>
      <c r="T8" s="1137"/>
    </row>
    <row s="39511" customFormat="1" customHeight="1" ht="22.5">
      <c r="A9" s="2546"/>
      <c r="B9" s="2074">
        <v>1</v>
      </c>
      <c r="C9" s="2074"/>
      <c r="D9" s="1713"/>
      <c r="E9" s="2399">
        <v>1</v>
      </c>
      <c r="F9" s="2462"/>
      <c r="G9" s="2406"/>
      <c r="H9" s="2406"/>
      <c r="I9" s="2453"/>
      <c r="J9" s="29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450"/>
      <c r="L9" s="1423"/>
      <c r="M9" s="1423"/>
      <c r="N9" s="1412" t="str">
        <f t="array" ref="N9:N9">IF(ISERROR(MATCH(MID(O9,1,250),MID(note_ter,1,250),0)),"n","y")</f>
        <v>n</v>
      </c>
      <c r="O9" s="1423"/>
      <c r="P9" s="14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2074"/>
      <c r="R9" s="2074"/>
      <c r="S9" s="1332"/>
      <c r="T9" s="2074"/>
      <c r="U9" s="2074"/>
      <c r="V9" s="2074"/>
      <c r="W9" s="1334"/>
      <c r="X9" s="1334"/>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4"/>
      <c r="BU9" s="1334"/>
      <c r="BV9" s="1334"/>
      <c r="BW9" s="1334"/>
      <c r="BX9" s="1334"/>
      <c r="BY9" s="1334"/>
      <c r="BZ9" s="1334"/>
      <c r="CA9" s="1334"/>
      <c r="CB9" s="1334"/>
      <c r="CC9" s="1334"/>
    </row>
    <row s="39511" customFormat="1" customHeight="1" ht="15">
      <c r="A10" s="2546"/>
      <c r="B10" s="2074"/>
      <c r="C10" s="1324"/>
      <c r="D10" s="1713"/>
      <c r="E10" s="2456"/>
      <c r="F10" s="2415" t="s">
        <v>1828</v>
      </c>
      <c r="G10" s="2457"/>
      <c r="H10" s="2457"/>
      <c r="I10" s="2815"/>
      <c r="J10" s="2995"/>
      <c r="K10" s="2451"/>
      <c r="L10" s="1423"/>
      <c r="M10" s="1423"/>
      <c r="N10" s="1423"/>
      <c r="O10" s="1412"/>
      <c r="P10" s="1423"/>
      <c r="Q10" s="2074"/>
      <c r="R10" s="2074"/>
      <c r="S10" s="1332"/>
      <c r="T10" s="2074"/>
      <c r="U10" s="2074"/>
      <c r="V10" s="2074"/>
      <c r="W10" s="1334"/>
      <c r="X10" s="1334"/>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4"/>
      <c r="BU10" s="1334"/>
      <c r="BV10" s="1334"/>
      <c r="BW10" s="1334"/>
      <c r="BX10" s="1334"/>
      <c r="BY10" s="1334"/>
      <c r="BZ10" s="1334"/>
      <c r="CA10" s="1334"/>
      <c r="CB10" s="1334"/>
      <c r="CC10" s="1334"/>
    </row>
    <row s="39502" customFormat="1" customHeight="1" ht="21">
      <c r="A11" s="2069"/>
      <c r="B11" s="2074"/>
      <c r="C11" s="2069"/>
      <c r="D11" s="1363"/>
      <c r="E11" s="1093"/>
      <c r="F11" s="1093"/>
      <c r="G11" s="1093"/>
      <c r="H11" s="1093"/>
      <c r="I11" s="1093"/>
      <c r="J11" s="1093"/>
      <c r="K11" s="1412"/>
      <c r="L11" s="1412"/>
      <c r="M11" s="1412"/>
      <c r="N11" s="1412"/>
      <c r="O11" s="1138"/>
      <c r="P11" s="1412"/>
      <c r="Q11" s="1137"/>
      <c r="R11" s="1137"/>
      <c r="S11" s="1137"/>
      <c r="T11" s="1137"/>
    </row>
    <row s="39502" customFormat="1" customHeight="1" ht="14.25">
      <c r="A12" s="2069"/>
      <c r="B12" s="2074"/>
      <c r="C12" s="2069"/>
      <c r="D12" s="1363"/>
      <c r="E12" s="2069"/>
      <c r="F12" s="2069"/>
      <c r="G12" s="2069"/>
      <c r="H12" s="2069"/>
      <c r="I12" s="2069"/>
      <c r="J12" s="2069"/>
      <c r="K12" s="1412"/>
      <c r="L12" s="1412"/>
      <c r="M12" s="1412"/>
      <c r="N12" s="1412"/>
      <c r="O12" s="1138"/>
      <c r="P12" s="1412"/>
      <c r="Q12" s="1137"/>
      <c r="R12" s="1137"/>
      <c r="S12" s="1137"/>
      <c r="T12" s="1137"/>
    </row>
    <row s="39502" customFormat="1" customHeight="1" ht="0.75">
      <c r="A13" s="2069"/>
      <c r="B13" s="2074"/>
      <c r="C13" s="2069"/>
      <c r="D13" s="1363"/>
      <c r="E13" s="2069"/>
      <c r="F13" s="2069"/>
      <c r="G13" s="2069"/>
      <c r="H13" s="2069"/>
      <c r="I13" s="2069"/>
      <c r="J13" s="2069"/>
      <c r="K13" s="1412"/>
      <c r="L13" s="1412"/>
      <c r="M13" s="1412"/>
      <c r="N13" s="1412"/>
      <c r="O13" s="1138"/>
      <c r="P13" s="1412"/>
      <c r="Q13" s="1137"/>
      <c r="R13" s="1137"/>
      <c r="S13" s="1137"/>
      <c r="T13" s="1137"/>
    </row>
    <row s="39534" customFormat="1" customHeight="1" ht="10.5">
      <c r="B14" s="1746"/>
      <c r="D14" s="1095"/>
      <c r="K14" s="1412"/>
      <c r="L14" s="1412"/>
      <c r="M14" s="1412"/>
      <c r="N14" s="1412"/>
      <c r="O14" s="1138"/>
      <c r="P14" s="1412"/>
      <c r="Q14" s="1137"/>
      <c r="R14" s="1137"/>
      <c r="S14" s="1137"/>
      <c r="T14" s="1137"/>
    </row>
    <row s="39534" customFormat="1" customHeight="1" ht="10.5">
      <c r="B15" s="1746"/>
      <c r="D15" s="1095"/>
      <c r="K15" s="1412"/>
      <c r="L15" s="1412"/>
      <c r="M15" s="1412"/>
      <c r="N15" s="1412"/>
      <c r="O15" s="1138"/>
      <c r="P15" s="1412"/>
      <c r="Q15" s="1137"/>
      <c r="R15" s="1137"/>
      <c r="S15" s="1137"/>
      <c r="T15" s="1137"/>
    </row>
    <row r="19" customHeight="1" ht="14.25">
      <c r="G19" s="1285"/>
      <c r="H19" s="1285"/>
      <c r="I19" s="1285"/>
    </row>
    <row r="23" customHeight="1" ht="14.25">
      <c r="K23" s="2069"/>
      <c r="L23" s="2069"/>
      <c r="M23" s="2069"/>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6007DF-DC91-FA86-B9AD-E15F27291DD2}" mc:Ignorable="x14ac xr xr2 xr3">
  <dimension ref="A1:IV14"/>
  <sheetViews>
    <sheetView topLeftCell="D4" showGridLines="0" zoomScale="90" workbookViewId="0">
      <selection activeCell="A1" sqref="A1"/>
    </sheetView>
  </sheetViews>
  <sheetFormatPr defaultColWidth="9.140625" customHeight="1" defaultRowHeight="14.25"/>
  <cols>
    <col min="1" max="1" style="40215" width="9.140625" hidden="1"/>
    <col min="2" max="2" style="40129" width="9.140625" hidden="1"/>
    <col min="3" max="3" style="40215" width="3.7109375" hidden="1" customWidth="1"/>
    <col min="4" max="4" style="39983" width="3.8515625" customWidth="1"/>
    <col min="5" max="5" style="40215" width="6.28125" customWidth="1"/>
    <col min="6" max="6" style="40215" width="27.28125" customWidth="1"/>
    <col min="7" max="7" style="40215" width="16.7109375" customWidth="1"/>
    <col min="8" max="8" style="40215" width="12.7109375" customWidth="1"/>
    <col min="9" max="9" style="40215" width="32.140625" customWidth="1"/>
    <col min="10" max="11" style="40215" width="41.8515625" customWidth="1"/>
    <col min="12" max="12" style="40215" width="89.57421875" customWidth="1"/>
    <col min="13" max="13" style="41602" width="3.7109375" customWidth="1"/>
    <col min="14" max="16" style="41602" width="9.140625"/>
    <col min="17" max="17" style="39543" width="25.7109375" customWidth="1"/>
    <col min="18" max="18" style="41602" width="14.421875" customWidth="1"/>
    <col min="19" max="22" style="39544" width="9.140625"/>
    <col min="23" max="256" style="40215" width="9.140625"/>
  </cols>
  <sheetData>
    <row customHeight="1" ht="14.25" hidden="1"/>
    <row s="39511" customFormat="1" customHeight="1" ht="22.5" hidden="1">
      <c r="A2" s="1743"/>
      <c r="B2" s="2074">
        <v>1</v>
      </c>
      <c r="C2" s="2074"/>
      <c r="D2" s="2842" t="s">
        <v>844</v>
      </c>
      <c r="E2" s="2805"/>
      <c r="F2" s="2808" t="str">
        <f>IF(ROIV_INFO_NAME="","",ROIV_INFO_NAME)</f>
        <v>ПАО "ТГК-1" филиал "Невский"</v>
      </c>
      <c r="G2" s="2833" t="s">
        <v>18</v>
      </c>
      <c r="H2" s="2832"/>
      <c r="I2" s="2453"/>
      <c r="J2" s="1730"/>
      <c r="K2" s="1730"/>
      <c r="L2" s="1140"/>
      <c r="M2" s="2450">
        <f>MERGEVALUE(F2)</f>
      </c>
      <c r="N2" s="1423"/>
      <c r="O2" s="1423"/>
      <c r="P2" s="1412" t="str">
        <f t="array" ref="P2:P2">IF(ISERROR(MATCH(MID(Q2,1,250),MID(note_ter,1,250),0)),"n","y")</f>
        <v>n</v>
      </c>
      <c r="Q2" s="1423"/>
      <c r="R2" s="1412" t="str">
        <f>G2&amp;"("&amp;L2&amp;")"</f>
        <v>()</v>
      </c>
      <c r="S2" s="2074"/>
      <c r="T2" s="2074"/>
      <c r="U2" s="1332"/>
      <c r="V2" s="2074"/>
      <c r="W2" s="2074"/>
      <c r="X2" s="2074"/>
      <c r="Y2" s="1334"/>
      <c r="Z2" s="1334"/>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1"/>
      <c r="BU2" s="1331"/>
      <c r="BV2" s="1334"/>
      <c r="BW2" s="1334"/>
      <c r="BX2" s="1334"/>
      <c r="BY2" s="1334"/>
      <c r="BZ2" s="1334"/>
      <c r="CA2" s="1334"/>
      <c r="CB2" s="1334"/>
      <c r="CC2" s="1334"/>
      <c r="CD2" s="1334"/>
      <c r="CE2" s="1334"/>
    </row>
    <row s="40202" customFormat="1" customHeight="1" ht="5.25" hidden="1">
      <c r="A3" s="1408"/>
      <c r="D3" s="1406"/>
      <c r="F3" s="1159" t="s">
        <v>79</v>
      </c>
      <c r="G3" s="2650" t="s">
        <v>80</v>
      </c>
      <c r="H3" s="1406"/>
      <c r="I3" s="1406"/>
      <c r="J3" s="1406"/>
      <c r="K3" s="1406"/>
      <c r="L3" s="1139" t="s">
        <v>81</v>
      </c>
      <c r="M3" s="1159" t="s">
        <v>79</v>
      </c>
      <c r="N3" s="1159"/>
      <c r="O3" s="1159"/>
      <c r="P3" s="1159"/>
      <c r="Q3" s="1160"/>
      <c r="R3" s="1159"/>
      <c r="S3" s="1159"/>
      <c r="T3" s="1159"/>
      <c r="U3" s="1159"/>
      <c r="V3" s="115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39502" customFormat="1" customHeight="1" ht="14.25">
      <c r="A4" s="2069"/>
      <c r="B4" s="2074"/>
      <c r="C4" s="2069"/>
      <c r="D4" s="2410"/>
      <c r="E4" s="1421"/>
      <c r="F4" s="1421"/>
      <c r="G4" s="1421"/>
      <c r="H4" s="1421"/>
      <c r="I4" s="1421"/>
      <c r="J4" s="1421"/>
      <c r="K4" s="1421"/>
      <c r="L4" s="1079"/>
      <c r="M4" s="1159"/>
      <c r="N4" s="1412"/>
      <c r="O4" s="1412"/>
      <c r="P4" s="1412"/>
      <c r="Q4" s="1138"/>
      <c r="R4" s="1412"/>
      <c r="S4" s="1137"/>
      <c r="T4" s="1137"/>
      <c r="U4" s="1137"/>
      <c r="V4" s="1137"/>
    </row>
    <row s="39502" customFormat="1" customHeight="1" ht="25.5">
      <c r="A5" s="2069"/>
      <c r="B5" s="2074"/>
      <c r="C5" s="2069"/>
      <c r="D5" s="2410"/>
      <c r="E5" s="29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26"/>
      <c r="G5" s="2926"/>
      <c r="H5" s="2926"/>
      <c r="I5" s="2926"/>
      <c r="J5" s="2926"/>
      <c r="K5" s="2926"/>
      <c r="L5" s="1500"/>
      <c r="M5" s="1159"/>
      <c r="N5" s="1412"/>
      <c r="O5" s="1412"/>
      <c r="P5" s="1412"/>
      <c r="Q5" s="1138"/>
      <c r="R5" s="1412"/>
      <c r="S5" s="1137"/>
      <c r="T5" s="1137"/>
      <c r="U5" s="1137"/>
      <c r="V5" s="1137"/>
    </row>
    <row s="39502" customFormat="1" customHeight="1" ht="14.25">
      <c r="A6" s="2069"/>
      <c r="B6" s="2074"/>
      <c r="C6" s="2069"/>
      <c r="D6" s="2410"/>
      <c r="E6" s="1421"/>
      <c r="F6" s="1080"/>
      <c r="G6" s="1080"/>
      <c r="H6" s="1080"/>
      <c r="I6" s="1080"/>
      <c r="J6" s="1080"/>
      <c r="K6" s="1080"/>
      <c r="L6" s="1081"/>
      <c r="M6" s="1412"/>
      <c r="N6" s="1412"/>
      <c r="O6" s="1412"/>
      <c r="P6" s="1412"/>
      <c r="Q6" s="1138"/>
      <c r="R6" s="1412"/>
      <c r="S6" s="1137"/>
      <c r="T6" s="1137"/>
      <c r="U6" s="1137"/>
      <c r="V6" s="1137"/>
    </row>
    <row s="39502" customFormat="1" customHeight="1" ht="14.25">
      <c r="A7" s="2069"/>
      <c r="B7" s="2074"/>
      <c r="C7" s="2069"/>
      <c r="D7" s="2410"/>
      <c r="E7" s="2927" t="s">
        <v>291</v>
      </c>
      <c r="F7" s="2928"/>
      <c r="G7" s="2928"/>
      <c r="H7" s="2928"/>
      <c r="I7" s="2928"/>
      <c r="J7" s="2928"/>
      <c r="K7" s="2928"/>
      <c r="L7" s="3291" t="s">
        <v>292</v>
      </c>
      <c r="M7" s="1412"/>
      <c r="N7" s="1412"/>
      <c r="O7" s="1412"/>
      <c r="P7" s="1412"/>
      <c r="Q7" s="1138"/>
      <c r="R7" s="1412"/>
      <c r="S7" s="1137"/>
      <c r="T7" s="1137"/>
      <c r="U7" s="1137"/>
      <c r="V7" s="1137"/>
    </row>
    <row s="39502" customFormat="1" customHeight="1" ht="64.5">
      <c r="A8" s="2069"/>
      <c r="B8" s="2074"/>
      <c r="C8" s="2069"/>
      <c r="D8" s="2410"/>
      <c r="E8" s="3295" t="s">
        <v>84</v>
      </c>
      <c r="F8" s="32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98"/>
      <c r="I8" s="3299"/>
      <c r="J8" s="32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93"/>
      <c r="M8" s="1412"/>
      <c r="N8" s="1412"/>
      <c r="O8" s="1412"/>
      <c r="P8" s="1412"/>
      <c r="Q8" s="1138"/>
      <c r="R8" s="1412"/>
      <c r="S8" s="1137"/>
      <c r="T8" s="1137"/>
      <c r="U8" s="1137"/>
      <c r="V8" s="1137"/>
    </row>
    <row s="39502" customFormat="1" customHeight="1" ht="27.75">
      <c r="A9" s="2069"/>
      <c r="B9" s="2074"/>
      <c r="C9" s="2069"/>
      <c r="D9" s="2410"/>
      <c r="E9" s="3296"/>
      <c r="F9" s="3296"/>
      <c r="G9" s="2452" t="s">
        <v>1829</v>
      </c>
      <c r="H9" s="2452" t="s">
        <v>1830</v>
      </c>
      <c r="I9" s="2452" t="s">
        <v>1831</v>
      </c>
      <c r="J9" s="3296"/>
      <c r="K9" s="3296"/>
      <c r="L9" s="3292"/>
      <c r="M9" s="1412"/>
      <c r="N9" s="1412"/>
      <c r="O9" s="1412"/>
      <c r="P9" s="1412"/>
      <c r="Q9" s="1138"/>
      <c r="R9" s="1412"/>
      <c r="S9" s="1137"/>
      <c r="T9" s="1137"/>
      <c r="U9" s="1137"/>
      <c r="V9" s="1137"/>
    </row>
    <row s="39511" customFormat="1" customHeight="1" ht="22.5">
      <c r="A10" s="2925"/>
      <c r="B10" s="2074">
        <v>1</v>
      </c>
      <c r="C10" s="2074"/>
      <c r="D10" s="1712"/>
      <c r="E10" s="1710">
        <v>1</v>
      </c>
      <c r="F10" s="2454" t="str">
        <f>IF(ROIV_INFO_NAME="","",ROIV_INFO_NAME)</f>
        <v>ПАО "ТГК-1" филиал "Невский"</v>
      </c>
      <c r="G10" s="2647" t="s">
        <v>18</v>
      </c>
      <c r="H10" s="2832"/>
      <c r="I10" s="2449"/>
      <c r="J10" s="1730"/>
      <c r="K10" s="1730"/>
      <c r="L10" s="32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450">
        <f>MERGEVALUE(F10)</f>
      </c>
      <c r="N10" s="1423"/>
      <c r="O10" s="1423"/>
      <c r="P10" s="1412" t="str">
        <f t="array" ref="P10:P10">IF(ISERROR(MATCH(MID(Q10,1,250),MID(note_ter,1,250),0)),"n","y")</f>
        <v>n</v>
      </c>
      <c r="Q10" s="1423"/>
      <c r="R10" s="14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74"/>
      <c r="T10" s="2074"/>
      <c r="U10" s="1332"/>
      <c r="V10" s="2074"/>
      <c r="W10" s="2074"/>
      <c r="X10" s="2074"/>
      <c r="Y10" s="1334"/>
      <c r="Z10" s="1334"/>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4"/>
      <c r="BW10" s="1334"/>
      <c r="BX10" s="1334"/>
      <c r="BY10" s="1334"/>
      <c r="BZ10" s="1334"/>
      <c r="CA10" s="1334"/>
      <c r="CB10" s="1334"/>
      <c r="CC10" s="1334"/>
      <c r="CD10" s="1334"/>
      <c r="CE10" s="1334"/>
    </row>
    <row s="39511" customFormat="1" customHeight="1" ht="15">
      <c r="A11" s="2925"/>
      <c r="B11" s="2074"/>
      <c r="C11" s="1324"/>
      <c r="D11" s="1713"/>
      <c r="E11" s="1333"/>
      <c r="F11" s="1328" t="s">
        <v>1832</v>
      </c>
      <c r="G11" s="1099"/>
      <c r="H11" s="1099"/>
      <c r="I11" s="1099"/>
      <c r="J11" s="1099"/>
      <c r="K11" s="1336"/>
      <c r="L11" s="3294"/>
      <c r="M11" s="2451"/>
      <c r="N11" s="1423"/>
      <c r="O11" s="1423"/>
      <c r="P11" s="1423"/>
      <c r="Q11" s="1412"/>
      <c r="R11" s="1423"/>
      <c r="S11" s="2074"/>
      <c r="T11" s="2074"/>
      <c r="U11" s="1332"/>
      <c r="V11" s="2074"/>
      <c r="W11" s="2074"/>
      <c r="X11" s="2074"/>
      <c r="Y11" s="1334"/>
      <c r="Z11" s="1334"/>
      <c r="AA11" s="1331"/>
      <c r="AB11" s="1331"/>
      <c r="AC11" s="1331"/>
      <c r="AD11" s="1331"/>
      <c r="AE11" s="1331"/>
      <c r="AF11" s="1331"/>
      <c r="AG11" s="1331"/>
      <c r="AH11" s="1331"/>
      <c r="AI11" s="1331"/>
      <c r="AJ11" s="1331"/>
      <c r="AK11" s="1331"/>
      <c r="AL11" s="1331"/>
      <c r="AM11" s="1331"/>
      <c r="AN11" s="1331"/>
      <c r="AO11" s="1331"/>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4"/>
      <c r="BW11" s="1334"/>
      <c r="BX11" s="1334"/>
      <c r="BY11" s="1334"/>
      <c r="BZ11" s="1334"/>
      <c r="CA11" s="1334"/>
      <c r="CB11" s="1334"/>
      <c r="CC11" s="1334"/>
      <c r="CD11" s="1334"/>
      <c r="CE11" s="1334"/>
    </row>
    <row s="39502" customFormat="1" customHeight="1" ht="21">
      <c r="A12" s="2069"/>
      <c r="B12" s="2074"/>
      <c r="C12" s="2069"/>
      <c r="D12" s="1363"/>
      <c r="E12" s="1093"/>
      <c r="F12" s="1093"/>
      <c r="G12" s="1093"/>
      <c r="H12" s="1093"/>
      <c r="I12" s="1093"/>
      <c r="J12" s="1093"/>
      <c r="K12" s="1093"/>
      <c r="L12" s="1093"/>
      <c r="M12" s="1412"/>
      <c r="N12" s="1412"/>
      <c r="O12" s="1412"/>
      <c r="P12" s="1412"/>
      <c r="Q12" s="1138"/>
      <c r="R12" s="1412"/>
      <c r="S12" s="1137"/>
      <c r="T12" s="1137"/>
      <c r="U12" s="1137"/>
      <c r="V12" s="1137"/>
    </row>
    <row s="39502" customFormat="1" customHeight="1" ht="14.25">
      <c r="A13" s="2069"/>
      <c r="B13" s="2074"/>
      <c r="C13" s="2069"/>
      <c r="D13" s="1363"/>
      <c r="E13" s="2069"/>
      <c r="F13" s="2069"/>
      <c r="G13" s="2069"/>
      <c r="H13" s="2069"/>
      <c r="I13" s="2069"/>
      <c r="J13" s="2069"/>
      <c r="K13" s="2069"/>
      <c r="L13" s="2069"/>
      <c r="M13" s="1412"/>
      <c r="N13" s="1412"/>
      <c r="O13" s="1412"/>
      <c r="P13" s="1412"/>
      <c r="Q13" s="1138"/>
      <c r="R13" s="1412"/>
      <c r="S13" s="1137"/>
      <c r="T13" s="1137"/>
      <c r="U13" s="1137"/>
      <c r="V13" s="1137"/>
    </row>
    <row s="39502" customFormat="1" customHeight="1" ht="0.75">
      <c r="A14" s="2069"/>
      <c r="B14" s="2074"/>
      <c r="C14" s="2069"/>
      <c r="D14" s="1363"/>
      <c r="E14" s="2069"/>
      <c r="F14" s="2069"/>
      <c r="G14" s="2069"/>
      <c r="H14" s="2069"/>
      <c r="I14" s="2069"/>
      <c r="J14" s="2069"/>
      <c r="K14" s="2069"/>
      <c r="L14" s="2069"/>
      <c r="M14" s="1412"/>
      <c r="N14" s="1412"/>
      <c r="O14" s="1412"/>
      <c r="P14" s="1412"/>
      <c r="Q14" s="1138"/>
      <c r="R14" s="1412"/>
      <c r="S14" s="1137"/>
      <c r="T14" s="1137"/>
      <c r="U14" s="1137"/>
      <c r="V14" s="1137"/>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09454-F609-51C9-603C-AF826955CCCC}" mc:Ignorable="x14ac xr xr2 xr3">
  <dimension ref="A1:IV14"/>
  <sheetViews>
    <sheetView topLeftCell="D4" showGridLines="0" zoomScale="90" workbookViewId="0">
      <selection activeCell="A1" sqref="A1"/>
    </sheetView>
  </sheetViews>
  <sheetFormatPr defaultColWidth="9.140625" customHeight="1" defaultRowHeight="14.25"/>
  <cols>
    <col min="1" max="1" style="40257" width="9.140625" hidden="1"/>
    <col min="2" max="2" style="40242" width="9.140625" hidden="1"/>
    <col min="3" max="3" style="40257" width="3.7109375" hidden="1" customWidth="1"/>
    <col min="4" max="4" style="41630" width="3.8515625" customWidth="1"/>
    <col min="5" max="5" style="40257" width="6.28125" customWidth="1"/>
    <col min="6" max="6" style="40257" width="27.28125" customWidth="1"/>
    <col min="7" max="7" style="40257" width="16.7109375" customWidth="1"/>
    <col min="8" max="8" style="40257" width="12.7109375" customWidth="1"/>
    <col min="9" max="9" style="40257" width="32.140625" customWidth="1"/>
    <col min="10" max="11" style="40257" width="41.8515625" customWidth="1"/>
    <col min="12" max="12" style="40257" width="89.57421875" customWidth="1"/>
    <col min="13" max="13" style="41631" width="3.7109375" customWidth="1"/>
    <col min="14" max="16" style="41631" width="9.140625"/>
    <col min="17" max="17" style="41631" width="25.7109375" customWidth="1"/>
    <col min="18" max="18" style="41631" width="14.421875" customWidth="1"/>
    <col min="19" max="22" style="39544" width="9.140625"/>
    <col min="23" max="256" style="40257" width="9.140625"/>
  </cols>
  <sheetData>
    <row customHeight="1" ht="14.25" hidden="1"/>
    <row s="41620" customFormat="1" customHeight="1" ht="22.5" hidden="1">
      <c r="A2" s="1743"/>
      <c r="B2" s="2281">
        <v>1</v>
      </c>
      <c r="C2" s="2281"/>
      <c r="D2" s="2843" t="s">
        <v>844</v>
      </c>
      <c r="E2" s="2820"/>
      <c r="F2" s="2822" t="str">
        <f>IF(ROIV_INFO_NAME="","",ROIV_INFO_NAME)</f>
        <v>ПАО "ТГК-1" филиал "Невский"</v>
      </c>
      <c r="G2" s="2647" t="s">
        <v>18</v>
      </c>
      <c r="H2" s="2832"/>
      <c r="I2" s="2453"/>
      <c r="J2" s="1730"/>
      <c r="K2" s="1730"/>
      <c r="L2" s="1140"/>
      <c r="M2" s="2450">
        <f>MERGEVALUE(F2)</f>
      </c>
      <c r="N2" s="2551"/>
      <c r="O2" s="2551"/>
      <c r="P2" s="2539" t="str">
        <f t="array" ref="P2:P2">IF(ISERROR(MATCH(MID(Q2,1,250),MID(note_ter,1,250),0)),"n","y")</f>
        <v>n</v>
      </c>
      <c r="Q2" s="2551"/>
      <c r="R2" s="2539" t="str">
        <f>G2&amp;"("&amp;L2&amp;")"</f>
        <v>()</v>
      </c>
      <c r="S2" s="2281"/>
      <c r="T2" s="2281"/>
      <c r="U2" s="1332"/>
      <c r="V2" s="2281"/>
      <c r="W2" s="2281"/>
      <c r="X2" s="2281"/>
      <c r="Y2" s="1745"/>
      <c r="Z2" s="1745"/>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745"/>
      <c r="BW2" s="1745"/>
      <c r="BX2" s="1745"/>
      <c r="BY2" s="1745"/>
      <c r="BZ2" s="1745"/>
      <c r="CA2" s="1745"/>
      <c r="CB2" s="1745"/>
      <c r="CC2" s="1745"/>
      <c r="CD2" s="1745"/>
      <c r="CE2" s="1745"/>
    </row>
    <row s="40255" customFormat="1" customHeight="1" ht="5.25" hidden="1">
      <c r="A3" s="2556"/>
      <c r="D3" s="2809"/>
      <c r="F3" s="1160" t="s">
        <v>79</v>
      </c>
      <c r="G3" s="2650" t="s">
        <v>80</v>
      </c>
      <c r="H3" s="2809"/>
      <c r="I3" s="2809"/>
      <c r="J3" s="2809"/>
      <c r="K3" s="2809"/>
      <c r="L3" s="1139" t="s">
        <v>81</v>
      </c>
      <c r="M3" s="1160" t="s">
        <v>79</v>
      </c>
      <c r="N3" s="1160"/>
      <c r="O3" s="1160"/>
      <c r="P3" s="1160"/>
      <c r="Q3" s="1160"/>
      <c r="R3" s="1160"/>
      <c r="S3" s="1160"/>
      <c r="T3" s="1160"/>
      <c r="U3" s="1160"/>
      <c r="V3" s="1160"/>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39768" customFormat="1" customHeight="1" ht="14.25">
      <c r="A4" s="2546"/>
      <c r="B4" s="2281"/>
      <c r="C4" s="2546"/>
      <c r="D4" s="2430"/>
      <c r="E4" s="2550"/>
      <c r="F4" s="2550"/>
      <c r="G4" s="2550"/>
      <c r="H4" s="2550"/>
      <c r="I4" s="2550"/>
      <c r="J4" s="2550"/>
      <c r="K4" s="2550"/>
      <c r="L4" s="2811"/>
      <c r="M4" s="1160"/>
      <c r="N4" s="2539"/>
      <c r="O4" s="2539"/>
      <c r="P4" s="2539"/>
      <c r="Q4" s="2539"/>
      <c r="R4" s="2539"/>
      <c r="S4" s="1137"/>
      <c r="T4" s="1137"/>
      <c r="U4" s="1137"/>
      <c r="V4" s="1137"/>
    </row>
    <row s="39768" customFormat="1" customHeight="1" ht="25.5">
      <c r="A5" s="2546"/>
      <c r="B5" s="2281"/>
      <c r="C5" s="2546"/>
      <c r="D5" s="2430"/>
      <c r="E5" s="29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26"/>
      <c r="G5" s="2926"/>
      <c r="H5" s="2926"/>
      <c r="I5" s="2926"/>
      <c r="J5" s="2926"/>
      <c r="K5" s="2926"/>
      <c r="L5" s="2550"/>
      <c r="M5" s="1160"/>
      <c r="N5" s="2539"/>
      <c r="O5" s="2539"/>
      <c r="P5" s="2539"/>
      <c r="Q5" s="2539"/>
      <c r="R5" s="2539"/>
      <c r="S5" s="1137"/>
      <c r="T5" s="1137"/>
      <c r="U5" s="1137"/>
      <c r="V5" s="1137"/>
    </row>
    <row s="39768" customFormat="1" customHeight="1" ht="14.25">
      <c r="A6" s="2546"/>
      <c r="B6" s="2281"/>
      <c r="C6" s="2546"/>
      <c r="D6" s="2430"/>
      <c r="E6" s="2550"/>
      <c r="F6" s="1528"/>
      <c r="G6" s="1528"/>
      <c r="H6" s="1528"/>
      <c r="I6" s="1528"/>
      <c r="J6" s="1528"/>
      <c r="K6" s="1528"/>
      <c r="L6" s="2166"/>
      <c r="M6" s="2539"/>
      <c r="N6" s="2539"/>
      <c r="O6" s="2539"/>
      <c r="P6" s="2539"/>
      <c r="Q6" s="2539"/>
      <c r="R6" s="2539"/>
      <c r="S6" s="1137"/>
      <c r="T6" s="1137"/>
      <c r="U6" s="1137"/>
      <c r="V6" s="1137"/>
    </row>
    <row s="39768" customFormat="1" customHeight="1" ht="14.25">
      <c r="A7" s="2546"/>
      <c r="B7" s="2281"/>
      <c r="C7" s="2546"/>
      <c r="D7" s="2430"/>
      <c r="E7" s="2927" t="s">
        <v>291</v>
      </c>
      <c r="F7" s="2928"/>
      <c r="G7" s="2928"/>
      <c r="H7" s="2928"/>
      <c r="I7" s="2928"/>
      <c r="J7" s="2928"/>
      <c r="K7" s="2928"/>
      <c r="L7" s="3291" t="s">
        <v>292</v>
      </c>
      <c r="M7" s="2539"/>
      <c r="N7" s="2539"/>
      <c r="O7" s="2539"/>
      <c r="P7" s="2539"/>
      <c r="Q7" s="2539"/>
      <c r="R7" s="2539"/>
      <c r="S7" s="1137"/>
      <c r="T7" s="1137"/>
      <c r="U7" s="1137"/>
      <c r="V7" s="1137"/>
    </row>
    <row s="39768" customFormat="1" customHeight="1" ht="64.5">
      <c r="A8" s="2546"/>
      <c r="B8" s="2281"/>
      <c r="C8" s="2546"/>
      <c r="D8" s="2430"/>
      <c r="E8" s="3295" t="s">
        <v>84</v>
      </c>
      <c r="F8" s="3295" t="s">
        <v>1833</v>
      </c>
      <c r="G8" s="3297" t="s">
        <v>1834</v>
      </c>
      <c r="H8" s="3298"/>
      <c r="I8" s="3299"/>
      <c r="J8" s="3295" t="s">
        <v>1835</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93"/>
      <c r="M8" s="2539"/>
      <c r="N8" s="2539"/>
      <c r="O8" s="2539"/>
      <c r="P8" s="2539"/>
      <c r="Q8" s="2539"/>
      <c r="R8" s="2539"/>
      <c r="S8" s="1137"/>
      <c r="T8" s="1137"/>
      <c r="U8" s="1137"/>
      <c r="V8" s="1137"/>
    </row>
    <row s="39768" customFormat="1" customHeight="1" ht="27.75">
      <c r="A9" s="2546"/>
      <c r="B9" s="2281"/>
      <c r="C9" s="2546"/>
      <c r="D9" s="2430"/>
      <c r="E9" s="3296"/>
      <c r="F9" s="3296"/>
      <c r="G9" s="2810" t="s">
        <v>1829</v>
      </c>
      <c r="H9" s="2810" t="s">
        <v>1830</v>
      </c>
      <c r="I9" s="2810" t="s">
        <v>1831</v>
      </c>
      <c r="J9" s="3296"/>
      <c r="K9" s="3296"/>
      <c r="L9" s="3292"/>
      <c r="M9" s="2539"/>
      <c r="N9" s="2539"/>
      <c r="O9" s="2539"/>
      <c r="P9" s="2539"/>
      <c r="Q9" s="2539"/>
      <c r="R9" s="2539"/>
      <c r="S9" s="1137"/>
      <c r="T9" s="1137"/>
      <c r="U9" s="1137"/>
      <c r="V9" s="1137"/>
    </row>
    <row s="41620" customFormat="1" customHeight="1" ht="0.75">
      <c r="A10" s="2925"/>
      <c r="B10" s="2281">
        <v>1</v>
      </c>
      <c r="C10" s="2281"/>
      <c r="D10" s="1712"/>
      <c r="E10" s="1707">
        <v>0</v>
      </c>
      <c r="F10" s="2807" t="str">
        <f>IF(ROIV_INFO_NAME="","",ROIV_INFO_NAME)</f>
        <v>ПАО "ТГК-1" филиал "Невский"</v>
      </c>
      <c r="G10" s="2648" t="s">
        <v>18</v>
      </c>
      <c r="H10" s="2819"/>
      <c r="I10" s="2819"/>
      <c r="J10" s="1431"/>
      <c r="K10" s="1431"/>
      <c r="L10" s="32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450">
        <f>MERGEVALUE(F10)</f>
      </c>
      <c r="N10" s="2551"/>
      <c r="O10" s="2551"/>
      <c r="P10" s="2539" t="str">
        <f t="array" ref="P10:P10">IF(ISERROR(MATCH(MID(Q10,1,250),MID(note_ter,1,250),0)),"n","y")</f>
        <v>n</v>
      </c>
      <c r="Q10" s="2551"/>
      <c r="R10" s="2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281"/>
      <c r="T10" s="2281"/>
      <c r="U10" s="1332"/>
      <c r="V10" s="2281"/>
      <c r="W10" s="2281"/>
      <c r="X10" s="2281"/>
      <c r="Y10" s="1745"/>
      <c r="Z10" s="1745"/>
      <c r="AA10" s="1539"/>
      <c r="AB10" s="1539"/>
      <c r="AC10" s="1539"/>
      <c r="AD10" s="1539"/>
      <c r="AE10" s="1539"/>
      <c r="AF10" s="1539"/>
      <c r="AG10" s="1539"/>
      <c r="AH10" s="1539"/>
      <c r="AI10" s="1539"/>
      <c r="AJ10" s="1539"/>
      <c r="AK10" s="1539"/>
      <c r="AL10" s="1539"/>
      <c r="AM10" s="1539"/>
      <c r="AN10" s="1539"/>
      <c r="AO10" s="1539"/>
      <c r="AP10" s="1539"/>
      <c r="AQ10" s="1539"/>
      <c r="AR10" s="1539"/>
      <c r="AS10" s="1539"/>
      <c r="AT10" s="1539"/>
      <c r="AU10" s="1539"/>
      <c r="AV10" s="1539"/>
      <c r="AW10" s="1539"/>
      <c r="AX10" s="1539"/>
      <c r="AY10" s="1539"/>
      <c r="AZ10" s="1539"/>
      <c r="BA10" s="1539"/>
      <c r="BB10" s="1539"/>
      <c r="BC10" s="1539"/>
      <c r="BD10" s="1539"/>
      <c r="BE10" s="1539"/>
      <c r="BF10" s="1539"/>
      <c r="BG10" s="1539"/>
      <c r="BH10" s="1539"/>
      <c r="BI10" s="1539"/>
      <c r="BJ10" s="1539"/>
      <c r="BK10" s="1539"/>
      <c r="BL10" s="1539"/>
      <c r="BM10" s="1539"/>
      <c r="BN10" s="1539"/>
      <c r="BO10" s="1539"/>
      <c r="BP10" s="1539"/>
      <c r="BQ10" s="1539"/>
      <c r="BR10" s="1539"/>
      <c r="BS10" s="1539"/>
      <c r="BT10" s="1539"/>
      <c r="BU10" s="1539"/>
      <c r="BV10" s="1745"/>
      <c r="BW10" s="1745"/>
      <c r="BX10" s="1745"/>
      <c r="BY10" s="1745"/>
      <c r="BZ10" s="1745"/>
      <c r="CA10" s="1745"/>
      <c r="CB10" s="1745"/>
      <c r="CC10" s="1745"/>
      <c r="CD10" s="1745"/>
      <c r="CE10" s="1745"/>
    </row>
    <row s="41620" customFormat="1" customHeight="1" ht="15">
      <c r="A11" s="2925"/>
      <c r="B11" s="2281"/>
      <c r="C11" s="1324"/>
      <c r="D11" s="1713"/>
      <c r="E11" s="1333"/>
      <c r="F11" s="1563" t="s">
        <v>1832</v>
      </c>
      <c r="G11" s="1099"/>
      <c r="H11" s="1099"/>
      <c r="I11" s="1099"/>
      <c r="J11" s="1099"/>
      <c r="K11" s="1336"/>
      <c r="L11" s="3294"/>
      <c r="M11" s="2451"/>
      <c r="N11" s="2551"/>
      <c r="O11" s="2551"/>
      <c r="P11" s="2551"/>
      <c r="Q11" s="2539"/>
      <c r="R11" s="2551"/>
      <c r="S11" s="2281"/>
      <c r="T11" s="2281"/>
      <c r="U11" s="1332"/>
      <c r="V11" s="2281"/>
      <c r="W11" s="2281"/>
      <c r="X11" s="2281"/>
      <c r="Y11" s="1745"/>
      <c r="Z11" s="1745"/>
      <c r="AA11" s="1539"/>
      <c r="AB11" s="1539"/>
      <c r="AC11" s="1539"/>
      <c r="AD11" s="1539"/>
      <c r="AE11" s="1539"/>
      <c r="AF11" s="1539"/>
      <c r="AG11" s="1539"/>
      <c r="AH11" s="1539"/>
      <c r="AI11" s="1539"/>
      <c r="AJ11" s="1539"/>
      <c r="AK11" s="1539"/>
      <c r="AL11" s="1539"/>
      <c r="AM11" s="1539"/>
      <c r="AN11" s="1539"/>
      <c r="AO11" s="1539"/>
      <c r="AP11" s="1539"/>
      <c r="AQ11" s="1539"/>
      <c r="AR11" s="1539"/>
      <c r="AS11" s="1539"/>
      <c r="AT11" s="1539"/>
      <c r="AU11" s="1539"/>
      <c r="AV11" s="1539"/>
      <c r="AW11" s="1539"/>
      <c r="AX11" s="1539"/>
      <c r="AY11" s="1539"/>
      <c r="AZ11" s="1539"/>
      <c r="BA11" s="1539"/>
      <c r="BB11" s="1539"/>
      <c r="BC11" s="1539"/>
      <c r="BD11" s="1539"/>
      <c r="BE11" s="1539"/>
      <c r="BF11" s="1539"/>
      <c r="BG11" s="1539"/>
      <c r="BH11" s="1539"/>
      <c r="BI11" s="1539"/>
      <c r="BJ11" s="1539"/>
      <c r="BK11" s="1539"/>
      <c r="BL11" s="1539"/>
      <c r="BM11" s="1539"/>
      <c r="BN11" s="1539"/>
      <c r="BO11" s="1539"/>
      <c r="BP11" s="1539"/>
      <c r="BQ11" s="1539"/>
      <c r="BR11" s="1539"/>
      <c r="BS11" s="1539"/>
      <c r="BT11" s="1539"/>
      <c r="BU11" s="1539"/>
      <c r="BV11" s="1745"/>
      <c r="BW11" s="1745"/>
      <c r="BX11" s="1745"/>
      <c r="BY11" s="1745"/>
      <c r="BZ11" s="1745"/>
      <c r="CA11" s="1745"/>
      <c r="CB11" s="1745"/>
      <c r="CC11" s="1745"/>
      <c r="CD11" s="1745"/>
      <c r="CE11" s="1745"/>
    </row>
    <row s="39768" customFormat="1" customHeight="1" ht="21">
      <c r="A12" s="2546"/>
      <c r="B12" s="2281"/>
      <c r="C12" s="2546"/>
      <c r="D12" s="2548"/>
      <c r="E12" s="1093"/>
      <c r="F12" s="1093"/>
      <c r="G12" s="1093"/>
      <c r="H12" s="1093"/>
      <c r="I12" s="1093"/>
      <c r="J12" s="1093"/>
      <c r="K12" s="1093"/>
      <c r="L12" s="1093"/>
      <c r="M12" s="2539"/>
      <c r="N12" s="2539"/>
      <c r="O12" s="2539"/>
      <c r="P12" s="2539"/>
      <c r="Q12" s="2539"/>
      <c r="R12" s="2539"/>
      <c r="S12" s="1137"/>
      <c r="T12" s="1137"/>
      <c r="U12" s="1137"/>
      <c r="V12" s="1137"/>
    </row>
    <row s="39768" customFormat="1" customHeight="1" ht="14.25">
      <c r="A13" s="2546"/>
      <c r="B13" s="2281"/>
      <c r="C13" s="2546"/>
      <c r="D13" s="2548"/>
      <c r="E13" s="2546"/>
      <c r="F13" s="2546"/>
      <c r="G13" s="2546"/>
      <c r="H13" s="2546"/>
      <c r="I13" s="2546"/>
      <c r="J13" s="2546"/>
      <c r="K13" s="2546"/>
      <c r="L13" s="2546"/>
      <c r="M13" s="2539"/>
      <c r="N13" s="2539"/>
      <c r="O13" s="2539"/>
      <c r="P13" s="2539"/>
      <c r="Q13" s="2539"/>
      <c r="R13" s="2539"/>
      <c r="S13" s="1137"/>
      <c r="T13" s="1137"/>
      <c r="U13" s="1137"/>
      <c r="V13" s="1137"/>
    </row>
    <row s="39768" customFormat="1" customHeight="1" ht="0.75">
      <c r="A14" s="2546"/>
      <c r="B14" s="2281"/>
      <c r="C14" s="2546"/>
      <c r="D14" s="2548"/>
      <c r="E14" s="2546"/>
      <c r="F14" s="2546"/>
      <c r="G14" s="2546"/>
      <c r="H14" s="2546"/>
      <c r="I14" s="2546"/>
      <c r="J14" s="2546"/>
      <c r="K14" s="2546"/>
      <c r="L14" s="2546"/>
      <c r="M14" s="2539"/>
      <c r="N14" s="2539"/>
      <c r="O14" s="2539"/>
      <c r="P14" s="2539"/>
      <c r="Q14" s="2539"/>
      <c r="R14" s="2539"/>
      <c r="S14" s="1137"/>
      <c r="T14" s="1137"/>
      <c r="U14" s="1137"/>
      <c r="V14" s="1137"/>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95AE34-C347-9FFF-B11E-7EA3EA2B4551}" mc:Ignorable="x14ac xr xr2 xr3">
  <dimension ref="A1:P18"/>
  <sheetViews>
    <sheetView topLeftCell="D6" showGridLines="0" zoomScale="90" workbookViewId="0">
      <selection activeCell="A1" sqref="A1"/>
    </sheetView>
  </sheetViews>
  <sheetFormatPr defaultColWidth="9.140625" customHeight="1" defaultRowHeight="14.25"/>
  <cols>
    <col min="1" max="1" style="40215" width="9.140625" hidden="1"/>
    <col min="2" max="2" style="40129" width="9.140625" hidden="1"/>
    <col min="3" max="3" style="40215" width="3.7109375" hidden="1" customWidth="1"/>
    <col min="4" max="4" style="39983" width="3.8515625" customWidth="1"/>
    <col min="5" max="5" style="40215" width="6.28125" customWidth="1"/>
    <col min="6" max="6" style="40215" width="27.28125" customWidth="1"/>
    <col min="7" max="7" style="40215" width="29.28125" customWidth="1"/>
    <col min="8" max="8" style="40215" width="25.421875" customWidth="1"/>
    <col min="9" max="9" style="40215" width="5.57421875" customWidth="1"/>
    <col min="10" max="10" style="40215" width="6.57421875" customWidth="1"/>
    <col min="11" max="11" style="40215" width="41.8515625" customWidth="1"/>
    <col min="12" max="12" style="40215" width="42.421875" customWidth="1"/>
    <col min="13" max="13" style="40215" width="41.57421875" customWidth="1"/>
    <col min="14" max="14" style="40257" width="89.57421875" customWidth="1"/>
    <col min="15" max="15" style="41602" width="3.7109375" customWidth="1"/>
    <col min="16" max="16" style="41602" width="9.140625"/>
  </cols>
  <sheetData>
    <row customHeight="1" ht="14.25" hidden="1"/>
    <row s="39511" customFormat="1" customHeight="1" ht="22.5" hidden="1">
      <c r="A2" s="1408"/>
      <c r="B2" s="2074">
        <v>1</v>
      </c>
      <c r="C2" s="2074"/>
      <c r="D2" s="2844" t="s">
        <v>844</v>
      </c>
      <c r="E2" s="2953">
        <v>1</v>
      </c>
      <c r="F2" s="3300" t="str">
        <f>IF(region_name="","",region_name)</f>
        <v>г.Санкт-Петербург</v>
      </c>
      <c r="G2" s="3301"/>
      <c r="H2" s="3302"/>
      <c r="I2" s="1386"/>
      <c r="J2" s="2826">
        <v>1</v>
      </c>
      <c r="K2" s="2828"/>
      <c r="L2" s="2828"/>
      <c r="M2" s="2828"/>
      <c r="N2" s="1404"/>
      <c r="O2" s="2450"/>
      <c r="P2" s="1423"/>
    </row>
    <row s="39511" customFormat="1" customHeight="1" ht="22.5" hidden="1">
      <c r="A3" s="1743"/>
      <c r="B3" s="2074"/>
      <c r="C3" s="2074"/>
      <c r="D3" s="1713"/>
      <c r="E3" s="2953"/>
      <c r="F3" s="3300"/>
      <c r="G3" s="3301"/>
      <c r="H3" s="3303"/>
      <c r="I3" s="1333"/>
      <c r="J3" s="2415"/>
      <c r="K3" s="2415" t="s">
        <v>1836</v>
      </c>
      <c r="L3" s="2458"/>
      <c r="M3" s="2836"/>
      <c r="N3" s="2829"/>
      <c r="O3" s="2450"/>
      <c r="P3" s="1423"/>
    </row>
    <row s="40202" customFormat="1" customHeight="1" ht="5.25" hidden="1">
      <c r="A4" s="1408"/>
      <c r="D4" s="1406"/>
      <c r="F4" s="1159" t="s">
        <v>79</v>
      </c>
      <c r="G4" s="1406" t="s">
        <v>80</v>
      </c>
      <c r="H4" s="1406"/>
      <c r="I4" s="2839"/>
      <c r="J4" s="2459"/>
      <c r="K4" s="2827"/>
      <c r="L4" s="2827"/>
      <c r="M4" s="2827"/>
      <c r="N4" s="2823"/>
      <c r="O4" s="1159" t="s">
        <v>79</v>
      </c>
      <c r="P4" s="1159"/>
    </row>
    <row s="41620" customFormat="1" customHeight="1" ht="22.5" hidden="1">
      <c r="A5" s="2556"/>
      <c r="B5" s="2281">
        <v>1</v>
      </c>
      <c r="C5" s="2281"/>
      <c r="D5" s="1713"/>
      <c r="E5" s="2829"/>
      <c r="F5" s="2829"/>
      <c r="G5" s="2829"/>
      <c r="H5" s="2840"/>
      <c r="I5" s="2845" t="s">
        <v>844</v>
      </c>
      <c r="J5" s="2838">
        <v>1</v>
      </c>
      <c r="K5" s="2828"/>
      <c r="L5" s="2828"/>
      <c r="M5" s="2828"/>
      <c r="N5" s="1404"/>
      <c r="O5" s="2450"/>
      <c r="P5" s="2551"/>
    </row>
    <row s="39502" customFormat="1" customHeight="1" ht="14.25">
      <c r="A6" s="2069"/>
      <c r="B6" s="2074"/>
      <c r="C6" s="2069"/>
      <c r="D6" s="2410"/>
      <c r="E6" s="1421"/>
      <c r="F6" s="1421"/>
      <c r="G6" s="1421"/>
      <c r="H6" s="1421"/>
      <c r="I6" s="1421"/>
      <c r="J6" s="1421"/>
      <c r="K6" s="1421"/>
      <c r="L6" s="1421"/>
      <c r="M6" s="1421"/>
      <c r="N6" s="2550"/>
      <c r="O6" s="1159"/>
      <c r="P6" s="1412"/>
    </row>
    <row s="39502" customFormat="1" customHeight="1" ht="25.5">
      <c r="A7" s="2069"/>
      <c r="B7" s="2074"/>
      <c r="C7" s="2069"/>
      <c r="D7" s="2410"/>
      <c r="E7" s="330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08"/>
      <c r="G7" s="3308"/>
      <c r="H7" s="3308"/>
      <c r="I7" s="3308"/>
      <c r="J7" s="3308"/>
      <c r="K7" s="3308"/>
      <c r="L7" s="3308"/>
      <c r="M7" s="3308"/>
      <c r="N7" s="2166"/>
      <c r="O7" s="1159"/>
      <c r="P7" s="1412"/>
    </row>
    <row s="39502" customFormat="1" customHeight="1" ht="14.25">
      <c r="A8" s="2069"/>
      <c r="B8" s="2074"/>
      <c r="C8" s="2069"/>
      <c r="D8" s="2410"/>
      <c r="E8" s="1421"/>
      <c r="F8" s="1080"/>
      <c r="G8" s="1080"/>
      <c r="H8" s="1080"/>
      <c r="I8" s="1080"/>
      <c r="J8" s="1080"/>
      <c r="K8" s="1080"/>
      <c r="L8" s="1080"/>
      <c r="M8" s="1080"/>
      <c r="N8" s="1528"/>
      <c r="O8" s="1412"/>
      <c r="P8" s="1412"/>
    </row>
    <row s="41648" customFormat="1" customHeight="1" ht="14.25" hidden="1">
      <c r="A9" s="2383"/>
      <c r="B9" s="2393"/>
      <c r="C9" s="2383"/>
      <c r="D9" s="2410"/>
      <c r="E9" s="2830"/>
      <c r="F9" s="2830"/>
      <c r="G9" s="2830"/>
      <c r="H9" s="2830"/>
      <c r="I9" s="3311"/>
      <c r="J9" s="3311"/>
      <c r="K9" s="3311"/>
      <c r="L9" s="2830"/>
      <c r="M9" s="2831"/>
      <c r="O9" s="2460"/>
      <c r="P9" s="2460"/>
    </row>
    <row s="39502" customFormat="1" customHeight="1" ht="14.25">
      <c r="A10" s="2069"/>
      <c r="B10" s="2074"/>
      <c r="C10" s="2069"/>
      <c r="D10" s="2410"/>
      <c r="E10" s="2953" t="s">
        <v>291</v>
      </c>
      <c r="F10" s="2953"/>
      <c r="G10" s="2953"/>
      <c r="H10" s="2953"/>
      <c r="I10" s="2953"/>
      <c r="J10" s="2953"/>
      <c r="K10" s="2953"/>
      <c r="L10" s="2953"/>
      <c r="M10" s="2927"/>
      <c r="N10" s="3295" t="s">
        <v>292</v>
      </c>
      <c r="O10" s="1412"/>
      <c r="P10" s="1412"/>
    </row>
    <row s="39768" customFormat="1" customHeight="1" ht="42">
      <c r="A11" s="2546"/>
      <c r="B11" s="2281"/>
      <c r="C11" s="2546"/>
      <c r="D11" s="2430"/>
      <c r="E11" s="3310" t="s">
        <v>84</v>
      </c>
      <c r="F11" s="3310" t="s">
        <v>295</v>
      </c>
      <c r="G11" s="3310" t="s">
        <v>1837</v>
      </c>
      <c r="H11" s="3310"/>
      <c r="I11" s="3310" t="s">
        <v>1838</v>
      </c>
      <c r="J11" s="3310"/>
      <c r="K11" s="3310"/>
      <c r="L11" s="3310" t="s">
        <v>1839</v>
      </c>
      <c r="M11" s="3297" t="s">
        <v>1840</v>
      </c>
      <c r="N11" s="3309"/>
      <c r="O11" s="2539"/>
      <c r="P11" s="2539"/>
    </row>
    <row s="39502" customFormat="1" customHeight="1" ht="27.75">
      <c r="A12" s="2069"/>
      <c r="B12" s="2074"/>
      <c r="C12" s="2069"/>
      <c r="D12" s="2410"/>
      <c r="E12" s="3295"/>
      <c r="F12" s="3310"/>
      <c r="G12" s="2825" t="s">
        <v>1841</v>
      </c>
      <c r="H12" s="2825" t="s">
        <v>299</v>
      </c>
      <c r="I12" s="3310"/>
      <c r="J12" s="3310"/>
      <c r="K12" s="3310"/>
      <c r="L12" s="3310"/>
      <c r="M12" s="3297"/>
      <c r="N12" s="3296"/>
      <c r="O12" s="1412"/>
      <c r="P12" s="1412"/>
    </row>
    <row s="39511" customFormat="1" customHeight="1" ht="22.5">
      <c r="A13" s="2925">
        <v>26379339</v>
      </c>
      <c r="B13" s="2074">
        <v>1</v>
      </c>
      <c r="C13" s="2074"/>
      <c r="D13" s="1713"/>
      <c r="E13" s="2953">
        <v>1</v>
      </c>
      <c r="F13" s="3304" t="str">
        <f>IF(region_name="","",region_name)</f>
        <v>г.Санкт-Петербург</v>
      </c>
      <c r="G13" s="3305"/>
      <c r="H13" s="3312"/>
      <c r="I13" s="1386"/>
      <c r="J13" s="2821">
        <v>1</v>
      </c>
      <c r="K13" s="2834"/>
      <c r="L13" s="2835"/>
      <c r="M13" s="2835"/>
      <c r="N13" s="3306" t="s">
        <v>1842</v>
      </c>
      <c r="O13" s="2450"/>
      <c r="P13" s="1423"/>
    </row>
    <row s="39511" customFormat="1" customHeight="1" ht="22.5">
      <c r="A14" s="2925"/>
      <c r="B14" s="2074"/>
      <c r="C14" s="2074"/>
      <c r="D14" s="1713"/>
      <c r="E14" s="2953"/>
      <c r="F14" s="3304"/>
      <c r="G14" s="3305"/>
      <c r="H14" s="3313"/>
      <c r="I14" s="1333"/>
      <c r="J14" s="2415"/>
      <c r="K14" s="2415" t="s">
        <v>1836</v>
      </c>
      <c r="L14" s="2458"/>
      <c r="M14" s="2458"/>
      <c r="N14" s="3307"/>
      <c r="O14" s="2450"/>
      <c r="P14" s="1423"/>
    </row>
    <row s="39511" customFormat="1" customHeight="1" ht="22.5">
      <c r="A15" s="2925"/>
      <c r="B15" s="2074"/>
      <c r="C15" s="1324"/>
      <c r="D15" s="1713"/>
      <c r="E15" s="1333"/>
      <c r="F15" s="2415" t="s">
        <v>1828</v>
      </c>
      <c r="G15" s="2457"/>
      <c r="H15" s="2457"/>
      <c r="I15" s="1099"/>
      <c r="J15" s="1099"/>
      <c r="K15" s="1099"/>
      <c r="L15" s="1099"/>
      <c r="M15" s="1099"/>
      <c r="N15" s="3307"/>
      <c r="O15" s="2451"/>
      <c r="P15" s="1423"/>
    </row>
    <row s="39502" customFormat="1" customHeight="1" ht="21">
      <c r="A16" s="2069"/>
      <c r="B16" s="2074"/>
      <c r="C16" s="2069"/>
      <c r="D16" s="1363"/>
      <c r="E16" s="1093"/>
      <c r="F16" s="1093"/>
      <c r="G16" s="1093"/>
      <c r="H16" s="1093"/>
      <c r="I16" s="1093"/>
      <c r="J16" s="1093"/>
      <c r="K16" s="1093"/>
      <c r="L16" s="1093"/>
      <c r="M16" s="1421"/>
      <c r="N16" s="2550"/>
      <c r="O16" s="1412"/>
      <c r="P16" s="1412"/>
    </row>
    <row s="39502" customFormat="1" customHeight="1" ht="14.25">
      <c r="A17" s="2069"/>
      <c r="B17" s="2074"/>
      <c r="C17" s="2069"/>
      <c r="D17" s="1363"/>
      <c r="E17" s="2069"/>
      <c r="F17" s="2069"/>
      <c r="G17" s="2069"/>
      <c r="H17" s="2069"/>
      <c r="I17" s="2069"/>
      <c r="J17" s="2069"/>
      <c r="K17" s="2069"/>
      <c r="L17" s="2069"/>
      <c r="M17" s="2069"/>
      <c r="N17" s="2546"/>
      <c r="O17" s="1412"/>
      <c r="P17" s="1412"/>
    </row>
    <row s="39502" customFormat="1" customHeight="1" ht="0.75">
      <c r="A18" s="2069"/>
      <c r="B18" s="2074"/>
      <c r="C18" s="2069"/>
      <c r="D18" s="1363"/>
      <c r="E18" s="2069"/>
      <c r="F18" s="2069"/>
      <c r="G18" s="2069"/>
      <c r="H18" s="2069"/>
      <c r="I18" s="2069"/>
      <c r="J18" s="2069"/>
      <c r="K18" s="2069"/>
      <c r="L18" s="2069"/>
      <c r="M18" s="2069"/>
      <c r="N18" s="2546"/>
      <c r="O18" s="1412"/>
      <c r="P18" s="1412"/>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572DCB-89EC-E2F5-5648-F868204A7582}"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41669" width="9.140625" hidden="1"/>
    <col min="2" max="2" style="41687" width="9.140625" hidden="1"/>
    <col min="3" max="3" style="41688" width="3.7109375" customWidth="1"/>
    <col min="4" max="4" style="41689" width="7.00390625" customWidth="1"/>
    <col min="5" max="5" style="41689" width="23.140625" customWidth="1"/>
    <col min="6" max="6" style="41689" width="16.00390625" customWidth="1"/>
    <col min="7" max="7" style="41689" width="14.8515625" customWidth="1"/>
    <col min="8" max="8" style="41689" width="47.8515625" customWidth="1"/>
    <col min="9" max="9" style="41689" width="115.7109375" customWidth="1"/>
    <col min="10" max="10" style="41689" width="3.7109375" customWidth="1"/>
    <col min="11" max="12" style="41689" width="9.140625"/>
  </cols>
  <sheetData>
    <row customHeight="1" ht="14.25" hidden="1"/>
    <row customHeight="1" ht="14.25" hidden="1"/>
    <row customHeight="1" ht="14.25" hidden="1"/>
    <row customHeight="1" ht="3"/>
    <row s="39541" customFormat="1" customHeight="1" ht="30">
      <c r="A5" s="1028"/>
      <c r="C5" s="1002"/>
      <c r="D5" s="2926" t="s">
        <v>1843</v>
      </c>
      <c r="E5" s="2926"/>
      <c r="F5" s="2926"/>
      <c r="G5" s="2926"/>
      <c r="H5" s="2926"/>
      <c r="I5" s="1177"/>
    </row>
    <row customHeight="1" ht="3" hidden="1">
      <c r="D6" s="1035"/>
      <c r="E6" s="1035"/>
      <c r="F6" s="1035"/>
      <c r="G6" s="1035"/>
      <c r="H6" s="1035"/>
      <c r="I6" s="1035"/>
    </row>
    <row s="41669" customFormat="1" customHeight="1" ht="14.25">
      <c r="B7" s="1032"/>
      <c r="C7" s="1033"/>
      <c r="D7" s="1036"/>
      <c r="E7" s="1036"/>
      <c r="F7" s="1036"/>
      <c r="G7" s="1036"/>
      <c r="H7" s="1664"/>
      <c r="I7" s="1036"/>
      <c r="J7" s="1037"/>
    </row>
    <row customHeight="1" ht="14.25">
      <c r="D8" s="3033" t="s">
        <v>291</v>
      </c>
      <c r="E8" s="3033"/>
      <c r="F8" s="3033"/>
      <c r="G8" s="3033"/>
      <c r="H8" s="3033"/>
      <c r="I8" s="3033" t="s">
        <v>292</v>
      </c>
    </row>
    <row customHeight="1" ht="27.75">
      <c r="D9" s="3033" t="s">
        <v>84</v>
      </c>
      <c r="E9" s="3033" t="s">
        <v>1844</v>
      </c>
      <c r="F9" s="3033"/>
      <c r="G9" s="3033"/>
      <c r="H9" s="3033"/>
      <c r="I9" s="3033"/>
    </row>
    <row customHeight="1" ht="22.5">
      <c r="D10" s="3033"/>
      <c r="E10" s="1040" t="s">
        <v>1845</v>
      </c>
      <c r="F10" s="1040" t="s">
        <v>1846</v>
      </c>
      <c r="G10" s="1040" t="s">
        <v>1847</v>
      </c>
      <c r="H10" s="1040" t="s">
        <v>381</v>
      </c>
      <c r="I10" s="3033"/>
    </row>
    <row customHeight="1" ht="12" hidden="1">
      <c r="D11" s="999" t="s">
        <v>102</v>
      </c>
      <c r="E11" s="999" t="s">
        <v>87</v>
      </c>
      <c r="F11" s="999" t="s">
        <v>104</v>
      </c>
      <c r="G11" s="999" t="s">
        <v>88</v>
      </c>
      <c r="H11" s="999" t="s">
        <v>89</v>
      </c>
      <c r="I11" s="999" t="s">
        <v>105</v>
      </c>
    </row>
    <row s="41675" customFormat="1" customHeight="1" ht="24.75">
      <c r="A12" s="1058" t="s">
        <v>86</v>
      </c>
      <c r="B12" s="1038" t="s">
        <v>18</v>
      </c>
      <c r="C12" s="1039"/>
      <c r="D12" s="1041" t="s">
        <v>102</v>
      </c>
      <c r="E12" s="1293"/>
      <c r="F12" s="1293"/>
      <c r="G12" s="2649" t="s">
        <v>18</v>
      </c>
      <c r="H12" s="1294"/>
      <c r="I12" s="2993" t="s">
        <v>1848</v>
      </c>
      <c r="K12" s="1184"/>
      <c r="L12" s="1185"/>
    </row>
    <row customHeight="1" ht="15">
      <c r="A13" s="1034"/>
      <c r="B13" s="1034"/>
      <c r="C13" s="1034"/>
      <c r="D13" s="1022"/>
      <c r="E13" s="1043" t="s">
        <v>459</v>
      </c>
      <c r="F13" s="1042"/>
      <c r="G13" s="1042"/>
      <c r="H13" s="1126"/>
      <c r="I13" s="2995"/>
    </row>
    <row customHeight="1" ht="3">
      <c r="A14" s="1034"/>
      <c r="B14" s="1034"/>
      <c r="C14" s="1034"/>
    </row>
    <row customHeight="1" ht="27.75">
      <c r="E15" s="3314" t="s">
        <v>1849</v>
      </c>
      <c r="F15" s="3314"/>
      <c r="G15" s="3314"/>
      <c r="H15" s="33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92B68-755F-521D-69F1-18B38F92D29A}"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41706" width="9.140625" hidden="1"/>
    <col min="3" max="3" style="41707" width="3.7109375" customWidth="1"/>
    <col min="4" max="4" style="41706" width="6.28125" customWidth="1"/>
    <col min="5" max="5" style="41706" width="94.8515625" customWidth="1"/>
    <col min="6" max="9" style="41706" width="9.140625"/>
  </cols>
  <sheetData>
    <row customHeight="1" ht="14.25" hidden="1"/>
    <row customHeight="1" ht="14.25" hidden="1"/>
    <row customHeight="1" ht="14.25" hidden="1"/>
    <row customHeight="1" ht="14.25" hidden="1"/>
    <row customHeight="1" ht="14.25" hidden="1"/>
    <row customHeight="1" ht="3">
      <c r="C6" s="1004"/>
      <c r="D6" s="982"/>
      <c r="E6" s="982"/>
    </row>
    <row customHeight="1" ht="22.5">
      <c r="C7" s="1004"/>
      <c r="D7" s="3315" t="s">
        <v>1850</v>
      </c>
      <c r="E7" s="3316"/>
      <c r="F7" s="1179"/>
    </row>
    <row customHeight="1" ht="3">
      <c r="C8" s="1004"/>
      <c r="D8" s="982"/>
      <c r="E8" s="982"/>
    </row>
    <row customHeight="1" ht="15.75">
      <c r="C9" s="1004"/>
      <c r="D9" s="1018" t="s">
        <v>84</v>
      </c>
      <c r="E9" s="1172" t="s">
        <v>1851</v>
      </c>
    </row>
    <row customHeight="1" ht="0.75">
      <c r="C10" s="1004"/>
      <c r="D10" s="999"/>
      <c r="E10" s="999"/>
    </row>
    <row customHeight="1" ht="11.25" hidden="1">
      <c r="C11" s="1004"/>
      <c r="D11" s="1063">
        <v>0</v>
      </c>
      <c r="E11" s="1173"/>
    </row>
    <row customHeight="1" ht="15">
      <c r="C12" s="1049"/>
      <c r="D12" s="1026">
        <v>1</v>
      </c>
      <c r="E12" s="1289"/>
    </row>
    <row customHeight="1" ht="12">
      <c r="C13" s="1004"/>
      <c r="D13" s="1174"/>
      <c r="E13" s="1175" t="s">
        <v>1852</v>
      </c>
    </row>
    <row customHeight="1" ht="3"/>
    <row customHeight="1" ht="22.5">
      <c r="C15" s="1050"/>
      <c r="D15" s="3317" t="s">
        <v>1853</v>
      </c>
      <c r="E15" s="3317"/>
      <c r="F15" s="1051"/>
      <c r="G15" s="1051"/>
      <c r="H15" s="1051"/>
      <c r="I15" s="1051"/>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92828D-4EEB-AC91-0509-A28C0800976C}" mc:Ignorable="x14ac xr xr2 xr3">
  <sheetPr>
    <tabColor rgb="FFCCCCFF"/>
    <pageSetUpPr fitToPage="1"/>
  </sheetPr>
  <dimension ref="A1:L12"/>
  <sheetViews>
    <sheetView topLeftCell="C6" showGridLines="0" zoomScale="90" workbookViewId="0">
      <selection activeCell="C12" sqref="C12"/>
    </sheetView>
  </sheetViews>
  <sheetFormatPr defaultColWidth="9.140625" customHeight="1" defaultRowHeight="14.25"/>
  <cols>
    <col min="1" max="2" style="41706" width="9.140625" hidden="1"/>
    <col min="3" max="3" style="41707" width="3.7109375" customWidth="1"/>
    <col min="4" max="4" style="41706" width="6.28125" customWidth="1"/>
    <col min="5" max="5" style="41706" width="94.8515625" customWidth="1"/>
    <col min="6" max="12" style="41706" width="9.140625"/>
  </cols>
  <sheetData>
    <row customHeight="1" ht="14.25" hidden="1">
      <c r="L1" s="1176"/>
    </row>
    <row customHeight="1" ht="14.25" hidden="1"/>
    <row customHeight="1" ht="14.25" hidden="1"/>
    <row customHeight="1" ht="14.25" hidden="1"/>
    <row customHeight="1" ht="14.25" hidden="1"/>
    <row customHeight="1" ht="3">
      <c r="C6" s="1004"/>
      <c r="D6" s="982"/>
      <c r="E6" s="982"/>
    </row>
    <row customHeight="1" ht="22.5">
      <c r="C7" s="1004"/>
      <c r="D7" s="2926" t="s">
        <v>1854</v>
      </c>
      <c r="E7" s="2926"/>
      <c r="F7" s="1179"/>
    </row>
    <row customHeight="1" ht="3">
      <c r="C8" s="1004"/>
      <c r="D8" s="982"/>
      <c r="E8" s="982"/>
    </row>
    <row customHeight="1" ht="15.75">
      <c r="C9" s="1004"/>
      <c r="D9" s="1018" t="s">
        <v>84</v>
      </c>
      <c r="E9" s="1021" t="s">
        <v>278</v>
      </c>
    </row>
    <row customHeight="1" ht="12">
      <c r="C10" s="1004"/>
      <c r="D10" s="999" t="s">
        <v>102</v>
      </c>
      <c r="E10" s="999" t="s">
        <v>103</v>
      </c>
    </row>
    <row customHeight="1" ht="15" hidden="1">
      <c r="C11" s="1004"/>
      <c r="D11" s="1026">
        <v>0</v>
      </c>
      <c r="E11" s="1062"/>
    </row>
    <row customHeight="1" ht="14.25">
      <c r="C12" s="1004"/>
      <c r="D12" s="1022"/>
      <c r="E12" s="1020" t="s">
        <v>1852</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5F3DCD-96C2-1566-5303-AD04FB44F83D}"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1714" width="1.7109375" customWidth="1"/>
    <col min="2" max="2" style="41714" width="34.57421875" customWidth="1"/>
    <col min="3" max="3" style="41714" width="85.57421875" customWidth="1"/>
    <col min="4" max="4" style="41714" width="17.7109375" customWidth="1"/>
    <col min="5" max="5" style="41714" width="9.140625"/>
  </cols>
  <sheetData>
    <row customHeight="1" ht="3"/>
    <row customHeight="1" ht="22.5">
      <c r="B2" s="3318" t="s">
        <v>1855</v>
      </c>
      <c r="C2" s="3318"/>
      <c r="D2" s="3318"/>
      <c r="E2" s="1180"/>
    </row>
    <row customHeight="1" ht="3"/>
    <row customHeight="1" ht="21.75">
      <c r="B4" s="1295" t="s">
        <v>1856</v>
      </c>
      <c r="C4" s="1295" t="s">
        <v>1857</v>
      </c>
      <c r="D4" s="1295" t="s">
        <v>1858</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192B0C-C2A9-B052-3F4E-8C3B4D84C027}"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1714" width="26.57421875" customWidth="1"/>
    <col min="2" max="2" style="41714" width="10.00390625" customWidth="1"/>
    <col min="3" max="3" style="41714" width="9.140625"/>
    <col min="4" max="4" style="41714" width="11.140625" customWidth="1"/>
    <col min="5" max="5" style="41714" width="16.57421875" customWidth="1"/>
    <col min="6" max="6" style="41714" width="16.28125" customWidth="1"/>
    <col min="7" max="7" style="41714" width="19.140625" customWidth="1"/>
    <col min="8" max="11" style="41714" width="10.00390625" customWidth="1"/>
    <col min="12" max="12" style="41714" width="12.7109375" customWidth="1"/>
    <col min="13" max="13" style="41714" width="61.28125" customWidth="1"/>
    <col min="14" max="14" style="41714" width="10.00390625" customWidth="1"/>
    <col min="15" max="17" style="41714" width="23.7109375" customWidth="1"/>
    <col min="18" max="18" style="41714" width="11.7109375" customWidth="1"/>
    <col min="19" max="19" style="41714" width="8.57421875" customWidth="1"/>
    <col min="20" max="20" style="41714" width="11.7109375" customWidth="1"/>
    <col min="21" max="21" style="41714" width="8.57421875" customWidth="1"/>
    <col min="22" max="22" style="41714" width="4.7109375" customWidth="1"/>
    <col min="23" max="23" style="41714" width="115.7109375" customWidth="1"/>
    <col min="24" max="24" style="41714" width="115.28125" customWidth="1"/>
    <col min="25" max="27" style="41714" width="9.140625"/>
    <col min="28" max="28" style="41714" width="115.7109375" customWidth="1"/>
    <col min="29" max="29" style="41714" width="9.140625"/>
    <col min="30" max="90" style="41714" width="115.7109375" customWidth="1"/>
    <col min="91" max="184" style="41714" width="9.140625"/>
  </cols>
  <sheetData>
    <row r="2" s="41715" customFormat="1" customHeight="1" ht="17.25">
      <c r="A2" s="2730" t="s">
        <v>1859</v>
      </c>
    </row>
    <row r="4" s="41706" customFormat="1" customHeight="1" ht="15">
      <c r="C4" s="2731"/>
      <c r="D4" s="1026"/>
      <c r="E4" s="1289"/>
    </row>
    <row r="6" s="41715" customFormat="1" customHeight="1" ht="17.25">
      <c r="A6" s="2730" t="s">
        <v>1860</v>
      </c>
    </row>
    <row r="8" s="41706" customFormat="1" customHeight="1" ht="17.25">
      <c r="C8" s="2732"/>
      <c r="D8" s="1026"/>
      <c r="E8" s="1027"/>
    </row>
    <row r="11" s="41715" customFormat="1" customHeight="1" ht="17.25">
      <c r="A11" s="2730" t="s">
        <v>1861</v>
      </c>
    </row>
    <row r="13" s="41720" customFormat="1" customHeight="1" ht="15">
      <c r="A13" s="3041">
        <v>1</v>
      </c>
      <c r="B13" s="2074"/>
      <c r="C13" s="1713" t="s">
        <v>844</v>
      </c>
      <c r="D13" s="2733"/>
      <c r="E13" s="2720">
        <f>A13</f>
        <v>1</v>
      </c>
      <c r="F13" s="1716"/>
      <c r="G13" s="1452" t="str">
        <f>"Территория "&amp;E13</f>
        <v>Территория 1</v>
      </c>
      <c r="H13" s="1704"/>
      <c r="I13" s="1704"/>
      <c r="J13" s="1701"/>
      <c r="K13" s="2539"/>
      <c r="L13" s="2539"/>
      <c r="M13" s="2539"/>
      <c r="N13" s="1138"/>
      <c r="O13" s="2539"/>
      <c r="P13" s="1137"/>
      <c r="Q13" s="1137"/>
      <c r="R13" s="1137"/>
      <c r="S13" s="1137"/>
    </row>
    <row s="39511" customFormat="1" customHeight="1" ht="15">
      <c r="A14" s="3041"/>
      <c r="B14" s="2074">
        <v>1</v>
      </c>
      <c r="C14" s="2074"/>
      <c r="D14" s="1712"/>
      <c r="E14" s="2728" t="str">
        <f>A13&amp;"."&amp;B14</f>
        <v>1.1</v>
      </c>
      <c r="F14" s="1715">
        <f>$F$20</f>
        <v>0</v>
      </c>
      <c r="G14" s="1705"/>
      <c r="H14" s="1705"/>
      <c r="I14" s="1703"/>
      <c r="J14" s="2539"/>
      <c r="K14" s="2551"/>
      <c r="L14" s="2551"/>
      <c r="M14" s="2539" t="str">
        <f t="array" ref="M14:M14">IF(ISERROR(MATCH(MID(N14,1,250),MID(note_ter,1,250),0)),"n","y")</f>
        <v>n</v>
      </c>
      <c r="N14" s="2551"/>
      <c r="O14" s="2539" t="str">
        <f>H14&amp;"("&amp;I14&amp;")"</f>
        <v>()</v>
      </c>
      <c r="P14" s="2074"/>
      <c r="Q14" s="2074"/>
      <c r="R14" s="1332"/>
      <c r="S14" s="2074"/>
      <c r="T14" s="2074"/>
      <c r="U14" s="2074"/>
      <c r="V14" s="1334"/>
      <c r="W14" s="1334"/>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c r="BM14" s="1331"/>
      <c r="BN14" s="1331"/>
      <c r="BO14" s="1331"/>
      <c r="BP14" s="1331"/>
      <c r="BQ14" s="1331"/>
      <c r="BR14" s="1331"/>
      <c r="BS14" s="1334"/>
      <c r="BT14" s="1334"/>
      <c r="BU14" s="1334"/>
      <c r="BV14" s="1334"/>
      <c r="BW14" s="1334"/>
      <c r="BX14" s="1334"/>
      <c r="BY14" s="1334"/>
      <c r="BZ14" s="1334"/>
      <c r="CA14" s="1334"/>
      <c r="CB14" s="1334"/>
    </row>
    <row s="39511" customFormat="1" customHeight="1" ht="15">
      <c r="A15" s="3041"/>
      <c r="B15" s="2074"/>
      <c r="C15" s="1324"/>
      <c r="D15" s="1713"/>
      <c r="E15" s="1333"/>
      <c r="F15" s="1090"/>
      <c r="G15" s="1327" t="s">
        <v>95</v>
      </c>
      <c r="H15" s="1099"/>
      <c r="I15" s="1336"/>
      <c r="J15" s="2551"/>
      <c r="K15" s="2551"/>
      <c r="L15" s="2551"/>
      <c r="M15" s="2551"/>
      <c r="N15" s="2539"/>
      <c r="O15" s="2551"/>
      <c r="P15" s="2074"/>
      <c r="Q15" s="2074"/>
      <c r="R15" s="1332"/>
      <c r="S15" s="2074"/>
      <c r="T15" s="2074"/>
      <c r="U15" s="2074"/>
      <c r="V15" s="1334"/>
      <c r="W15" s="1334"/>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31"/>
      <c r="BM15" s="1331"/>
      <c r="BN15" s="1331"/>
      <c r="BO15" s="1331"/>
      <c r="BP15" s="1331"/>
      <c r="BQ15" s="1331"/>
      <c r="BR15" s="1331"/>
      <c r="BS15" s="1334"/>
      <c r="BT15" s="1334"/>
      <c r="BU15" s="1334"/>
      <c r="BV15" s="1334"/>
      <c r="BW15" s="1334"/>
      <c r="BX15" s="1334"/>
      <c r="BY15" s="1334"/>
      <c r="BZ15" s="1334"/>
      <c r="CA15" s="1334"/>
      <c r="CB15" s="1334"/>
    </row>
    <row r="17" s="41715" customFormat="1" customHeight="1" ht="17.25">
      <c r="A17" s="2730" t="s">
        <v>1862</v>
      </c>
    </row>
    <row r="19" s="41620" customFormat="1" customHeight="1" ht="15">
      <c r="A19" s="2798"/>
      <c r="B19" s="2281">
        <v>1</v>
      </c>
      <c r="C19" s="2281"/>
      <c r="D19" s="1712" t="s">
        <v>844</v>
      </c>
      <c r="E19" s="2794"/>
      <c r="F19" s="2799">
        <f>$F$20</f>
        <v>0</v>
      </c>
      <c r="G19" s="2803"/>
      <c r="H19" s="2803"/>
      <c r="I19" s="2801"/>
      <c r="J19" s="2539"/>
      <c r="K19" s="2551"/>
      <c r="L19" s="2551"/>
      <c r="M19" s="2539" t="str">
        <f t="array" ref="M19:M19">IF(ISERROR(MATCH(MID(N19,1,250),MID(note_ter,1,250),0)),"n","y")</f>
        <v>n</v>
      </c>
      <c r="N19" s="2551"/>
      <c r="O19" s="2539" t="str">
        <f>H19&amp;"("&amp;I19&amp;")"</f>
        <v>()</v>
      </c>
      <c r="P19" s="2281"/>
      <c r="Q19" s="2281"/>
      <c r="R19" s="1332"/>
      <c r="S19" s="2281"/>
      <c r="T19" s="2281"/>
      <c r="U19" s="2281"/>
      <c r="V19" s="1745"/>
      <c r="W19" s="1745"/>
      <c r="X19" s="1539"/>
      <c r="Y19" s="1539"/>
      <c r="Z19" s="1539"/>
      <c r="AA19" s="1539"/>
      <c r="AB19" s="1539"/>
      <c r="AC19" s="1539"/>
      <c r="AD19" s="1539"/>
      <c r="AE19" s="1539"/>
      <c r="AF19" s="1539"/>
      <c r="AG19" s="1539"/>
      <c r="AH19" s="1539"/>
      <c r="AI19" s="1539"/>
      <c r="AJ19" s="1539"/>
      <c r="AK19" s="1539"/>
      <c r="AL19" s="1539"/>
      <c r="AM19" s="1539"/>
      <c r="AN19" s="1539"/>
      <c r="AO19" s="1539"/>
      <c r="AP19" s="1539"/>
      <c r="AQ19" s="1539"/>
      <c r="AR19" s="1539"/>
      <c r="AS19" s="1539"/>
      <c r="AT19" s="1539"/>
      <c r="AU19" s="1539"/>
      <c r="AV19" s="1539"/>
      <c r="AW19" s="1539"/>
      <c r="AX19" s="1539"/>
      <c r="AY19" s="1539"/>
      <c r="AZ19" s="1539"/>
      <c r="BA19" s="1539"/>
      <c r="BB19" s="1539"/>
      <c r="BC19" s="1539"/>
      <c r="BD19" s="1539"/>
      <c r="BE19" s="1539"/>
      <c r="BF19" s="1539"/>
      <c r="BG19" s="1539"/>
      <c r="BH19" s="1539"/>
      <c r="BI19" s="1539"/>
      <c r="BJ19" s="1539"/>
      <c r="BK19" s="1539"/>
      <c r="BL19" s="1539"/>
      <c r="BM19" s="1539"/>
      <c r="BN19" s="1539"/>
      <c r="BO19" s="1539"/>
      <c r="BP19" s="1539"/>
      <c r="BQ19" s="1539"/>
      <c r="BR19" s="1539"/>
      <c r="BS19" s="1745"/>
      <c r="BT19" s="1745"/>
      <c r="BU19" s="1745"/>
      <c r="BV19" s="1745"/>
      <c r="BW19" s="1745"/>
      <c r="BX19" s="1745"/>
      <c r="BY19" s="1745"/>
      <c r="BZ19" s="1745"/>
      <c r="CA19" s="1745"/>
      <c r="CB19" s="1745"/>
    </row>
    <row r="21" s="39511" customFormat="1" customHeight="1" ht="15">
      <c r="A21" s="2730" t="s">
        <v>1863</v>
      </c>
      <c r="B21" s="2730"/>
      <c r="C21" s="2730"/>
      <c r="D21" s="2730"/>
      <c r="E21" s="2730"/>
      <c r="F21" s="2730"/>
      <c r="G21" s="2730"/>
      <c r="H21" s="2730"/>
      <c r="I21" s="2730"/>
      <c r="J21" s="2730"/>
      <c r="K21" s="2730"/>
      <c r="L21" s="2730"/>
      <c r="M21" s="2730"/>
      <c r="N21" s="2730"/>
      <c r="O21" s="2730"/>
      <c r="P21" s="2730"/>
      <c r="Q21" s="2730"/>
      <c r="R21" s="2730"/>
      <c r="S21" s="2730"/>
      <c r="T21" s="2730"/>
      <c r="U21" s="1096"/>
      <c r="V21" s="2730"/>
      <c r="W21" s="2730"/>
    </row>
    <row s="39511" customFormat="1" customHeight="1" ht="15">
      <c r="U22" s="1097"/>
    </row>
    <row s="41732" customFormat="1" customHeight="1" ht="15">
      <c r="A23" s="1335"/>
      <c r="B23" s="1335"/>
      <c r="C23" s="2643" t="s">
        <v>844</v>
      </c>
      <c r="D23" s="2934" t="s">
        <v>102</v>
      </c>
      <c r="E23" s="2935"/>
      <c r="F23" s="2933" t="s">
        <v>52</v>
      </c>
      <c r="G23" s="3367"/>
      <c r="H23" s="2953">
        <v>1</v>
      </c>
      <c r="I23" s="3369" t="str">
        <f>IF(U23="","",INDEX(TERRITORY_MR_LIST,MATCH(U23,TERRITORY_LIST_ID,0)))</f>
        <v/>
      </c>
      <c r="J23" s="2933" t="s">
        <v>52</v>
      </c>
      <c r="K23" s="1744"/>
      <c r="L23" s="2697" t="s">
        <v>102</v>
      </c>
      <c r="M23" s="1515"/>
      <c r="N23" s="1516"/>
      <c r="O23" s="1516"/>
      <c r="P23" s="1516"/>
      <c r="Q23" s="1516"/>
      <c r="R23" s="1516"/>
      <c r="S23" s="1516"/>
      <c r="T23" s="1516"/>
      <c r="U23" s="1517"/>
      <c r="V23" s="1516"/>
      <c r="W23" s="1516"/>
      <c r="X23" s="1507"/>
      <c r="Y23" s="1507" t="s">
        <v>111</v>
      </c>
      <c r="Z23" s="1507">
        <v>1705000</v>
      </c>
      <c r="AA23" s="1507"/>
      <c r="AB23" s="1507"/>
      <c r="AC23" s="1507"/>
      <c r="AD23" s="1507"/>
      <c r="AE23" s="1507"/>
      <c r="AF23" s="1507"/>
      <c r="AG23" s="1507"/>
      <c r="AH23" s="1507"/>
      <c r="AI23" s="1507"/>
      <c r="AJ23" s="1507"/>
      <c r="AK23" s="1507"/>
      <c r="AL23" s="1507"/>
    </row>
    <row s="41732" customFormat="1" customHeight="1" ht="15">
      <c r="A24" s="1335"/>
      <c r="B24" s="1335"/>
      <c r="C24" s="1089"/>
      <c r="D24" s="2934"/>
      <c r="E24" s="2936"/>
      <c r="F24" s="2933"/>
      <c r="G24" s="3368"/>
      <c r="H24" s="2953"/>
      <c r="I24" s="3370"/>
      <c r="J24" s="2933"/>
      <c r="K24" s="1333"/>
      <c r="L24" s="1090"/>
      <c r="M24" s="1519" t="s">
        <v>112</v>
      </c>
      <c r="N24" s="1516"/>
      <c r="O24" s="1516"/>
      <c r="P24" s="1516"/>
      <c r="Q24" s="1516"/>
      <c r="R24" s="1516"/>
      <c r="S24" s="1516"/>
      <c r="T24" s="1516"/>
      <c r="U24" s="1517"/>
      <c r="V24" s="1516"/>
      <c r="W24" s="1516"/>
      <c r="X24" s="1507"/>
      <c r="Y24" s="1507"/>
      <c r="Z24" s="1507"/>
      <c r="AA24" s="1507"/>
      <c r="AB24" s="1507"/>
      <c r="AC24" s="1507"/>
      <c r="AD24" s="1507"/>
      <c r="AE24" s="1507"/>
      <c r="AF24" s="1507"/>
      <c r="AG24" s="1507"/>
      <c r="AH24" s="1507"/>
      <c r="AI24" s="1507"/>
      <c r="AJ24" s="1507"/>
      <c r="AK24" s="1507"/>
      <c r="AL24" s="1507"/>
    </row>
    <row s="41732" customFormat="1" customHeight="1" ht="15">
      <c r="A25" s="1335"/>
      <c r="B25" s="1335"/>
      <c r="C25" s="1089"/>
      <c r="D25" s="2934"/>
      <c r="E25" s="2937"/>
      <c r="F25" s="2933"/>
      <c r="G25" s="1333"/>
      <c r="H25" s="1090"/>
      <c r="I25" s="1492" t="s">
        <v>113</v>
      </c>
      <c r="J25" s="1090"/>
      <c r="K25" s="1090"/>
      <c r="L25" s="1090"/>
      <c r="M25" s="1520"/>
      <c r="N25" s="1516"/>
      <c r="O25" s="1516"/>
      <c r="P25" s="1516"/>
      <c r="Q25" s="1516"/>
      <c r="R25" s="1516"/>
      <c r="S25" s="1516"/>
      <c r="T25" s="1516"/>
      <c r="U25" s="1517"/>
      <c r="V25" s="1516"/>
      <c r="W25" s="1516"/>
      <c r="X25" s="1507"/>
      <c r="Y25" s="1507"/>
      <c r="Z25" s="1507"/>
      <c r="AA25" s="1507"/>
      <c r="AB25" s="1507"/>
      <c r="AC25" s="1507"/>
      <c r="AD25" s="1507"/>
      <c r="AE25" s="1507"/>
      <c r="AF25" s="1507"/>
      <c r="AG25" s="1507"/>
      <c r="AH25" s="1507"/>
      <c r="AI25" s="1507"/>
      <c r="AJ25" s="1507"/>
      <c r="AK25" s="1507"/>
      <c r="AL25" s="1507"/>
    </row>
    <row s="39511" customFormat="1" customHeight="1" ht="15">
      <c r="U26" s="1097"/>
    </row>
    <row s="39511" customFormat="1" customHeight="1" ht="15">
      <c r="A27" s="2730" t="s">
        <v>1864</v>
      </c>
      <c r="B27" s="2730"/>
      <c r="C27" s="2730"/>
      <c r="D27" s="2730"/>
      <c r="E27" s="2730"/>
      <c r="F27" s="2730"/>
      <c r="G27" s="2730"/>
      <c r="H27" s="2730"/>
      <c r="I27" s="2730"/>
      <c r="J27" s="2730"/>
      <c r="K27" s="2730"/>
      <c r="L27" s="2730"/>
      <c r="M27" s="2730"/>
      <c r="N27" s="2730"/>
      <c r="O27" s="2730"/>
      <c r="P27" s="2730"/>
      <c r="Q27" s="2730"/>
      <c r="R27" s="2730"/>
      <c r="S27" s="2730"/>
      <c r="T27" s="2730"/>
      <c r="U27" s="1096"/>
      <c r="V27" s="2730"/>
      <c r="W27" s="2730"/>
    </row>
    <row s="39511" customFormat="1" customHeight="1" ht="15">
      <c r="U28" s="1097"/>
    </row>
    <row s="41732" customFormat="1" customHeight="1" ht="15">
      <c r="A29" s="1335"/>
      <c r="B29" s="1335"/>
      <c r="C29" s="1089"/>
      <c r="D29" s="2736"/>
      <c r="E29" s="2736"/>
      <c r="F29" s="2736"/>
      <c r="G29" s="3371" t="s">
        <v>844</v>
      </c>
      <c r="H29" s="2929">
        <v>1</v>
      </c>
      <c r="I29" s="3372" t="str">
        <f>IF(U29="","",INDEX(TERRITORY_MR_LIST,MATCH(U29,TERRITORY_LIST_ID,0)))</f>
        <v/>
      </c>
      <c r="J29" s="2933" t="s">
        <v>52</v>
      </c>
      <c r="K29" s="1744"/>
      <c r="L29" s="2697" t="s">
        <v>102</v>
      </c>
      <c r="M29" s="1515"/>
      <c r="N29" s="1516"/>
      <c r="O29" s="1516"/>
      <c r="P29" s="1516"/>
      <c r="Q29" s="1516"/>
      <c r="R29" s="1516"/>
      <c r="S29" s="1516"/>
      <c r="T29" s="1516"/>
      <c r="U29" s="1517"/>
      <c r="V29" s="1516"/>
      <c r="W29" s="1516"/>
      <c r="X29" s="1507"/>
      <c r="Y29" s="1507" t="s">
        <v>111</v>
      </c>
      <c r="Z29" s="1507">
        <v>1705000</v>
      </c>
      <c r="AA29" s="1507"/>
      <c r="AB29" s="1507"/>
      <c r="AC29" s="1507"/>
      <c r="AD29" s="1507"/>
      <c r="AE29" s="1507"/>
      <c r="AF29" s="1507"/>
      <c r="AG29" s="1507"/>
      <c r="AH29" s="1507"/>
      <c r="AI29" s="1507"/>
      <c r="AJ29" s="1507"/>
      <c r="AK29" s="1507"/>
      <c r="AL29" s="1507"/>
    </row>
    <row s="41732" customFormat="1" customHeight="1" ht="15">
      <c r="A30" s="1335"/>
      <c r="B30" s="1335"/>
      <c r="C30" s="1089"/>
      <c r="D30" s="2736"/>
      <c r="E30" s="2736"/>
      <c r="F30" s="2736"/>
      <c r="G30" s="3371"/>
      <c r="H30" s="2929"/>
      <c r="I30" s="3372"/>
      <c r="J30" s="2933"/>
      <c r="K30" s="1333"/>
      <c r="L30" s="1090"/>
      <c r="M30" s="1519" t="s">
        <v>112</v>
      </c>
      <c r="N30" s="1516"/>
      <c r="O30" s="1516"/>
      <c r="P30" s="1516"/>
      <c r="Q30" s="1516"/>
      <c r="R30" s="1516"/>
      <c r="S30" s="1516"/>
      <c r="T30" s="1516"/>
      <c r="U30" s="1517"/>
      <c r="V30" s="1516"/>
      <c r="W30" s="1516"/>
      <c r="X30" s="1507"/>
      <c r="Y30" s="1507"/>
      <c r="Z30" s="1507"/>
      <c r="AA30" s="1507"/>
      <c r="AB30" s="1507"/>
      <c r="AC30" s="1507"/>
      <c r="AD30" s="1507"/>
      <c r="AE30" s="1507"/>
      <c r="AF30" s="1507"/>
      <c r="AG30" s="1507"/>
      <c r="AH30" s="1507"/>
      <c r="AI30" s="1507"/>
      <c r="AJ30" s="1507"/>
      <c r="AK30" s="1507"/>
      <c r="AL30" s="1507"/>
    </row>
    <row s="39511" customFormat="1" customHeight="1" ht="15">
      <c r="U31" s="1097"/>
    </row>
    <row s="39511" customFormat="1" customHeight="1" ht="15">
      <c r="A32" s="2730" t="s">
        <v>1865</v>
      </c>
      <c r="B32" s="2730"/>
      <c r="C32" s="2730"/>
      <c r="D32" s="2730"/>
      <c r="E32" s="2730"/>
      <c r="F32" s="2730"/>
      <c r="G32" s="2730"/>
      <c r="H32" s="2730"/>
      <c r="I32" s="2730"/>
      <c r="J32" s="2730"/>
      <c r="K32" s="2730"/>
      <c r="L32" s="2730"/>
      <c r="M32" s="2730"/>
      <c r="N32" s="2730"/>
      <c r="O32" s="2730"/>
      <c r="P32" s="2730"/>
      <c r="Q32" s="2730"/>
      <c r="R32" s="2730"/>
      <c r="S32" s="2730"/>
      <c r="T32" s="2730"/>
      <c r="U32" s="1096"/>
      <c r="V32" s="2730"/>
      <c r="W32" s="2730"/>
    </row>
    <row s="39511" customFormat="1" customHeight="1" ht="15">
      <c r="U33" s="1097"/>
    </row>
    <row s="41732" customFormat="1" customHeight="1" ht="15">
      <c r="A34" s="1335"/>
      <c r="B34" s="1335"/>
      <c r="C34" s="1089"/>
      <c r="D34" s="2736"/>
      <c r="E34" s="2736"/>
      <c r="F34" s="2736"/>
      <c r="G34" s="2736"/>
      <c r="H34" s="2736"/>
      <c r="I34" s="2736"/>
      <c r="J34" s="2736"/>
      <c r="K34" s="2714" t="s">
        <v>844</v>
      </c>
      <c r="L34" s="2644" t="s">
        <v>102</v>
      </c>
      <c r="M34" s="1723"/>
      <c r="N34" s="1724"/>
      <c r="O34" s="1516"/>
      <c r="P34" s="1516"/>
      <c r="Q34" s="1516"/>
      <c r="R34" s="1516"/>
      <c r="S34" s="1516"/>
      <c r="T34" s="1516"/>
      <c r="U34" s="1517"/>
      <c r="V34" s="1516"/>
      <c r="W34" s="1516"/>
      <c r="X34" s="1507"/>
      <c r="Y34" s="1507" t="s">
        <v>111</v>
      </c>
      <c r="Z34" s="1507">
        <v>1705000</v>
      </c>
      <c r="AA34" s="1507"/>
      <c r="AB34" s="1507"/>
      <c r="AC34" s="1507"/>
      <c r="AD34" s="1507"/>
      <c r="AE34" s="1507"/>
      <c r="AF34" s="1507"/>
      <c r="AG34" s="1507"/>
      <c r="AH34" s="1507"/>
      <c r="AI34" s="1507"/>
      <c r="AJ34" s="1507"/>
      <c r="AK34" s="1507"/>
      <c r="AL34" s="1507"/>
    </row>
    <row s="39511" customFormat="1" customHeight="1" ht="15">
      <c r="U35" s="1097"/>
    </row>
    <row s="39511" customFormat="1" customHeight="1" ht="15">
      <c r="U36" s="1097"/>
    </row>
    <row s="41715" customFormat="1" customHeight="1" ht="11.25">
      <c r="A37" s="2730" t="s">
        <v>1866</v>
      </c>
    </row>
    <row customHeight="1" ht="11.25"/>
    <row s="39916" customFormat="1" customHeight="1" ht="22.5">
      <c r="A39" s="2706"/>
      <c r="B39" s="1369"/>
      <c r="C39" s="1771"/>
      <c r="D39" s="1352"/>
      <c r="E39" s="1772"/>
      <c r="F39" s="2727"/>
      <c r="G39" s="2737"/>
      <c r="H39" s="1387"/>
    </row>
    <row customHeight="1" ht="11.25"/>
    <row s="41715" customFormat="1" customHeight="1" ht="11.25">
      <c r="A41" s="2730" t="s">
        <v>1867</v>
      </c>
    </row>
    <row customHeight="1" ht="11.25"/>
    <row s="39916" customFormat="1" customHeight="1" ht="22.5">
      <c r="A43" s="1369"/>
      <c r="B43" s="1369"/>
      <c r="C43" s="1369"/>
      <c r="D43" s="1352"/>
      <c r="E43" s="1772"/>
      <c r="F43" s="1773"/>
      <c r="G43" s="2737"/>
      <c r="H43" s="1387"/>
    </row>
    <row customHeight="1" ht="11.25"/>
    <row s="41715" customFormat="1" customHeight="1" ht="11.25">
      <c r="A45" s="2730" t="s">
        <v>1868</v>
      </c>
    </row>
    <row customHeight="1" ht="11.25"/>
    <row s="39916" customFormat="1" customHeight="1" ht="24">
      <c r="A47" s="3026" t="s">
        <v>304</v>
      </c>
      <c r="B47" s="1414"/>
      <c r="C47" s="3037"/>
      <c r="D47" s="1357" t="str">
        <f>A47</f>
        <v>5.1</v>
      </c>
      <c r="E47" s="1354" t="s">
        <v>305</v>
      </c>
      <c r="F47" s="2893" t="s">
        <v>297</v>
      </c>
      <c r="G47" s="1356" t="s">
        <v>306</v>
      </c>
      <c r="H47" s="1387"/>
      <c r="I47" s="1764"/>
    </row>
    <row s="39916" customFormat="1" customHeight="1" ht="22.5">
      <c r="A48" s="3026"/>
      <c r="B48" s="1414"/>
      <c r="C48" s="3037"/>
      <c r="D48" s="1352" t="str">
        <f>D47&amp;".1"</f>
        <v>5.1.1</v>
      </c>
      <c r="E48" s="1351" t="s">
        <v>307</v>
      </c>
      <c r="F48" s="2894" t="s">
        <v>18</v>
      </c>
      <c r="G48" s="1386"/>
      <c r="H48" s="1387"/>
      <c r="I48" s="1764"/>
    </row>
    <row s="39916" customFormat="1" customHeight="1" ht="22.5">
      <c r="A49" s="3026"/>
      <c r="B49" s="1414"/>
      <c r="C49" s="3037"/>
      <c r="D49" s="1352" t="str">
        <f>D47&amp;".2"</f>
        <v>5.1.2</v>
      </c>
      <c r="E49" s="1351" t="s">
        <v>308</v>
      </c>
      <c r="F49" s="2647" t="s">
        <v>18</v>
      </c>
      <c r="G49" s="1356" t="s">
        <v>309</v>
      </c>
      <c r="H49" s="1387"/>
      <c r="I49" s="1764"/>
    </row>
    <row s="39916" customFormat="1" customHeight="1" ht="22.5">
      <c r="A50" s="3026"/>
      <c r="B50" s="1414"/>
      <c r="C50" s="3037"/>
      <c r="D50" s="1352" t="str">
        <f>D47&amp;".3"</f>
        <v>5.1.3</v>
      </c>
      <c r="E50" s="1351" t="s">
        <v>310</v>
      </c>
      <c r="F50" s="2894" t="s">
        <v>18</v>
      </c>
      <c r="G50" s="1386"/>
      <c r="H50" s="1387"/>
      <c r="I50" s="1764"/>
    </row>
    <row s="39916" customFormat="1" customHeight="1" ht="22.5">
      <c r="A51" s="3026"/>
      <c r="B51" s="1414"/>
      <c r="C51" s="3037"/>
      <c r="D51" s="1352" t="str">
        <f>D47&amp;".4"</f>
        <v>5.1.4</v>
      </c>
      <c r="E51" s="1351" t="s">
        <v>311</v>
      </c>
      <c r="F51" s="2894" t="s">
        <v>18</v>
      </c>
      <c r="G51" s="1356" t="s">
        <v>312</v>
      </c>
      <c r="H51" s="1387"/>
      <c r="I51" s="1764"/>
    </row>
    <row r="54" s="41715" customFormat="1" customHeight="1" ht="17.25">
      <c r="A54" s="2730" t="s">
        <v>1869</v>
      </c>
    </row>
    <row r="56" s="40004" customFormat="1" customHeight="1" ht="18.75">
      <c r="A56" s="1001"/>
      <c r="B56" s="2738"/>
      <c r="C56" s="2738"/>
      <c r="D56" s="2739"/>
      <c r="E56" s="2724"/>
      <c r="F56" s="1780">
        <v>13</v>
      </c>
      <c r="G56" s="1779"/>
      <c r="H56" s="1705"/>
      <c r="I56" s="1703"/>
      <c r="J56" s="1432" t="s">
        <v>62</v>
      </c>
      <c r="K56" s="2740" t="s">
        <v>18</v>
      </c>
      <c r="L56" s="1001"/>
      <c r="M56" s="2551"/>
      <c r="N56" s="2551"/>
      <c r="O56" s="2551"/>
      <c r="P56" s="1428" t="s">
        <v>383</v>
      </c>
      <c r="Q56" s="1428" t="s">
        <v>384</v>
      </c>
      <c r="R56" s="1429" t="s">
        <v>385</v>
      </c>
      <c r="S56" s="2551" t="s">
        <v>386</v>
      </c>
      <c r="T56" s="2551"/>
      <c r="U56" s="2551"/>
      <c r="V56" s="2551"/>
    </row>
    <row r="58" s="41715" customFormat="1" customHeight="1" ht="11.25">
      <c r="A58" s="2730" t="s">
        <v>1870</v>
      </c>
    </row>
    <row r="60" s="40257" customFormat="1" customHeight="1" ht="14.25">
      <c r="C60" s="2603"/>
      <c r="D60" s="2785"/>
      <c r="E60" s="2692" t="s">
        <v>18</v>
      </c>
      <c r="F60" s="2784"/>
      <c r="G60" s="1768"/>
      <c r="H60" s="2693"/>
      <c r="I60" s="2693"/>
      <c r="J60" s="1345"/>
      <c r="K60" s="2779"/>
      <c r="L60" s="1344"/>
      <c r="M60" s="2779"/>
      <c r="N60" s="1345"/>
      <c r="O60" s="2779"/>
      <c r="P60" s="1345"/>
      <c r="Q60" s="2779"/>
      <c r="R60" s="1345"/>
      <c r="S60" s="1766"/>
      <c r="T60" s="2693"/>
      <c r="U60" s="1345"/>
      <c r="V60" s="1345"/>
      <c r="W60" s="2783"/>
      <c r="X60" s="2693"/>
      <c r="Y60" s="1345"/>
      <c r="Z60" s="1345"/>
      <c r="AA60" s="2783"/>
      <c r="AB60" s="2693"/>
      <c r="AC60" s="1345"/>
      <c r="AD60" s="2783"/>
      <c r="AE60" s="1001"/>
      <c r="AF60" s="1001"/>
      <c r="AG60" s="1001"/>
      <c r="AH60" s="1001"/>
      <c r="AJ60" s="2551"/>
      <c r="AK60" s="2551"/>
      <c r="AL60" s="2551"/>
      <c r="AM60" s="2551"/>
      <c r="AN60" s="2551"/>
      <c r="AO60" s="2551"/>
      <c r="AP60" s="2539" t="s">
        <v>372</v>
      </c>
      <c r="AQ60" s="2539" t="s">
        <v>372</v>
      </c>
      <c r="AR60" s="2551"/>
      <c r="AS60" s="2551"/>
    </row>
    <row r="62" s="41715" customFormat="1" customHeight="1" ht="11.25">
      <c r="A62" s="2730" t="s">
        <v>1871</v>
      </c>
    </row>
    <row r="64" s="41762" customFormat="1" customHeight="1" ht="15">
      <c r="A64" s="1058" t="s">
        <v>86</v>
      </c>
      <c r="B64" s="1038" t="s">
        <v>18</v>
      </c>
      <c r="C64" s="2741"/>
      <c r="D64" s="1041"/>
      <c r="E64" s="1293"/>
      <c r="F64" s="1293"/>
      <c r="G64" s="2718"/>
      <c r="H64" s="2740"/>
      <c r="I64" s="2719"/>
      <c r="K64" s="1184"/>
      <c r="L64" s="1185"/>
    </row>
    <row r="66" s="41715" customFormat="1" customHeight="1" ht="11.25">
      <c r="A66" s="2730" t="s">
        <v>1872</v>
      </c>
    </row>
    <row r="68" s="40257" customFormat="1" customHeight="1" ht="14.25">
      <c r="A68" s="1255"/>
      <c r="B68" s="2074"/>
      <c r="C68" s="1288"/>
      <c r="D68" s="2725"/>
      <c r="E68" s="1798"/>
      <c r="F68" s="2740"/>
      <c r="G68" s="1001"/>
      <c r="I68" s="2539"/>
      <c r="J68" s="2539"/>
    </row>
    <row r="70" s="41715" customFormat="1" customHeight="1" ht="11.25">
      <c r="A70" s="2730" t="s">
        <v>1873</v>
      </c>
    </row>
    <row r="72" s="40257" customFormat="1" customHeight="1" ht="27">
      <c r="A72" s="2080"/>
      <c r="B72" s="2080"/>
      <c r="C72" s="2080"/>
      <c r="D72" s="2074"/>
      <c r="E72" s="2742"/>
      <c r="F72" s="3391"/>
      <c r="G72" s="3392"/>
      <c r="H72" s="3393" t="s">
        <v>62</v>
      </c>
      <c r="I72" s="3395"/>
      <c r="J72" s="3358"/>
      <c r="K72" s="3397"/>
      <c r="L72" s="3360"/>
      <c r="M72" s="3360"/>
      <c r="N72" s="3361"/>
      <c r="O72" s="3361"/>
      <c r="P72" s="3362">
        <f>DATEDIF(DATEVALUE(N72),DATEVALUE(O72),"y")&amp;"г. "&amp;DATEDIF(DATEVALUE(N72),DATEVALUE(O72),"ym")&amp;"мес. "&amp;DATEVALUE(O72)-DATE(YEAR(DATEVALUE(O72)),MONTH(DATEVALUE(O72)),1)&amp;"дн. "</f>
      </c>
      <c r="Q72" s="3357"/>
      <c r="R72" s="3357"/>
      <c r="S72" s="3357"/>
      <c r="T72" s="3358"/>
      <c r="U72" s="3357"/>
      <c r="V72" s="3357"/>
      <c r="W72" s="3357"/>
      <c r="X72" s="3358"/>
      <c r="Y72" s="3355" t="s">
        <v>62</v>
      </c>
      <c r="Z72" s="2723"/>
      <c r="AA72" s="2707">
        <v>1</v>
      </c>
      <c r="AB72" s="2156"/>
      <c r="AD72" s="2551" t="s">
        <v>1874</v>
      </c>
    </row>
    <row s="40257" customFormat="1" customHeight="1" ht="10.5">
      <c r="A73" s="2080"/>
      <c r="B73" s="2080"/>
      <c r="C73" s="2080"/>
      <c r="D73" s="2074"/>
      <c r="E73" s="1860"/>
      <c r="F73" s="3391"/>
      <c r="G73" s="3392"/>
      <c r="H73" s="3394"/>
      <c r="I73" s="3396"/>
      <c r="J73" s="3359"/>
      <c r="K73" s="3397"/>
      <c r="L73" s="3360"/>
      <c r="M73" s="3360"/>
      <c r="N73" s="3361"/>
      <c r="O73" s="3361"/>
      <c r="P73" s="3362"/>
      <c r="Q73" s="3357"/>
      <c r="R73" s="3357"/>
      <c r="S73" s="3357"/>
      <c r="T73" s="3359"/>
      <c r="U73" s="3357"/>
      <c r="V73" s="3357"/>
      <c r="W73" s="3357"/>
      <c r="X73" s="3359"/>
      <c r="Y73" s="3356"/>
      <c r="Z73" s="1259"/>
      <c r="AA73" s="1484"/>
      <c r="AB73" s="1564" t="s">
        <v>906</v>
      </c>
    </row>
    <row r="75" s="41715" customFormat="1" customHeight="1" ht="11.25">
      <c r="A75" s="2730" t="s">
        <v>1875</v>
      </c>
    </row>
    <row r="77" s="40257" customFormat="1" customHeight="1" ht="27">
      <c r="A77" s="2080"/>
      <c r="B77" s="2080"/>
      <c r="C77" s="2080"/>
      <c r="D77" s="2074"/>
      <c r="E77" s="2742"/>
      <c r="F77" s="2712"/>
      <c r="G77" s="2662"/>
      <c r="H77" s="2663"/>
      <c r="I77" s="2664"/>
      <c r="J77" s="2665"/>
      <c r="K77" s="2666"/>
      <c r="L77" s="2667"/>
      <c r="M77" s="2667"/>
      <c r="N77" s="2668"/>
      <c r="O77" s="2668"/>
      <c r="P77" s="2669"/>
      <c r="Q77" s="2670"/>
      <c r="R77" s="2670"/>
      <c r="S77" s="2670"/>
      <c r="T77" s="2665"/>
      <c r="U77" s="2670"/>
      <c r="V77" s="2670"/>
      <c r="W77" s="2670"/>
      <c r="X77" s="2665"/>
      <c r="Y77" s="2663"/>
      <c r="Z77" s="2723"/>
      <c r="AA77" s="2707">
        <v>1</v>
      </c>
      <c r="AB77" s="2156"/>
      <c r="AD77" s="2551" t="s">
        <v>1874</v>
      </c>
    </row>
    <row r="79" s="41715" customFormat="1" customHeight="1" ht="11.25">
      <c r="A79" s="2730" t="s">
        <v>1876</v>
      </c>
    </row>
    <row customHeight="1" ht="17.25"/>
    <row s="40257" customFormat="1" customHeight="1" ht="21">
      <c r="A81" s="2081"/>
      <c r="B81" s="2080"/>
      <c r="C81" s="2080"/>
      <c r="D81" s="2074"/>
      <c r="E81" s="2084"/>
      <c r="F81" s="2036">
        <f>INDEX(IP_MAIN_LIST_NAME_IP,MATCH(A81,IP_MAIN_LIST_IP_ID,0))&amp;" ("&amp;INDEX(IP_MAIN_START_DATE,MATCH(A81,IP_MAIN_LIST_IP_ID,0))&amp;"-"&amp;INDEX(IP_MAIN_END_DATE,MATCH(A81,IP_MAIN_LIST_IP_ID,0))&amp;")"</f>
      </c>
      <c r="G81" s="2037"/>
      <c r="H81" s="2037"/>
      <c r="I81" s="2099"/>
      <c r="J81" s="2099"/>
      <c r="K81" s="2100"/>
      <c r="L81" s="2100"/>
      <c r="M81" s="2100"/>
      <c r="N81" s="2101"/>
      <c r="O81" s="2101"/>
      <c r="P81" s="2101"/>
      <c r="Q81" s="2101"/>
      <c r="R81" s="2101"/>
      <c r="S81" s="2101"/>
      <c r="T81" s="2101"/>
      <c r="U81" s="2101"/>
      <c r="V81" s="2101"/>
      <c r="W81" s="2101"/>
      <c r="X81" s="2101"/>
      <c r="Y81" s="2101"/>
      <c r="Z81" s="2101"/>
      <c r="AA81" s="2101"/>
      <c r="AB81" s="2101"/>
      <c r="AC81" s="2101"/>
      <c r="AD81" s="2101"/>
      <c r="AE81" s="2102"/>
      <c r="AF81" s="2100"/>
      <c r="AG81" s="2100"/>
      <c r="AH81" s="2100"/>
      <c r="AI81" s="2100"/>
      <c r="AJ81" s="2100"/>
      <c r="AK81" s="2100"/>
      <c r="AL81" s="3424"/>
      <c r="AM81" s="2738"/>
      <c r="AN81" s="2738"/>
      <c r="AO81" s="2738"/>
      <c r="AP81" s="2738"/>
      <c r="AQ81" s="2738"/>
      <c r="AR81" s="2738"/>
      <c r="AS81" s="2738"/>
      <c r="AT81" s="2738"/>
      <c r="AU81" s="2738"/>
      <c r="AV81" s="2738"/>
      <c r="AW81" s="2738"/>
      <c r="AX81" s="2738"/>
      <c r="AY81" s="2738"/>
      <c r="AZ81" s="2738"/>
      <c r="BA81" s="2738"/>
      <c r="BB81" s="2738"/>
      <c r="BC81" s="2738"/>
      <c r="BD81" s="2738"/>
      <c r="BE81" s="2738"/>
      <c r="BF81" s="2738"/>
    </row>
    <row s="40257" customFormat="1" customHeight="1" ht="11.25">
      <c r="A82" s="2080"/>
      <c r="B82" s="2080"/>
      <c r="C82" s="2080"/>
      <c r="D82" s="2074"/>
      <c r="E82" s="2084"/>
      <c r="F82" s="3353"/>
      <c r="G82" s="3333"/>
      <c r="H82" s="3333" t="s">
        <v>102</v>
      </c>
      <c r="I82" s="3334"/>
      <c r="J82" s="3303"/>
      <c r="K82" s="3335"/>
      <c r="L82" s="3325" t="s">
        <v>52</v>
      </c>
      <c r="M82" s="2934"/>
      <c r="N82" s="2092"/>
      <c r="O82" s="2091" t="s">
        <v>367</v>
      </c>
      <c r="P82" s="2092"/>
      <c r="Q82" s="2092"/>
      <c r="R82" s="2092"/>
      <c r="S82" s="2092"/>
      <c r="T82" s="2092"/>
      <c r="U82" s="2092"/>
      <c r="V82" s="2092"/>
      <c r="W82" s="2092"/>
      <c r="X82" s="2092"/>
      <c r="Y82" s="2092"/>
      <c r="Z82" s="2092"/>
      <c r="AA82" s="2092"/>
      <c r="AB82" s="2092"/>
      <c r="AC82" s="2092"/>
      <c r="AD82" s="2092"/>
      <c r="AE82" s="2092"/>
      <c r="AF82" s="3324"/>
      <c r="AG82" s="3325"/>
      <c r="AH82" s="3325"/>
      <c r="AI82" s="3324"/>
      <c r="AJ82" s="3325"/>
      <c r="AK82" s="3325"/>
      <c r="AL82" s="3424"/>
      <c r="AM82" s="2738"/>
      <c r="AN82" s="2738"/>
      <c r="AO82" s="2738"/>
      <c r="AP82" s="2738"/>
      <c r="AQ82" s="2738"/>
      <c r="AR82" s="2738"/>
      <c r="AS82" s="2738"/>
      <c r="AT82" s="2738"/>
      <c r="AU82" s="2738"/>
      <c r="AV82" s="2738"/>
      <c r="AW82" s="2738"/>
      <c r="AX82" s="2738"/>
      <c r="AY82" s="2738"/>
      <c r="AZ82" s="2738"/>
      <c r="BA82" s="2738"/>
      <c r="BB82" s="2738"/>
      <c r="BC82" s="2738"/>
      <c r="BD82" s="2738"/>
      <c r="BE82" s="2738"/>
      <c r="BF82" s="2738"/>
    </row>
    <row s="40257" customFormat="1" customHeight="1" ht="11.25">
      <c r="A83" s="2080"/>
      <c r="B83" s="2080"/>
      <c r="C83" s="2080"/>
      <c r="D83" s="2074"/>
      <c r="E83" s="2084"/>
      <c r="F83" s="3353"/>
      <c r="G83" s="3333"/>
      <c r="H83" s="3333"/>
      <c r="I83" s="3334"/>
      <c r="J83" s="3303"/>
      <c r="K83" s="3335"/>
      <c r="L83" s="3325"/>
      <c r="M83" s="2934"/>
      <c r="N83" s="3326"/>
      <c r="O83" s="3327">
        <v>1</v>
      </c>
      <c r="P83" s="3328" t="s">
        <v>52</v>
      </c>
      <c r="Q83" s="3331" t="s">
        <v>18</v>
      </c>
      <c r="R83" s="3331" t="s">
        <v>18</v>
      </c>
      <c r="S83" s="3331" t="s">
        <v>18</v>
      </c>
      <c r="T83" s="3331" t="s">
        <v>18</v>
      </c>
      <c r="U83" s="3331" t="s">
        <v>18</v>
      </c>
      <c r="V83" s="3331" t="s">
        <v>18</v>
      </c>
      <c r="W83" s="3331" t="s">
        <v>18</v>
      </c>
      <c r="X83" s="3331" t="s">
        <v>18</v>
      </c>
      <c r="Y83" s="3331"/>
      <c r="Z83" s="2089"/>
      <c r="AA83" s="2090"/>
      <c r="AB83" s="2090"/>
      <c r="AC83" s="2094"/>
      <c r="AD83" s="2094"/>
      <c r="AE83" s="2095"/>
      <c r="AF83" s="3324"/>
      <c r="AG83" s="3325"/>
      <c r="AH83" s="3325"/>
      <c r="AI83" s="3324"/>
      <c r="AJ83" s="3325"/>
      <c r="AK83" s="3325"/>
      <c r="AL83" s="3424"/>
      <c r="AM83" s="2738"/>
      <c r="AN83" s="2738"/>
      <c r="AO83" s="2738"/>
      <c r="AP83" s="2738"/>
      <c r="AQ83" s="2738"/>
      <c r="AR83" s="2738"/>
      <c r="AS83" s="2738"/>
      <c r="AT83" s="2738"/>
      <c r="AU83" s="2738"/>
      <c r="AV83" s="2738"/>
      <c r="AW83" s="2738"/>
      <c r="AX83" s="2738"/>
      <c r="AY83" s="2738"/>
      <c r="AZ83" s="2738"/>
      <c r="BA83" s="2738"/>
      <c r="BB83" s="2738"/>
      <c r="BC83" s="2738"/>
      <c r="BD83" s="2738"/>
      <c r="BE83" s="2738"/>
      <c r="BF83" s="2738"/>
    </row>
    <row s="40257" customFormat="1" customHeight="1" ht="11.25">
      <c r="A84" s="2080"/>
      <c r="B84" s="2080"/>
      <c r="C84" s="2080"/>
      <c r="D84" s="2074"/>
      <c r="E84" s="2084"/>
      <c r="F84" s="3353"/>
      <c r="G84" s="3333"/>
      <c r="H84" s="3333"/>
      <c r="I84" s="3334"/>
      <c r="J84" s="3303"/>
      <c r="K84" s="3335"/>
      <c r="L84" s="3325"/>
      <c r="M84" s="2934"/>
      <c r="N84" s="3326"/>
      <c r="O84" s="3327"/>
      <c r="P84" s="3329"/>
      <c r="Q84" s="3331"/>
      <c r="R84" s="3331"/>
      <c r="S84" s="3332"/>
      <c r="T84" s="3331"/>
      <c r="U84" s="3331"/>
      <c r="V84" s="3331"/>
      <c r="W84" s="3331"/>
      <c r="X84" s="3331"/>
      <c r="Y84" s="3331"/>
      <c r="Z84" s="2743"/>
      <c r="AA84" s="2709">
        <v>1</v>
      </c>
      <c r="AB84" s="2093"/>
      <c r="AC84" s="2083"/>
      <c r="AD84" s="2093">
        <f>AB84</f>
        <v>0</v>
      </c>
      <c r="AE84" s="2083"/>
      <c r="AF84" s="3324"/>
      <c r="AG84" s="3325"/>
      <c r="AH84" s="3325"/>
      <c r="AI84" s="3324"/>
      <c r="AJ84" s="3325"/>
      <c r="AK84" s="3325"/>
      <c r="AL84" s="3424"/>
      <c r="AM84" s="2738"/>
      <c r="AN84" s="2738"/>
      <c r="AO84" s="2738"/>
      <c r="AP84" s="2738"/>
      <c r="AQ84" s="2738"/>
      <c r="AR84" s="2738"/>
      <c r="AS84" s="2738"/>
      <c r="AT84" s="2738"/>
      <c r="AU84" s="2738"/>
      <c r="AV84" s="2738"/>
      <c r="AW84" s="2738"/>
      <c r="AX84" s="2738"/>
      <c r="AY84" s="2738"/>
      <c r="AZ84" s="2738"/>
      <c r="BA84" s="2738"/>
      <c r="BB84" s="2738"/>
      <c r="BC84" s="2738"/>
      <c r="BD84" s="2738"/>
      <c r="BE84" s="2738"/>
      <c r="BF84" s="2738"/>
    </row>
    <row s="40257" customFormat="1" customHeight="1" ht="11.25">
      <c r="A85" s="2080"/>
      <c r="B85" s="2080"/>
      <c r="C85" s="2080"/>
      <c r="D85" s="2074"/>
      <c r="E85" s="2084"/>
      <c r="F85" s="3353"/>
      <c r="G85" s="3333"/>
      <c r="H85" s="3333"/>
      <c r="I85" s="3334"/>
      <c r="J85" s="3303"/>
      <c r="K85" s="3335"/>
      <c r="L85" s="3325"/>
      <c r="M85" s="2934"/>
      <c r="N85" s="3326"/>
      <c r="O85" s="3327"/>
      <c r="P85" s="3330"/>
      <c r="Q85" s="3331"/>
      <c r="R85" s="3331"/>
      <c r="S85" s="3332"/>
      <c r="T85" s="3331"/>
      <c r="U85" s="3331"/>
      <c r="V85" s="3331"/>
      <c r="W85" s="3331"/>
      <c r="X85" s="3331"/>
      <c r="Y85" s="3331"/>
      <c r="Z85" s="2089"/>
      <c r="AA85" s="2090"/>
      <c r="AB85" s="2155" t="s">
        <v>942</v>
      </c>
      <c r="AC85" s="2094"/>
      <c r="AD85" s="2094"/>
      <c r="AE85" s="2096"/>
      <c r="AF85" s="3324"/>
      <c r="AG85" s="3325"/>
      <c r="AH85" s="3325"/>
      <c r="AI85" s="3324"/>
      <c r="AJ85" s="3325"/>
      <c r="AK85" s="3325"/>
      <c r="AL85" s="3424"/>
      <c r="AM85" s="2738"/>
      <c r="AN85" s="2738"/>
      <c r="AO85" s="2738"/>
      <c r="AP85" s="2738"/>
      <c r="AQ85" s="2738"/>
      <c r="AR85" s="2738"/>
      <c r="AS85" s="2738"/>
      <c r="AT85" s="2738"/>
      <c r="AU85" s="2738"/>
      <c r="AV85" s="2738"/>
      <c r="AW85" s="2738"/>
      <c r="AX85" s="2738"/>
      <c r="AY85" s="2738"/>
      <c r="AZ85" s="2738"/>
      <c r="BA85" s="2738"/>
      <c r="BB85" s="2738"/>
      <c r="BC85" s="2738"/>
      <c r="BD85" s="2738"/>
      <c r="BE85" s="2738"/>
      <c r="BF85" s="2738"/>
    </row>
    <row s="40257" customFormat="1" customHeight="1" ht="11.25">
      <c r="A86" s="2080"/>
      <c r="B86" s="2080"/>
      <c r="C86" s="2080"/>
      <c r="D86" s="2074"/>
      <c r="E86" s="2084"/>
      <c r="F86" s="3353"/>
      <c r="G86" s="3333"/>
      <c r="H86" s="3333"/>
      <c r="I86" s="3334"/>
      <c r="J86" s="3303"/>
      <c r="K86" s="3335"/>
      <c r="L86" s="3325"/>
      <c r="M86" s="2934"/>
      <c r="N86" s="2090"/>
      <c r="O86" s="2090"/>
      <c r="P86" s="2082" t="s">
        <v>943</v>
      </c>
      <c r="Q86" s="2090"/>
      <c r="R86" s="2090"/>
      <c r="S86" s="2090"/>
      <c r="T86" s="2090"/>
      <c r="U86" s="2090"/>
      <c r="V86" s="2090"/>
      <c r="W86" s="2090"/>
      <c r="X86" s="2090"/>
      <c r="Y86" s="2090"/>
      <c r="Z86" s="2090"/>
      <c r="AA86" s="2090"/>
      <c r="AB86" s="2090"/>
      <c r="AC86" s="2090"/>
      <c r="AD86" s="2090"/>
      <c r="AE86" s="2097"/>
      <c r="AF86" s="3324"/>
      <c r="AG86" s="3325"/>
      <c r="AH86" s="3325"/>
      <c r="AI86" s="3324"/>
      <c r="AJ86" s="3325"/>
      <c r="AK86" s="3325"/>
      <c r="AL86" s="3424"/>
      <c r="AM86" s="2738"/>
      <c r="AN86" s="2738"/>
      <c r="AO86" s="2738"/>
      <c r="AP86" s="2738"/>
      <c r="AQ86" s="2738"/>
      <c r="AR86" s="2738"/>
      <c r="AS86" s="2738"/>
      <c r="AT86" s="2738"/>
      <c r="AU86" s="2738"/>
      <c r="AV86" s="2738"/>
      <c r="AW86" s="2738"/>
      <c r="AX86" s="2738"/>
      <c r="AY86" s="2738"/>
      <c r="AZ86" s="2738"/>
      <c r="BA86" s="2738"/>
      <c r="BB86" s="2738"/>
      <c r="BC86" s="2738"/>
      <c r="BD86" s="2738"/>
      <c r="BE86" s="2738"/>
      <c r="BF86" s="2738"/>
    </row>
    <row s="40257" customFormat="1" customHeight="1" ht="12">
      <c r="A87" s="2080"/>
      <c r="B87" s="2080"/>
      <c r="C87" s="2080"/>
      <c r="D87" s="2074"/>
      <c r="E87" s="2084"/>
      <c r="F87" s="3354"/>
      <c r="G87" s="2104"/>
      <c r="H87" s="2104"/>
      <c r="I87" s="3352" t="s">
        <v>965</v>
      </c>
      <c r="J87" s="3352"/>
      <c r="K87" s="3352"/>
      <c r="L87" s="2087"/>
      <c r="M87" s="2087"/>
      <c r="N87" s="2088"/>
      <c r="O87" s="2088"/>
      <c r="P87" s="2088"/>
      <c r="Q87" s="2088"/>
      <c r="R87" s="2088"/>
      <c r="S87" s="2088"/>
      <c r="T87" s="2088"/>
      <c r="U87" s="2088"/>
      <c r="V87" s="2088"/>
      <c r="W87" s="2088"/>
      <c r="X87" s="2088"/>
      <c r="Y87" s="2088"/>
      <c r="Z87" s="2088"/>
      <c r="AA87" s="2088"/>
      <c r="AB87" s="2088"/>
      <c r="AC87" s="2088"/>
      <c r="AD87" s="2088"/>
      <c r="AE87" s="2088"/>
      <c r="AF87" s="2088"/>
      <c r="AG87" s="2087"/>
      <c r="AH87" s="2087"/>
      <c r="AI87" s="2088"/>
      <c r="AJ87" s="2087"/>
      <c r="AK87" s="2088"/>
      <c r="AL87" s="3424"/>
      <c r="AM87" s="2738"/>
      <c r="AN87" s="2738"/>
      <c r="AO87" s="2738"/>
      <c r="AP87" s="2738"/>
      <c r="AQ87" s="2738"/>
      <c r="AR87" s="2738"/>
      <c r="AS87" s="2738"/>
      <c r="AT87" s="2738"/>
      <c r="AU87" s="2738"/>
      <c r="AV87" s="2738"/>
      <c r="AW87" s="2738"/>
      <c r="AX87" s="2738"/>
      <c r="AY87" s="2738"/>
      <c r="AZ87" s="2738"/>
      <c r="BA87" s="2738"/>
      <c r="BB87" s="2738"/>
      <c r="BC87" s="2738"/>
      <c r="BD87" s="2738"/>
      <c r="BE87" s="2738"/>
      <c r="BF87" s="2738"/>
    </row>
    <row r="89" s="41715" customFormat="1" customHeight="1" ht="11.25">
      <c r="A89" s="2730" t="s">
        <v>1877</v>
      </c>
    </row>
    <row r="91" s="40257" customFormat="1" customHeight="1" ht="11.25">
      <c r="A91" s="2080"/>
      <c r="B91" s="2080"/>
      <c r="C91" s="2080"/>
      <c r="D91" s="2074"/>
      <c r="E91" s="2084"/>
      <c r="F91" s="2744"/>
      <c r="G91" s="2745"/>
      <c r="H91" s="2745"/>
      <c r="I91" s="2679"/>
      <c r="J91" s="2679"/>
      <c r="K91" s="2746"/>
      <c r="L91" s="2679"/>
      <c r="M91" s="2745"/>
      <c r="N91" s="3398"/>
      <c r="O91" s="3327">
        <v>1</v>
      </c>
      <c r="P91" s="3328" t="s">
        <v>52</v>
      </c>
      <c r="Q91" s="3331" t="s">
        <v>18</v>
      </c>
      <c r="R91" s="3331" t="s">
        <v>18</v>
      </c>
      <c r="S91" s="3331" t="s">
        <v>18</v>
      </c>
      <c r="T91" s="3331" t="s">
        <v>18</v>
      </c>
      <c r="U91" s="3331" t="s">
        <v>18</v>
      </c>
      <c r="V91" s="3331" t="s">
        <v>18</v>
      </c>
      <c r="W91" s="3331" t="s">
        <v>18</v>
      </c>
      <c r="X91" s="3331" t="s">
        <v>18</v>
      </c>
      <c r="Y91" s="3331"/>
      <c r="Z91" s="2089"/>
      <c r="AA91" s="2090"/>
      <c r="AB91" s="2090"/>
      <c r="AC91" s="2094"/>
      <c r="AD91" s="2094"/>
      <c r="AE91" s="2094"/>
      <c r="AF91" s="2747"/>
      <c r="AG91" s="2674"/>
      <c r="AH91" s="2674"/>
      <c r="AI91" s="2747"/>
      <c r="AJ91" s="2674"/>
      <c r="AK91" s="3423"/>
      <c r="AL91" s="3424"/>
      <c r="AM91" s="2738"/>
      <c r="AN91" s="2738"/>
      <c r="AO91" s="2738"/>
      <c r="AP91" s="2738"/>
      <c r="AQ91" s="2738"/>
      <c r="AR91" s="2738"/>
      <c r="AS91" s="2738"/>
      <c r="AT91" s="2738"/>
      <c r="AU91" s="2738"/>
      <c r="AV91" s="2738"/>
      <c r="AW91" s="2738"/>
      <c r="AX91" s="2738"/>
      <c r="AY91" s="2738"/>
      <c r="AZ91" s="2738"/>
      <c r="BA91" s="2738"/>
      <c r="BB91" s="2738"/>
      <c r="BC91" s="2738"/>
      <c r="BD91" s="2738"/>
      <c r="BE91" s="2738"/>
      <c r="BF91" s="2738"/>
    </row>
    <row s="40257" customFormat="1" customHeight="1" ht="11.25">
      <c r="A92" s="2080"/>
      <c r="B92" s="2080"/>
      <c r="C92" s="2080"/>
      <c r="D92" s="2074"/>
      <c r="E92" s="2084"/>
      <c r="F92" s="2744"/>
      <c r="G92" s="2745"/>
      <c r="H92" s="2745"/>
      <c r="I92" s="2680"/>
      <c r="J92" s="2680"/>
      <c r="K92" s="2746"/>
      <c r="L92" s="2680"/>
      <c r="M92" s="2745"/>
      <c r="N92" s="3398"/>
      <c r="O92" s="3327"/>
      <c r="P92" s="3329"/>
      <c r="Q92" s="3331"/>
      <c r="R92" s="3331"/>
      <c r="S92" s="3332"/>
      <c r="T92" s="3331"/>
      <c r="U92" s="3331"/>
      <c r="V92" s="3331"/>
      <c r="W92" s="3331"/>
      <c r="X92" s="3331"/>
      <c r="Y92" s="3331"/>
      <c r="Z92" s="2743"/>
      <c r="AA92" s="2709">
        <v>1</v>
      </c>
      <c r="AB92" s="2093"/>
      <c r="AC92" s="2083"/>
      <c r="AD92" s="2093">
        <f>AB92</f>
        <v>0</v>
      </c>
      <c r="AE92" s="1636"/>
      <c r="AF92" s="2746"/>
      <c r="AG92" s="2674"/>
      <c r="AH92" s="2674"/>
      <c r="AI92" s="2746"/>
      <c r="AJ92" s="2674"/>
      <c r="AK92" s="3423"/>
      <c r="AL92" s="3424"/>
      <c r="AM92" s="2738"/>
      <c r="AN92" s="2738"/>
      <c r="AO92" s="2738"/>
      <c r="AP92" s="2738"/>
      <c r="AQ92" s="2738"/>
      <c r="AR92" s="2738"/>
      <c r="AS92" s="2738"/>
      <c r="AT92" s="2738"/>
      <c r="AU92" s="2738"/>
      <c r="AV92" s="2738"/>
      <c r="AW92" s="2738"/>
      <c r="AX92" s="2738"/>
      <c r="AY92" s="2738"/>
      <c r="AZ92" s="2738"/>
      <c r="BA92" s="2738"/>
      <c r="BB92" s="2738"/>
      <c r="BC92" s="2738"/>
      <c r="BD92" s="2738"/>
      <c r="BE92" s="2738"/>
      <c r="BF92" s="2738"/>
    </row>
    <row s="40257" customFormat="1" customHeight="1" ht="11.25">
      <c r="A93" s="2080"/>
      <c r="B93" s="2080"/>
      <c r="C93" s="2080"/>
      <c r="D93" s="2074"/>
      <c r="E93" s="2084"/>
      <c r="F93" s="2744"/>
      <c r="G93" s="2745"/>
      <c r="H93" s="2745"/>
      <c r="I93" s="2681"/>
      <c r="J93" s="2681"/>
      <c r="K93" s="2746"/>
      <c r="L93" s="2681"/>
      <c r="M93" s="2745"/>
      <c r="N93" s="3398"/>
      <c r="O93" s="3327"/>
      <c r="P93" s="3330"/>
      <c r="Q93" s="3331"/>
      <c r="R93" s="3331"/>
      <c r="S93" s="3332"/>
      <c r="T93" s="3331"/>
      <c r="U93" s="3331"/>
      <c r="V93" s="3331"/>
      <c r="W93" s="3331"/>
      <c r="X93" s="3331"/>
      <c r="Y93" s="3331"/>
      <c r="Z93" s="2089"/>
      <c r="AA93" s="2090"/>
      <c r="AB93" s="2155" t="s">
        <v>942</v>
      </c>
      <c r="AC93" s="2094"/>
      <c r="AD93" s="2094"/>
      <c r="AE93" s="2094"/>
      <c r="AF93" s="2748"/>
      <c r="AG93" s="2674"/>
      <c r="AH93" s="2674"/>
      <c r="AI93" s="2748"/>
      <c r="AJ93" s="2674"/>
      <c r="AK93" s="3423"/>
      <c r="AL93" s="3424"/>
      <c r="AM93" s="2738"/>
      <c r="AN93" s="2738"/>
      <c r="AO93" s="2738"/>
      <c r="AP93" s="2738"/>
      <c r="AQ93" s="2738"/>
      <c r="AR93" s="2738"/>
      <c r="AS93" s="2738"/>
      <c r="AT93" s="2738"/>
      <c r="AU93" s="2738"/>
      <c r="AV93" s="2738"/>
      <c r="AW93" s="2738"/>
      <c r="AX93" s="2738"/>
      <c r="AY93" s="2738"/>
      <c r="AZ93" s="2738"/>
      <c r="BA93" s="2738"/>
      <c r="BB93" s="2738"/>
      <c r="BC93" s="2738"/>
      <c r="BD93" s="2738"/>
      <c r="BE93" s="2738"/>
      <c r="BF93" s="2738"/>
    </row>
    <row r="95" s="41715" customFormat="1" customHeight="1" ht="11.25">
      <c r="A95" s="2730" t="s">
        <v>1878</v>
      </c>
    </row>
    <row r="97" s="40257" customFormat="1" customHeight="1" ht="11.25">
      <c r="A97" s="2080"/>
      <c r="B97" s="2080"/>
      <c r="C97" s="2080"/>
      <c r="D97" s="2074"/>
      <c r="E97" s="2084"/>
      <c r="F97" s="2745"/>
      <c r="G97" s="2745"/>
      <c r="H97" s="2745"/>
      <c r="I97" s="2745"/>
      <c r="J97" s="2745"/>
      <c r="K97" s="2745"/>
      <c r="L97" s="2745"/>
      <c r="M97" s="2745"/>
      <c r="N97" s="2745"/>
      <c r="O97" s="2745"/>
      <c r="P97" s="2745"/>
      <c r="Q97" s="2745"/>
      <c r="R97" s="2745"/>
      <c r="S97" s="2745"/>
      <c r="T97" s="2745"/>
      <c r="U97" s="2745"/>
      <c r="V97" s="2745"/>
      <c r="W97" s="2745"/>
      <c r="X97" s="2745"/>
      <c r="Y97" s="2745"/>
      <c r="Z97" s="2749"/>
      <c r="AA97" s="2729">
        <v>1</v>
      </c>
      <c r="AB97" s="2093"/>
      <c r="AC97" s="2083"/>
      <c r="AD97" s="2093">
        <f>AB97</f>
        <v>0</v>
      </c>
      <c r="AE97" s="2083"/>
      <c r="AF97" s="2746"/>
      <c r="AG97" s="2674"/>
      <c r="AH97" s="2674"/>
      <c r="AI97" s="2746"/>
      <c r="AJ97" s="2674"/>
      <c r="AK97" s="3423"/>
      <c r="AL97" s="3424"/>
      <c r="AM97" s="2738"/>
      <c r="AN97" s="2738"/>
      <c r="AO97" s="2738"/>
      <c r="AP97" s="2738"/>
      <c r="AQ97" s="2738"/>
      <c r="AR97" s="2738"/>
      <c r="AS97" s="2738"/>
      <c r="AT97" s="2738"/>
      <c r="AU97" s="2738"/>
      <c r="AV97" s="2738"/>
      <c r="AW97" s="2738"/>
      <c r="AX97" s="2738"/>
      <c r="AY97" s="2738"/>
      <c r="AZ97" s="2738"/>
      <c r="BA97" s="2738"/>
      <c r="BB97" s="2738"/>
      <c r="BC97" s="2738"/>
      <c r="BD97" s="2738"/>
      <c r="BE97" s="2738"/>
      <c r="BF97" s="2738"/>
    </row>
    <row r="99" s="41715" customFormat="1" customHeight="1" ht="11.25">
      <c r="A99" s="2730" t="s">
        <v>1879</v>
      </c>
    </row>
    <row r="101" s="40257" customFormat="1" customHeight="1" ht="11.25">
      <c r="A101" s="2080"/>
      <c r="B101" s="2080"/>
      <c r="C101" s="2080"/>
      <c r="D101" s="2074"/>
      <c r="E101" s="2084"/>
      <c r="F101" s="2744"/>
      <c r="G101" s="2745"/>
      <c r="H101" s="3333" t="s">
        <v>102</v>
      </c>
      <c r="I101" s="3334"/>
      <c r="J101" s="3303"/>
      <c r="K101" s="3335"/>
      <c r="L101" s="2933" t="s">
        <v>52</v>
      </c>
      <c r="M101" s="2934"/>
      <c r="N101" s="3422"/>
      <c r="O101" s="2091" t="s">
        <v>367</v>
      </c>
      <c r="P101" s="2092"/>
      <c r="Q101" s="2092"/>
      <c r="R101" s="2092"/>
      <c r="S101" s="2092"/>
      <c r="T101" s="2092"/>
      <c r="U101" s="2092"/>
      <c r="V101" s="2092"/>
      <c r="W101" s="2092"/>
      <c r="X101" s="2092"/>
      <c r="Y101" s="2092"/>
      <c r="Z101" s="2092"/>
      <c r="AA101" s="2092"/>
      <c r="AB101" s="2092"/>
      <c r="AC101" s="2092"/>
      <c r="AD101" s="2092"/>
      <c r="AE101" s="2092"/>
      <c r="AF101" s="3324"/>
      <c r="AG101" s="3325"/>
      <c r="AH101" s="3325"/>
      <c r="AI101" s="3324"/>
      <c r="AJ101" s="3325"/>
      <c r="AK101" s="3325"/>
      <c r="AL101" s="3424"/>
      <c r="AM101" s="2738"/>
      <c r="AN101" s="2738"/>
      <c r="AO101" s="2738"/>
      <c r="AP101" s="2738"/>
      <c r="AQ101" s="2738"/>
      <c r="AR101" s="2738"/>
      <c r="AS101" s="2738"/>
      <c r="AT101" s="2738"/>
      <c r="AU101" s="2738"/>
      <c r="AV101" s="2738"/>
      <c r="AW101" s="2738"/>
      <c r="AX101" s="2738"/>
      <c r="AY101" s="2738"/>
      <c r="AZ101" s="2738"/>
      <c r="BA101" s="2738"/>
      <c r="BB101" s="2738"/>
      <c r="BC101" s="2738"/>
      <c r="BD101" s="2738"/>
      <c r="BE101" s="2738"/>
      <c r="BF101" s="2738"/>
    </row>
    <row s="40257" customFormat="1" customHeight="1" ht="11.25">
      <c r="A102" s="2080"/>
      <c r="B102" s="2080"/>
      <c r="C102" s="2080"/>
      <c r="D102" s="2074"/>
      <c r="E102" s="2084"/>
      <c r="F102" s="2744"/>
      <c r="G102" s="2745"/>
      <c r="H102" s="3333"/>
      <c r="I102" s="3334"/>
      <c r="J102" s="3303"/>
      <c r="K102" s="3335"/>
      <c r="L102" s="2933"/>
      <c r="M102" s="2934"/>
      <c r="N102" s="3398"/>
      <c r="O102" s="3421">
        <v>1</v>
      </c>
      <c r="P102" s="3328" t="s">
        <v>52</v>
      </c>
      <c r="Q102" s="3331" t="s">
        <v>18</v>
      </c>
      <c r="R102" s="3331" t="s">
        <v>18</v>
      </c>
      <c r="S102" s="3331" t="s">
        <v>18</v>
      </c>
      <c r="T102" s="3331" t="s">
        <v>18</v>
      </c>
      <c r="U102" s="3331" t="s">
        <v>18</v>
      </c>
      <c r="V102" s="3331" t="s">
        <v>18</v>
      </c>
      <c r="W102" s="3331" t="s">
        <v>18</v>
      </c>
      <c r="X102" s="3331" t="s">
        <v>18</v>
      </c>
      <c r="Y102" s="3331"/>
      <c r="Z102" s="2089"/>
      <c r="AA102" s="2090"/>
      <c r="AB102" s="2090"/>
      <c r="AC102" s="2094"/>
      <c r="AD102" s="2094"/>
      <c r="AE102" s="2095"/>
      <c r="AF102" s="3324"/>
      <c r="AG102" s="3325"/>
      <c r="AH102" s="3325"/>
      <c r="AI102" s="3324"/>
      <c r="AJ102" s="3325"/>
      <c r="AK102" s="3325"/>
      <c r="AL102" s="3424"/>
      <c r="AM102" s="2738"/>
      <c r="AN102" s="2738"/>
      <c r="AO102" s="2738"/>
      <c r="AP102" s="2738"/>
      <c r="AQ102" s="2738"/>
      <c r="AR102" s="2738"/>
      <c r="AS102" s="2738"/>
      <c r="AT102" s="2738"/>
      <c r="AU102" s="2738"/>
      <c r="AV102" s="2738"/>
      <c r="AW102" s="2738"/>
      <c r="AX102" s="2738"/>
      <c r="AY102" s="2738"/>
      <c r="AZ102" s="2738"/>
      <c r="BA102" s="2738"/>
      <c r="BB102" s="2738"/>
      <c r="BC102" s="2738"/>
      <c r="BD102" s="2738"/>
      <c r="BE102" s="2738"/>
      <c r="BF102" s="2738"/>
    </row>
    <row s="40257" customFormat="1" customHeight="1" ht="11.25">
      <c r="A103" s="2080"/>
      <c r="B103" s="2080"/>
      <c r="C103" s="2080"/>
      <c r="D103" s="2074"/>
      <c r="E103" s="2084"/>
      <c r="F103" s="2744"/>
      <c r="G103" s="2745"/>
      <c r="H103" s="3333"/>
      <c r="I103" s="3334"/>
      <c r="J103" s="3303"/>
      <c r="K103" s="3335"/>
      <c r="L103" s="2933"/>
      <c r="M103" s="2934"/>
      <c r="N103" s="3398"/>
      <c r="O103" s="3421"/>
      <c r="P103" s="3329"/>
      <c r="Q103" s="3331"/>
      <c r="R103" s="3331"/>
      <c r="S103" s="3332"/>
      <c r="T103" s="3331"/>
      <c r="U103" s="3331"/>
      <c r="V103" s="3331"/>
      <c r="W103" s="3331"/>
      <c r="X103" s="3331"/>
      <c r="Y103" s="3331"/>
      <c r="Z103" s="2743"/>
      <c r="AA103" s="2709">
        <v>1</v>
      </c>
      <c r="AB103" s="2093"/>
      <c r="AC103" s="2083"/>
      <c r="AD103" s="2093">
        <f>AB103</f>
        <v>0</v>
      </c>
      <c r="AE103" s="2083"/>
      <c r="AF103" s="3324"/>
      <c r="AG103" s="3325"/>
      <c r="AH103" s="3325"/>
      <c r="AI103" s="3324"/>
      <c r="AJ103" s="3325"/>
      <c r="AK103" s="3325"/>
      <c r="AL103" s="3424"/>
      <c r="AM103" s="2738"/>
      <c r="AN103" s="2738"/>
      <c r="AO103" s="2738"/>
      <c r="AP103" s="2738"/>
      <c r="AQ103" s="2738"/>
      <c r="AR103" s="2738"/>
      <c r="AS103" s="2738"/>
      <c r="AT103" s="2738"/>
      <c r="AU103" s="2738"/>
      <c r="AV103" s="2738"/>
      <c r="AW103" s="2738"/>
      <c r="AX103" s="2738"/>
      <c r="AY103" s="2738"/>
      <c r="AZ103" s="2738"/>
      <c r="BA103" s="2738"/>
      <c r="BB103" s="2738"/>
      <c r="BC103" s="2738"/>
      <c r="BD103" s="2738"/>
      <c r="BE103" s="2738"/>
      <c r="BF103" s="2738"/>
    </row>
    <row s="40257" customFormat="1" customHeight="1" ht="11.25">
      <c r="A104" s="2080"/>
      <c r="B104" s="2080"/>
      <c r="C104" s="2080"/>
      <c r="D104" s="2074"/>
      <c r="E104" s="2084"/>
      <c r="F104" s="2744"/>
      <c r="G104" s="2745"/>
      <c r="H104" s="3333"/>
      <c r="I104" s="3334"/>
      <c r="J104" s="3303"/>
      <c r="K104" s="3335"/>
      <c r="L104" s="2933"/>
      <c r="M104" s="2934"/>
      <c r="N104" s="3398"/>
      <c r="O104" s="3421"/>
      <c r="P104" s="3330"/>
      <c r="Q104" s="3331"/>
      <c r="R104" s="3331"/>
      <c r="S104" s="3332"/>
      <c r="T104" s="3331"/>
      <c r="U104" s="3331"/>
      <c r="V104" s="3331"/>
      <c r="W104" s="3331"/>
      <c r="X104" s="3331"/>
      <c r="Y104" s="3331"/>
      <c r="Z104" s="2089"/>
      <c r="AA104" s="2090"/>
      <c r="AB104" s="2155" t="s">
        <v>942</v>
      </c>
      <c r="AC104" s="2094"/>
      <c r="AD104" s="2094"/>
      <c r="AE104" s="2096"/>
      <c r="AF104" s="3324"/>
      <c r="AG104" s="3325"/>
      <c r="AH104" s="3325"/>
      <c r="AI104" s="3324"/>
      <c r="AJ104" s="3325"/>
      <c r="AK104" s="3325"/>
      <c r="AL104" s="3424"/>
      <c r="AM104" s="2738"/>
      <c r="AN104" s="2738"/>
      <c r="AO104" s="2738"/>
      <c r="AP104" s="2738"/>
      <c r="AQ104" s="2738"/>
      <c r="AR104" s="2738"/>
      <c r="AS104" s="2738"/>
      <c r="AT104" s="2738"/>
      <c r="AU104" s="2738"/>
      <c r="AV104" s="2738"/>
      <c r="AW104" s="2738"/>
      <c r="AX104" s="2738"/>
      <c r="AY104" s="2738"/>
      <c r="AZ104" s="2738"/>
      <c r="BA104" s="2738"/>
      <c r="BB104" s="2738"/>
      <c r="BC104" s="2738"/>
      <c r="BD104" s="2738"/>
      <c r="BE104" s="2738"/>
      <c r="BF104" s="2738"/>
    </row>
    <row s="40257" customFormat="1" customHeight="1" ht="11.25">
      <c r="A105" s="2080"/>
      <c r="B105" s="2080"/>
      <c r="C105" s="2080"/>
      <c r="D105" s="2074"/>
      <c r="E105" s="2084"/>
      <c r="F105" s="2744"/>
      <c r="G105" s="2745"/>
      <c r="H105" s="3333"/>
      <c r="I105" s="3334"/>
      <c r="J105" s="3303"/>
      <c r="K105" s="3335"/>
      <c r="L105" s="2933"/>
      <c r="M105" s="2934"/>
      <c r="N105" s="2089"/>
      <c r="O105" s="2090"/>
      <c r="P105" s="2082" t="s">
        <v>943</v>
      </c>
      <c r="Q105" s="2090"/>
      <c r="R105" s="2090"/>
      <c r="S105" s="2090"/>
      <c r="T105" s="2090"/>
      <c r="U105" s="2090"/>
      <c r="V105" s="2090"/>
      <c r="W105" s="2090"/>
      <c r="X105" s="2090"/>
      <c r="Y105" s="2090"/>
      <c r="Z105" s="2090"/>
      <c r="AA105" s="2090"/>
      <c r="AB105" s="2090"/>
      <c r="AC105" s="2090"/>
      <c r="AD105" s="2090"/>
      <c r="AE105" s="2097"/>
      <c r="AF105" s="3324"/>
      <c r="AG105" s="3325"/>
      <c r="AH105" s="3325"/>
      <c r="AI105" s="3324"/>
      <c r="AJ105" s="3325"/>
      <c r="AK105" s="3325"/>
      <c r="AL105" s="3424"/>
      <c r="AM105" s="2738"/>
      <c r="AN105" s="2738"/>
      <c r="AO105" s="2738"/>
      <c r="AP105" s="2738"/>
      <c r="AQ105" s="2738"/>
      <c r="AR105" s="2738"/>
      <c r="AS105" s="2738"/>
      <c r="AT105" s="2738"/>
      <c r="AU105" s="2738"/>
      <c r="AV105" s="2738"/>
      <c r="AW105" s="2738"/>
      <c r="AX105" s="2738"/>
      <c r="AY105" s="2738"/>
      <c r="AZ105" s="2738"/>
      <c r="BA105" s="2738"/>
      <c r="BB105" s="2738"/>
      <c r="BC105" s="2738"/>
      <c r="BD105" s="2738"/>
      <c r="BE105" s="2738"/>
      <c r="BF105" s="2738"/>
    </row>
    <row r="107" s="41715" customFormat="1" customHeight="1" ht="11.25">
      <c r="A107" s="2730" t="s">
        <v>1880</v>
      </c>
    </row>
    <row customHeight="1" ht="17.25"/>
    <row s="41030" customFormat="1" customHeight="1" ht="21">
      <c r="A109" s="2081"/>
      <c r="B109" s="1852"/>
      <c r="D109" s="1836"/>
      <c r="E109" s="1851" t="s">
        <v>18</v>
      </c>
      <c r="F109" s="2035">
        <f>INDEX(IP_MAIN_LIST_NAME_IP,MATCH(A109,IP_MAIN_LIST_IP_ID,0))&amp;" ("&amp;INDEX(IP_MAIN_START_DATE,MATCH(A109,IP_MAIN_LIST_IP_ID,0))&amp;"-"&amp;INDEX(IP_MAIN_END_DATE,MATCH(A109,IP_MAIN_LIST_IP_ID,0))&amp;")"</f>
      </c>
      <c r="G109" s="2117"/>
      <c r="H109" s="2118"/>
      <c r="I109" s="2118"/>
      <c r="J109" s="2118"/>
      <c r="K109" s="2118"/>
      <c r="L109" s="2118"/>
      <c r="M109" s="2118"/>
      <c r="N109" s="2118"/>
      <c r="O109" s="2117"/>
      <c r="P109" s="2117"/>
      <c r="Q109" s="2117"/>
      <c r="R109" s="2117"/>
      <c r="S109" s="2117"/>
      <c r="T109" s="2117"/>
      <c r="U109" s="2119"/>
      <c r="V109" s="2119"/>
      <c r="W109" s="2119"/>
      <c r="X109" s="2119"/>
      <c r="Y109" s="2119"/>
      <c r="Z109" s="2119"/>
      <c r="AA109" s="2119"/>
      <c r="AB109" s="2117"/>
      <c r="AC109" s="2118"/>
      <c r="AD109" s="2118"/>
      <c r="AE109" s="2118"/>
      <c r="AF109" s="2118"/>
      <c r="AG109" s="2118"/>
      <c r="AH109" s="2118"/>
      <c r="AI109" s="2118"/>
      <c r="AJ109" s="2118"/>
      <c r="AK109" s="2118"/>
      <c r="AL109" s="2118"/>
      <c r="AM109" s="2118"/>
      <c r="AN109" s="2118"/>
      <c r="AO109" s="2118"/>
      <c r="AP109" s="2118"/>
      <c r="AQ109" s="2118"/>
      <c r="AR109" s="2118"/>
      <c r="AS109" s="2118"/>
      <c r="AT109" s="2118"/>
      <c r="AU109" s="2118"/>
      <c r="AV109" s="2118"/>
      <c r="AW109" s="2118"/>
      <c r="AX109" s="2118"/>
      <c r="AY109" s="2118"/>
      <c r="AZ109" s="2118"/>
      <c r="BA109" s="2118"/>
      <c r="BB109" s="2118"/>
      <c r="BC109" s="2118"/>
      <c r="BD109" s="2118"/>
      <c r="BE109" s="2118"/>
      <c r="BF109" s="2118"/>
      <c r="BG109" s="2118"/>
      <c r="BH109" s="2118"/>
      <c r="BI109" s="2118"/>
      <c r="BJ109" s="2118"/>
      <c r="BK109" s="2118"/>
      <c r="BL109" s="2118"/>
      <c r="BM109" s="2118"/>
      <c r="BN109" s="2118"/>
      <c r="BO109" s="2118"/>
      <c r="BP109" s="2118"/>
      <c r="BQ109" s="2118"/>
      <c r="BR109" s="2118"/>
      <c r="BS109" s="2118"/>
      <c r="BT109" s="2118"/>
      <c r="BU109" s="2118"/>
      <c r="BV109" s="2118"/>
      <c r="BW109" s="2118"/>
      <c r="BX109" s="2118"/>
      <c r="BY109" s="2118"/>
      <c r="BZ109" s="2118"/>
      <c r="CA109" s="2118"/>
      <c r="CB109" s="2118"/>
      <c r="CC109" s="2118"/>
      <c r="CD109" s="2118"/>
      <c r="CE109" s="2118"/>
      <c r="CF109" s="2118"/>
      <c r="CG109" s="2118"/>
      <c r="CH109" s="2118"/>
      <c r="CI109" s="2118"/>
      <c r="CJ109" s="2118"/>
      <c r="CK109" s="2118"/>
      <c r="CL109" s="2120"/>
      <c r="CM109" s="2120"/>
      <c r="CN109" s="2120"/>
      <c r="CO109" s="2120"/>
      <c r="CP109" s="2120"/>
      <c r="CQ109" s="2120"/>
      <c r="CR109" s="2120"/>
      <c r="CS109" s="2120"/>
      <c r="CT109" s="2120"/>
      <c r="CU109" s="2120"/>
      <c r="CV109" s="2120"/>
      <c r="CW109" s="2120"/>
      <c r="CX109" s="2120"/>
      <c r="CY109" s="2120"/>
      <c r="CZ109" s="2120"/>
      <c r="DA109" s="2120"/>
      <c r="DB109" s="2120"/>
      <c r="DC109" s="2120"/>
      <c r="DD109" s="2120"/>
      <c r="DE109" s="2120"/>
      <c r="DF109" s="2120"/>
      <c r="DG109" s="2120"/>
      <c r="DH109" s="2120"/>
      <c r="DI109" s="2120"/>
      <c r="DJ109" s="2120"/>
      <c r="DK109" s="2120"/>
      <c r="DL109" s="2120"/>
      <c r="DM109" s="2120"/>
      <c r="DN109" s="2120"/>
      <c r="DO109" s="2120"/>
      <c r="DP109" s="2120"/>
      <c r="DQ109" s="2120"/>
      <c r="DR109" s="2120"/>
      <c r="DS109" s="2120"/>
      <c r="DT109" s="2120"/>
      <c r="DU109" s="2120"/>
      <c r="DV109" s="2120"/>
      <c r="DW109" s="2120"/>
      <c r="DX109" s="2120"/>
      <c r="DY109" s="2120"/>
      <c r="DZ109" s="2120"/>
      <c r="EA109" s="2120"/>
      <c r="EB109" s="2120"/>
      <c r="EC109" s="2120"/>
      <c r="ED109" s="2120"/>
      <c r="EE109" s="2120"/>
      <c r="EF109" s="2120"/>
      <c r="EG109" s="2120"/>
      <c r="EH109" s="2120"/>
      <c r="EI109" s="2120"/>
      <c r="EJ109" s="2120"/>
      <c r="EK109" s="2120"/>
      <c r="EL109" s="2120"/>
      <c r="EM109" s="2120"/>
      <c r="EN109" s="2120"/>
      <c r="EO109" s="2120"/>
      <c r="EP109" s="2120"/>
      <c r="EQ109" s="2120"/>
      <c r="ER109" s="2120"/>
      <c r="ES109" s="2120"/>
      <c r="ET109" s="2120"/>
      <c r="EU109" s="2120"/>
      <c r="EV109" s="2120"/>
      <c r="EW109" s="2120"/>
      <c r="EX109" s="2120"/>
      <c r="EY109" s="2120"/>
      <c r="EZ109" s="2120"/>
      <c r="FA109" s="2120"/>
      <c r="FB109" s="2120"/>
      <c r="FC109" s="2120"/>
      <c r="FD109" s="2120"/>
      <c r="FE109" s="2120"/>
      <c r="FF109" s="2120"/>
      <c r="FG109" s="2120"/>
      <c r="FH109" s="2120"/>
      <c r="FI109" s="2120"/>
      <c r="FJ109" s="2120"/>
      <c r="FK109" s="2120"/>
      <c r="FL109" s="2120"/>
      <c r="FM109" s="2120"/>
      <c r="FN109" s="2120"/>
      <c r="FO109" s="2120"/>
      <c r="FP109" s="2120"/>
      <c r="FQ109" s="2120"/>
      <c r="FR109" s="2120"/>
      <c r="FS109" s="2120"/>
      <c r="FT109" s="2120"/>
      <c r="FU109" s="2120"/>
      <c r="FV109" s="2121"/>
      <c r="FW109" s="2115"/>
      <c r="FX109" s="2116"/>
    </row>
    <row s="41030" customFormat="1" customHeight="1" ht="24.75">
      <c r="B110" s="1835"/>
      <c r="C110" s="1836"/>
      <c r="D110" s="1836"/>
      <c r="E110" s="2750"/>
      <c r="F110" s="2122">
        <v>1</v>
      </c>
      <c r="G110" s="2123"/>
      <c r="H110" s="2124"/>
      <c r="I110" s="2899"/>
      <c r="J110" s="2125"/>
      <c r="K110" s="2125"/>
      <c r="L110" s="2125"/>
      <c r="M110" s="2125"/>
      <c r="N110" s="2125"/>
      <c r="O110" s="2126"/>
      <c r="P110" s="2126"/>
      <c r="Q110" s="2126"/>
      <c r="R110" s="2126"/>
      <c r="S110" s="2126"/>
      <c r="T110" s="2126"/>
      <c r="U110" s="2126"/>
      <c r="V110" s="2126"/>
      <c r="W110" s="2126"/>
      <c r="X110" s="2126"/>
      <c r="Y110" s="2126"/>
      <c r="Z110" s="2126"/>
      <c r="AA110" s="2126"/>
      <c r="AB110" s="2126"/>
      <c r="AC110" s="2125"/>
      <c r="AD110" s="2125"/>
      <c r="AE110" s="2125"/>
      <c r="AF110" s="2125"/>
      <c r="AG110" s="2125"/>
      <c r="AH110" s="2125"/>
      <c r="AI110" s="2125"/>
      <c r="AJ110" s="2125"/>
      <c r="AK110" s="2125"/>
      <c r="AL110" s="2125"/>
      <c r="AM110" s="2125"/>
      <c r="AN110" s="2125"/>
      <c r="AO110" s="2125"/>
      <c r="AP110" s="2125"/>
      <c r="AQ110" s="2125"/>
      <c r="AR110" s="2125"/>
      <c r="AS110" s="2125"/>
      <c r="AT110" s="2125"/>
      <c r="AU110" s="2125"/>
      <c r="AV110" s="2125"/>
      <c r="AW110" s="2125"/>
      <c r="AX110" s="2125"/>
      <c r="AY110" s="2125"/>
      <c r="AZ110" s="2125"/>
      <c r="BA110" s="2125"/>
      <c r="BB110" s="2125"/>
      <c r="BC110" s="2125"/>
      <c r="BD110" s="2125"/>
      <c r="BE110" s="2125"/>
      <c r="BF110" s="2125"/>
      <c r="BG110" s="2125"/>
      <c r="BH110" s="2125"/>
      <c r="BI110" s="2125"/>
      <c r="BJ110" s="2125"/>
      <c r="BK110" s="2125"/>
      <c r="BL110" s="2125"/>
      <c r="BM110" s="2125"/>
      <c r="BN110" s="2125"/>
      <c r="BO110" s="2125"/>
      <c r="BP110" s="2125"/>
      <c r="BQ110" s="2125"/>
      <c r="BR110" s="2125"/>
      <c r="BS110" s="2125"/>
      <c r="BT110" s="2126"/>
      <c r="BU110" s="2126"/>
      <c r="BV110" s="2126"/>
      <c r="BW110" s="2126"/>
      <c r="BX110" s="2126"/>
      <c r="BY110" s="2126"/>
      <c r="BZ110" s="2126"/>
      <c r="CA110" s="2126"/>
      <c r="CB110" s="2126"/>
      <c r="CC110" s="2126"/>
      <c r="CD110" s="2126"/>
      <c r="CE110" s="2126"/>
      <c r="CF110" s="2126"/>
      <c r="CG110" s="2126"/>
      <c r="CH110" s="2126"/>
      <c r="CI110" s="2126"/>
      <c r="CJ110" s="2126"/>
      <c r="CK110" s="2126"/>
      <c r="CL110" s="2125"/>
      <c r="CM110" s="2125"/>
      <c r="CN110" s="2125"/>
      <c r="CO110" s="2125"/>
      <c r="CP110" s="2125"/>
      <c r="CQ110" s="2125"/>
      <c r="CR110" s="2125"/>
      <c r="CS110" s="2125"/>
      <c r="CT110" s="2125"/>
      <c r="CU110" s="2125"/>
      <c r="CV110" s="2125"/>
      <c r="CW110" s="2125"/>
      <c r="CX110" s="2125"/>
      <c r="CY110" s="2126"/>
      <c r="CZ110" s="2126"/>
      <c r="DA110" s="2126"/>
      <c r="DB110" s="2126"/>
      <c r="DC110" s="2126"/>
      <c r="DD110" s="2126"/>
      <c r="DE110" s="2126"/>
      <c r="DF110" s="2126"/>
      <c r="DG110" s="2126"/>
      <c r="DH110" s="2126"/>
      <c r="DI110" s="2126"/>
      <c r="DJ110" s="2126"/>
      <c r="DK110" s="2125"/>
      <c r="DL110" s="2125"/>
      <c r="DM110" s="2125"/>
      <c r="DN110" s="2125"/>
      <c r="DO110" s="2125"/>
      <c r="DP110" s="2125"/>
      <c r="DQ110" s="2125"/>
      <c r="DR110" s="2125"/>
      <c r="DS110" s="2125"/>
      <c r="DT110" s="2125"/>
      <c r="DU110" s="2125"/>
      <c r="DV110" s="2125"/>
      <c r="DW110" s="2125"/>
      <c r="DX110" s="2125"/>
      <c r="DY110" s="2125"/>
      <c r="DZ110" s="2125"/>
      <c r="EA110" s="2125"/>
      <c r="EB110" s="2125"/>
      <c r="EC110" s="2125"/>
      <c r="ED110" s="2125"/>
      <c r="EE110" s="2125"/>
      <c r="EF110" s="2125"/>
      <c r="EG110" s="2125"/>
      <c r="EH110" s="2125"/>
      <c r="EI110" s="2125"/>
      <c r="EJ110" s="2125"/>
      <c r="EK110" s="2125"/>
      <c r="EL110" s="2125"/>
      <c r="EM110" s="2125"/>
      <c r="EN110" s="2125"/>
      <c r="EO110" s="2125"/>
      <c r="EP110" s="2125"/>
      <c r="EQ110" s="2125"/>
      <c r="ER110" s="2125"/>
      <c r="ES110" s="2125"/>
      <c r="ET110" s="2125"/>
      <c r="EU110" s="2125"/>
      <c r="EV110" s="2125"/>
      <c r="EW110" s="2125"/>
      <c r="EX110" s="2125"/>
      <c r="EY110" s="2125"/>
      <c r="EZ110" s="2125"/>
      <c r="FA110" s="2125"/>
      <c r="FB110" s="2125"/>
      <c r="FC110" s="2125"/>
      <c r="FD110" s="2125"/>
      <c r="FE110" s="2125"/>
      <c r="FF110" s="2125"/>
      <c r="FG110" s="2125"/>
      <c r="FH110" s="2125"/>
      <c r="FI110" s="2125"/>
      <c r="FJ110" s="2125"/>
      <c r="FK110" s="2125"/>
      <c r="FL110" s="2125"/>
      <c r="FM110" s="2125"/>
      <c r="FN110" s="2125"/>
      <c r="FO110" s="2125"/>
      <c r="FP110" s="2125"/>
      <c r="FQ110" s="2125"/>
      <c r="FR110" s="2125"/>
      <c r="FS110" s="2125"/>
      <c r="FT110" s="2125"/>
      <c r="FU110" s="2125"/>
      <c r="FV110" s="2125"/>
      <c r="FW110" s="2125"/>
      <c r="FX110" s="2116"/>
    </row>
    <row s="41030" customFormat="1" customHeight="1" ht="12">
      <c r="A111" s="1836"/>
      <c r="B111" s="1835"/>
      <c r="C111" s="1836"/>
      <c r="D111" s="1836"/>
      <c r="E111" s="1836"/>
      <c r="F111" s="2127"/>
      <c r="G111" s="2715" t="s">
        <v>1089</v>
      </c>
      <c r="H111" s="2128"/>
      <c r="I111" s="2128"/>
      <c r="J111" s="2128"/>
      <c r="K111" s="2128"/>
      <c r="L111" s="2128"/>
      <c r="M111" s="2128"/>
      <c r="N111" s="2128"/>
      <c r="O111" s="2128"/>
      <c r="P111" s="2128"/>
      <c r="Q111" s="2128"/>
      <c r="R111" s="2128"/>
      <c r="S111" s="2128"/>
      <c r="T111" s="2128"/>
      <c r="U111" s="2128"/>
      <c r="V111" s="2128"/>
      <c r="W111" s="2128"/>
      <c r="X111" s="2128"/>
      <c r="Y111" s="2128"/>
      <c r="Z111" s="2128"/>
      <c r="AA111" s="2128"/>
      <c r="AB111" s="2128"/>
      <c r="AC111" s="2128"/>
      <c r="AD111" s="2128"/>
      <c r="AE111" s="2128"/>
      <c r="AF111" s="2128"/>
      <c r="AG111" s="2128"/>
      <c r="AH111" s="2128"/>
      <c r="AI111" s="2128"/>
      <c r="AJ111" s="2128"/>
      <c r="AK111" s="2128"/>
      <c r="AL111" s="2128"/>
      <c r="AM111" s="2128"/>
      <c r="AN111" s="2128"/>
      <c r="AO111" s="2128"/>
      <c r="AP111" s="2128"/>
      <c r="AQ111" s="2128"/>
      <c r="AR111" s="2128"/>
      <c r="AS111" s="2128"/>
      <c r="AT111" s="2128"/>
      <c r="AU111" s="2128"/>
      <c r="AV111" s="2128"/>
      <c r="AW111" s="2128"/>
      <c r="AX111" s="2128"/>
      <c r="AY111" s="2128"/>
      <c r="AZ111" s="2128"/>
      <c r="BA111" s="2128"/>
      <c r="BB111" s="2128"/>
      <c r="BC111" s="2128"/>
      <c r="BD111" s="2128"/>
      <c r="BE111" s="2128"/>
      <c r="BF111" s="2128"/>
      <c r="BG111" s="2128"/>
      <c r="BH111" s="2128"/>
      <c r="BI111" s="2128"/>
      <c r="BJ111" s="2128"/>
      <c r="BK111" s="2128"/>
      <c r="BL111" s="2128"/>
      <c r="BM111" s="2128"/>
      <c r="BN111" s="2128"/>
      <c r="BO111" s="2128"/>
      <c r="BP111" s="2128"/>
      <c r="BQ111" s="2128"/>
      <c r="BR111" s="2128"/>
      <c r="BS111" s="2128"/>
      <c r="BT111" s="2128"/>
      <c r="BU111" s="2128"/>
      <c r="BV111" s="2128"/>
      <c r="BW111" s="2128"/>
      <c r="BX111" s="2128"/>
      <c r="BY111" s="2128"/>
      <c r="BZ111" s="2128"/>
      <c r="CA111" s="2128"/>
      <c r="CB111" s="2128"/>
      <c r="CC111" s="2128"/>
      <c r="CD111" s="2128"/>
      <c r="CE111" s="2128"/>
      <c r="CF111" s="2128"/>
      <c r="CG111" s="2128"/>
      <c r="CH111" s="2128"/>
      <c r="CI111" s="2128"/>
      <c r="CJ111" s="2128"/>
      <c r="CK111" s="2128"/>
      <c r="CL111" s="2128"/>
      <c r="CM111" s="2128"/>
      <c r="CN111" s="2128"/>
      <c r="CO111" s="2128"/>
      <c r="CP111" s="2128"/>
      <c r="CQ111" s="2128"/>
      <c r="CR111" s="2128"/>
      <c r="CS111" s="2128"/>
      <c r="CT111" s="2128"/>
      <c r="CU111" s="2128"/>
      <c r="CV111" s="2128"/>
      <c r="CW111" s="2128"/>
      <c r="CX111" s="2128"/>
      <c r="CY111" s="2128"/>
      <c r="CZ111" s="2128"/>
      <c r="DA111" s="2128"/>
      <c r="DB111" s="2128"/>
      <c r="DC111" s="2128"/>
      <c r="DD111" s="2128"/>
      <c r="DE111" s="2128"/>
      <c r="DF111" s="2128"/>
      <c r="DG111" s="2128"/>
      <c r="DH111" s="2128"/>
      <c r="DI111" s="2128"/>
      <c r="DJ111" s="2128"/>
      <c r="DK111" s="2128"/>
      <c r="DL111" s="2128"/>
      <c r="DM111" s="2128"/>
      <c r="DN111" s="2128"/>
      <c r="DO111" s="2128"/>
      <c r="DP111" s="2128"/>
      <c r="DQ111" s="2128"/>
      <c r="DR111" s="2128"/>
      <c r="DS111" s="2128"/>
      <c r="DT111" s="2128"/>
      <c r="DU111" s="2128"/>
      <c r="DV111" s="2128"/>
      <c r="DW111" s="2128"/>
      <c r="DX111" s="2128"/>
      <c r="DY111" s="2128"/>
      <c r="DZ111" s="2128"/>
      <c r="EA111" s="2128"/>
      <c r="EB111" s="2128"/>
      <c r="EC111" s="2128"/>
      <c r="ED111" s="2128"/>
      <c r="EE111" s="2128"/>
      <c r="EF111" s="2128"/>
      <c r="EG111" s="2128"/>
      <c r="EH111" s="2128"/>
      <c r="EI111" s="2128"/>
      <c r="EJ111" s="2128"/>
      <c r="EK111" s="2128"/>
      <c r="EL111" s="2128"/>
      <c r="EM111" s="2128"/>
      <c r="EN111" s="2128"/>
      <c r="EO111" s="2128"/>
      <c r="EP111" s="2128"/>
      <c r="EQ111" s="2128"/>
      <c r="ER111" s="2128"/>
      <c r="ES111" s="2128"/>
      <c r="ET111" s="2128"/>
      <c r="EU111" s="2128"/>
      <c r="EV111" s="2128"/>
      <c r="EW111" s="2128"/>
      <c r="EX111" s="2128"/>
      <c r="EY111" s="2128"/>
      <c r="EZ111" s="2128"/>
      <c r="FA111" s="2128"/>
      <c r="FB111" s="2128"/>
      <c r="FC111" s="2128"/>
      <c r="FD111" s="2128"/>
      <c r="FE111" s="2128"/>
      <c r="FF111" s="2128"/>
      <c r="FG111" s="2128"/>
      <c r="FH111" s="2128"/>
      <c r="FI111" s="2128"/>
      <c r="FJ111" s="2128"/>
      <c r="FK111" s="2128"/>
      <c r="FL111" s="2128"/>
      <c r="FM111" s="2128"/>
      <c r="FN111" s="2128"/>
      <c r="FO111" s="2128"/>
      <c r="FP111" s="2128"/>
      <c r="FQ111" s="2128"/>
      <c r="FR111" s="2128"/>
      <c r="FS111" s="2128"/>
      <c r="FT111" s="2128"/>
      <c r="FU111" s="2128"/>
      <c r="FV111" s="2128"/>
      <c r="FW111" s="2129"/>
      <c r="FX111" s="2130"/>
      <c r="FY111" s="1853"/>
      <c r="FZ111" s="1853"/>
      <c r="GA111" s="1853"/>
      <c r="GB111" s="1853"/>
    </row>
    <row r="113" s="41715" customFormat="1" customHeight="1" ht="11.25">
      <c r="A113" s="2730" t="s">
        <v>1881</v>
      </c>
    </row>
    <row r="115" s="39511" customFormat="1" customHeight="1" ht="15">
      <c r="A115" s="1535"/>
      <c r="B115" s="1536"/>
      <c r="C115" s="1536"/>
      <c r="D115" s="3388" t="s">
        <v>102</v>
      </c>
      <c r="E115" s="3194" t="s">
        <v>98</v>
      </c>
      <c r="F115" s="3195"/>
      <c r="G115" s="3196"/>
      <c r="H115" s="3200" t="str">
        <f>IF(A115="","",INDEX(DIFFERENTIATION_UNMERGE_VD,MATCH(A115,DIFFERENTIATION_ID_DIFF,0)))</f>
        <v/>
      </c>
      <c r="I115" s="3200"/>
      <c r="J115" s="3200"/>
      <c r="K115" s="3200"/>
      <c r="L115" s="3200"/>
      <c r="M115" s="3200"/>
      <c r="N115" s="3200"/>
      <c r="O115" s="3200"/>
      <c r="P115" s="3200"/>
      <c r="Q115" s="3200"/>
      <c r="R115" s="3200"/>
      <c r="S115" s="1631"/>
      <c r="T115" s="1628"/>
      <c r="U115" s="1537"/>
      <c r="V115" s="1537"/>
      <c r="W115" s="1538"/>
      <c r="X115" s="1538"/>
      <c r="Y115" s="1538"/>
      <c r="Z115" s="1538"/>
      <c r="AA115" s="1539"/>
      <c r="AB115" s="1540"/>
      <c r="AC115" s="3192"/>
      <c r="AD115" s="1541"/>
      <c r="AE115" s="1542" t="s">
        <v>18</v>
      </c>
      <c r="AF115" s="1542"/>
      <c r="AG115" s="1543" t="s">
        <v>601</v>
      </c>
      <c r="AH115" s="1544">
        <v>3</v>
      </c>
      <c r="AI115" s="1537"/>
      <c r="AJ115" s="1537"/>
      <c r="AK115" s="1537"/>
      <c r="AL115" s="1537"/>
      <c r="AM115" s="1537"/>
      <c r="AN115" s="1537"/>
      <c r="AO115" s="1537"/>
      <c r="AP115" s="1537"/>
      <c r="AQ115" s="1537"/>
      <c r="AR115" s="1537"/>
      <c r="AS115" s="1537"/>
      <c r="AT115" s="1537"/>
      <c r="AU115" s="1537"/>
      <c r="AV115" s="1537"/>
      <c r="AW115" s="1537"/>
      <c r="AX115" s="1537"/>
      <c r="AY115" s="1537"/>
      <c r="AZ115" s="1537"/>
      <c r="BA115" s="1537"/>
      <c r="BB115" s="1537"/>
      <c r="BC115" s="1537"/>
      <c r="BD115" s="1537"/>
      <c r="BE115" s="1537"/>
      <c r="BF115" s="1537"/>
      <c r="BG115" s="1537"/>
      <c r="BH115" s="1537"/>
      <c r="BI115" s="1537"/>
      <c r="BJ115" s="1537"/>
      <c r="BK115" s="1537"/>
      <c r="BL115" s="1537"/>
      <c r="BM115" s="1537"/>
      <c r="BN115" s="1537"/>
      <c r="BO115" s="1537"/>
      <c r="BP115" s="1537"/>
      <c r="BQ115" s="1537"/>
      <c r="BR115" s="1537"/>
      <c r="BS115" s="1537"/>
      <c r="BT115" s="1537"/>
      <c r="BU115" s="1537"/>
      <c r="BV115" s="1538"/>
      <c r="BW115" s="1538"/>
      <c r="BX115" s="1538"/>
      <c r="BY115" s="1538"/>
      <c r="BZ115" s="1538"/>
      <c r="CA115" s="1538"/>
      <c r="CB115" s="1538"/>
      <c r="CC115" s="1538"/>
      <c r="CD115" s="1538"/>
      <c r="CE115" s="1538"/>
    </row>
    <row s="39511" customFormat="1" customHeight="1" ht="15">
      <c r="A116" s="1535"/>
      <c r="B116" s="1536"/>
      <c r="C116" s="1536"/>
      <c r="D116" s="3389"/>
      <c r="E116" s="3194" t="s">
        <v>556</v>
      </c>
      <c r="F116" s="3195"/>
      <c r="G116" s="3196"/>
      <c r="H116" s="3200" t="str">
        <f>IF(A115="","",INDEX(DIFFERENTIATION_UNMERGE_AREA,MATCH(A115,DIFFERENTIATION_ID_DIFF,0)))</f>
        <v/>
      </c>
      <c r="I116" s="3200"/>
      <c r="J116" s="3200"/>
      <c r="K116" s="3200"/>
      <c r="L116" s="3200"/>
      <c r="M116" s="3200"/>
      <c r="N116" s="3200"/>
      <c r="O116" s="3200"/>
      <c r="P116" s="3200"/>
      <c r="Q116" s="3200"/>
      <c r="R116" s="3200"/>
      <c r="S116" s="1631"/>
      <c r="T116" s="1628"/>
      <c r="U116" s="1537"/>
      <c r="V116" s="1537"/>
      <c r="W116" s="1538"/>
      <c r="X116" s="1538"/>
      <c r="Y116" s="1538"/>
      <c r="Z116" s="1538"/>
      <c r="AA116" s="1539"/>
      <c r="AB116" s="1540"/>
      <c r="AC116" s="3192"/>
      <c r="AD116" s="1541"/>
      <c r="AE116" s="1542"/>
      <c r="AF116" s="1542"/>
      <c r="AG116" s="1543"/>
      <c r="AH116" s="1544"/>
      <c r="AI116" s="1537"/>
      <c r="AJ116" s="1537"/>
      <c r="AK116" s="1537"/>
      <c r="AL116" s="1537"/>
      <c r="AM116" s="1537"/>
      <c r="AN116" s="1537"/>
      <c r="AO116" s="1537"/>
      <c r="AP116" s="1537"/>
      <c r="AQ116" s="1537"/>
      <c r="AR116" s="1537"/>
      <c r="AS116" s="1537"/>
      <c r="AT116" s="1537"/>
      <c r="AU116" s="1537"/>
      <c r="AV116" s="1537"/>
      <c r="AW116" s="1537"/>
      <c r="AX116" s="1537"/>
      <c r="AY116" s="1537"/>
      <c r="AZ116" s="1537"/>
      <c r="BA116" s="1537"/>
      <c r="BB116" s="1537"/>
      <c r="BC116" s="1537"/>
      <c r="BD116" s="1537"/>
      <c r="BE116" s="1537"/>
      <c r="BF116" s="1537"/>
      <c r="BG116" s="1537"/>
      <c r="BH116" s="1537"/>
      <c r="BI116" s="1537"/>
      <c r="BJ116" s="1537"/>
      <c r="BK116" s="1537"/>
      <c r="BL116" s="1537"/>
      <c r="BM116" s="1537"/>
      <c r="BN116" s="1537"/>
      <c r="BO116" s="1537"/>
      <c r="BP116" s="1537"/>
      <c r="BQ116" s="1537"/>
      <c r="BR116" s="1537"/>
      <c r="BS116" s="1537"/>
      <c r="BT116" s="1537"/>
      <c r="BU116" s="1537"/>
      <c r="BV116" s="1538"/>
      <c r="BW116" s="1538"/>
      <c r="BX116" s="1538"/>
      <c r="BY116" s="1538"/>
      <c r="BZ116" s="1538"/>
      <c r="CA116" s="1538"/>
      <c r="CB116" s="1538"/>
      <c r="CC116" s="1538"/>
      <c r="CD116" s="1538"/>
      <c r="CE116" s="1538"/>
    </row>
    <row s="39511" customFormat="1" customHeight="1" ht="15">
      <c r="A117" s="1535"/>
      <c r="B117" s="1536"/>
      <c r="C117" s="1536"/>
      <c r="D117" s="3389"/>
      <c r="E117" s="3194" t="s">
        <v>557</v>
      </c>
      <c r="F117" s="3195"/>
      <c r="G117" s="3196"/>
      <c r="H117" s="3200" t="str">
        <f>IF(A115="","",INDEX(DIFFERENTIATION_UNMERGE_SYSTEM,MATCH(A115,DIFFERENTIATION_ID_DIFF,0)))</f>
        <v/>
      </c>
      <c r="I117" s="3200"/>
      <c r="J117" s="3200"/>
      <c r="K117" s="3200"/>
      <c r="L117" s="3200"/>
      <c r="M117" s="3200"/>
      <c r="N117" s="3200"/>
      <c r="O117" s="3200"/>
      <c r="P117" s="3200"/>
      <c r="Q117" s="3200"/>
      <c r="R117" s="3200"/>
      <c r="S117" s="1631"/>
      <c r="T117" s="1628"/>
      <c r="U117" s="1537"/>
      <c r="V117" s="1537"/>
      <c r="W117" s="1538"/>
      <c r="X117" s="1538"/>
      <c r="Y117" s="1538"/>
      <c r="Z117" s="1538"/>
      <c r="AA117" s="1539"/>
      <c r="AB117" s="1540"/>
      <c r="AC117" s="3192"/>
      <c r="AD117" s="1541"/>
      <c r="AE117" s="1542"/>
      <c r="AF117" s="1542"/>
      <c r="AG117" s="1543"/>
      <c r="AH117" s="1544"/>
      <c r="AI117" s="1537"/>
      <c r="AJ117" s="1537"/>
      <c r="AK117" s="1537"/>
      <c r="AL117" s="1537"/>
      <c r="AM117" s="1537"/>
      <c r="AN117" s="1537"/>
      <c r="AO117" s="1537"/>
      <c r="AP117" s="1537"/>
      <c r="AQ117" s="1537"/>
      <c r="AR117" s="1537"/>
      <c r="AS117" s="1537"/>
      <c r="AT117" s="1537"/>
      <c r="AU117" s="1537"/>
      <c r="AV117" s="1537"/>
      <c r="AW117" s="1537"/>
      <c r="AX117" s="1537"/>
      <c r="AY117" s="1537"/>
      <c r="AZ117" s="1537"/>
      <c r="BA117" s="1537"/>
      <c r="BB117" s="1537"/>
      <c r="BC117" s="1537"/>
      <c r="BD117" s="1537"/>
      <c r="BE117" s="1537"/>
      <c r="BF117" s="1537"/>
      <c r="BG117" s="1537"/>
      <c r="BH117" s="1537"/>
      <c r="BI117" s="1537"/>
      <c r="BJ117" s="1537"/>
      <c r="BK117" s="1537"/>
      <c r="BL117" s="1537"/>
      <c r="BM117" s="1537"/>
      <c r="BN117" s="1537"/>
      <c r="BO117" s="1537"/>
      <c r="BP117" s="1537"/>
      <c r="BQ117" s="1537"/>
      <c r="BR117" s="1537"/>
      <c r="BS117" s="1537"/>
      <c r="BT117" s="1537"/>
      <c r="BU117" s="1537"/>
      <c r="BV117" s="1538"/>
      <c r="BW117" s="1538"/>
      <c r="BX117" s="1538"/>
      <c r="BY117" s="1538"/>
      <c r="BZ117" s="1538"/>
      <c r="CA117" s="1538"/>
      <c r="CB117" s="1538"/>
      <c r="CC117" s="1538"/>
      <c r="CD117" s="1538"/>
      <c r="CE117" s="1538"/>
    </row>
    <row s="39511" customFormat="1" customHeight="1" ht="24.75">
      <c r="A118" s="2721"/>
      <c r="B118" s="2074"/>
      <c r="C118" s="1324"/>
      <c r="D118" s="3389"/>
      <c r="E118" s="3193" t="s">
        <v>602</v>
      </c>
      <c r="F118" s="3193"/>
      <c r="G118" s="3193"/>
      <c r="H118" s="3193"/>
      <c r="I118" s="3193"/>
      <c r="J118" s="3193"/>
      <c r="K118" s="3193"/>
      <c r="L118" s="3193"/>
      <c r="M118" s="3193"/>
      <c r="N118" s="3193"/>
      <c r="O118" s="3193"/>
      <c r="P118" s="3193"/>
      <c r="Q118" s="1470">
        <f>SUMIF(T119:T120,"i",Q119:Q120)</f>
        <v>0</v>
      </c>
      <c r="R118" s="1930"/>
      <c r="S118" s="2713" t="s">
        <v>603</v>
      </c>
      <c r="T118" s="1629" t="s">
        <v>604</v>
      </c>
      <c r="U118" s="3191">
        <v>1</v>
      </c>
      <c r="V118" s="3191" t="s">
        <v>567</v>
      </c>
      <c r="W118" s="2074"/>
      <c r="X118" s="2074"/>
      <c r="Y118" s="2074"/>
      <c r="Z118" s="2074"/>
      <c r="AA118" s="2551"/>
      <c r="AB118" s="2074"/>
      <c r="AC118" s="3192"/>
      <c r="AD118" s="1541"/>
      <c r="AE118" s="2074"/>
      <c r="AF118" s="2074"/>
      <c r="AG118" s="2551"/>
      <c r="AH118" s="2551"/>
      <c r="AI118" s="2551"/>
      <c r="AJ118" s="2551"/>
      <c r="AK118" s="2551"/>
      <c r="AL118" s="2551"/>
      <c r="AM118" s="2551"/>
      <c r="AN118" s="2551"/>
      <c r="AO118" s="2551"/>
      <c r="AP118" s="2551"/>
      <c r="AQ118" s="2551"/>
      <c r="AR118" s="2551"/>
      <c r="AS118" s="2551"/>
      <c r="AT118" s="2551"/>
      <c r="AU118" s="2551"/>
      <c r="AV118" s="2551"/>
      <c r="AW118" s="2551"/>
      <c r="AX118" s="2551"/>
      <c r="AY118" s="2551"/>
      <c r="AZ118" s="2551"/>
      <c r="BA118" s="2551"/>
      <c r="BB118" s="2551"/>
      <c r="BC118" s="2551"/>
      <c r="BD118" s="2551"/>
      <c r="BE118" s="2551"/>
      <c r="BF118" s="2551"/>
      <c r="BG118" s="2551"/>
      <c r="BH118" s="2551"/>
      <c r="BI118" s="2551"/>
      <c r="BJ118" s="2551"/>
      <c r="BK118" s="2551"/>
      <c r="BL118" s="2551"/>
      <c r="BM118" s="2551"/>
      <c r="BN118" s="2551"/>
      <c r="BO118" s="2551"/>
      <c r="BP118" s="2551"/>
      <c r="BQ118" s="2551"/>
      <c r="BR118" s="2551"/>
      <c r="BS118" s="2551"/>
      <c r="BT118" s="2551"/>
      <c r="BU118" s="2551"/>
      <c r="BV118" s="2074"/>
      <c r="BW118" s="2074"/>
      <c r="BX118" s="2074"/>
      <c r="BY118" s="2074"/>
      <c r="BZ118" s="2074"/>
      <c r="CA118" s="2074"/>
      <c r="CB118" s="2074"/>
      <c r="CC118" s="2074"/>
      <c r="CD118" s="2074"/>
      <c r="CE118" s="2074"/>
    </row>
    <row s="39511" customFormat="1" customHeight="1" ht="11.25" hidden="1">
      <c r="A119" s="2708"/>
      <c r="B119" s="2551"/>
      <c r="C119" s="2551"/>
      <c r="D119" s="3389"/>
      <c r="E119" s="1547"/>
      <c r="F119" s="1547">
        <v>0</v>
      </c>
      <c r="G119" s="1547"/>
      <c r="H119" s="1547"/>
      <c r="I119" s="1547"/>
      <c r="J119" s="1547"/>
      <c r="K119" s="1547"/>
      <c r="L119" s="1547"/>
      <c r="M119" s="1547"/>
      <c r="N119" s="1547"/>
      <c r="O119" s="1547"/>
      <c r="P119" s="1547"/>
      <c r="Q119" s="1547"/>
      <c r="R119" s="1547"/>
      <c r="S119" s="1548"/>
      <c r="T119" s="1630"/>
      <c r="U119" s="3191"/>
      <c r="V119" s="3191"/>
      <c r="W119" s="2551"/>
      <c r="X119" s="2551"/>
      <c r="Y119" s="2551"/>
      <c r="Z119" s="2551"/>
      <c r="AA119" s="2551"/>
      <c r="AB119" s="2074"/>
      <c r="AC119" s="3192"/>
      <c r="AD119" s="1541"/>
      <c r="AE119" s="2074"/>
      <c r="AF119" s="2074"/>
      <c r="AG119" s="2551"/>
      <c r="AH119" s="2551"/>
      <c r="AI119" s="2551"/>
      <c r="AJ119" s="2551"/>
      <c r="AK119" s="2551"/>
      <c r="AL119" s="2551"/>
      <c r="AM119" s="2551"/>
      <c r="AN119" s="2551"/>
      <c r="AO119" s="2551"/>
      <c r="AP119" s="2551"/>
      <c r="AQ119" s="2551"/>
      <c r="AR119" s="2551"/>
      <c r="AS119" s="2551"/>
      <c r="AT119" s="2551"/>
      <c r="AU119" s="2551"/>
      <c r="AV119" s="2551"/>
      <c r="AW119" s="2551"/>
      <c r="AX119" s="2551"/>
      <c r="AY119" s="2551"/>
      <c r="AZ119" s="2551"/>
      <c r="BA119" s="2551"/>
      <c r="BB119" s="2551"/>
      <c r="BC119" s="2551"/>
      <c r="BD119" s="2551"/>
      <c r="BE119" s="2551"/>
      <c r="BF119" s="2551"/>
      <c r="BG119" s="2551"/>
      <c r="BH119" s="2551"/>
      <c r="BI119" s="2551"/>
      <c r="BJ119" s="2551"/>
      <c r="BK119" s="2551"/>
      <c r="BL119" s="2551"/>
      <c r="BM119" s="2551"/>
      <c r="BN119" s="2551"/>
      <c r="BO119" s="2551"/>
      <c r="BP119" s="2551"/>
      <c r="BQ119" s="2551"/>
      <c r="BR119" s="2551"/>
      <c r="BS119" s="2551"/>
      <c r="BT119" s="2551"/>
      <c r="BU119" s="2551"/>
      <c r="BV119" s="2551"/>
      <c r="BW119" s="2551"/>
      <c r="BX119" s="2551"/>
      <c r="BY119" s="2551"/>
      <c r="BZ119" s="2551"/>
      <c r="CA119" s="2551"/>
      <c r="CB119" s="2551"/>
      <c r="CC119" s="2551"/>
      <c r="CD119" s="2551"/>
      <c r="CE119" s="2551"/>
    </row>
    <row s="39511" customFormat="1" customHeight="1" ht="11.25">
      <c r="A120" s="2721"/>
      <c r="B120" s="2074"/>
      <c r="C120" s="1324"/>
      <c r="D120" s="3389"/>
      <c r="E120" s="1561" t="s">
        <v>18</v>
      </c>
      <c r="F120" s="2082" t="s">
        <v>18</v>
      </c>
      <c r="G120" s="2082" t="s">
        <v>1882</v>
      </c>
      <c r="H120" s="1563" t="s">
        <v>18</v>
      </c>
      <c r="I120" s="1563"/>
      <c r="J120" s="1563"/>
      <c r="K120" s="1563"/>
      <c r="L120" s="1563"/>
      <c r="M120" s="1563"/>
      <c r="N120" s="1563"/>
      <c r="O120" s="1563"/>
      <c r="P120" s="1563"/>
      <c r="Q120" s="1563"/>
      <c r="R120" s="1564"/>
      <c r="S120" s="1565"/>
      <c r="T120" s="1630"/>
      <c r="U120" s="3191"/>
      <c r="V120" s="3191"/>
      <c r="W120" s="2074"/>
      <c r="X120" s="2074"/>
      <c r="Y120" s="2074"/>
      <c r="Z120" s="2074"/>
      <c r="AA120" s="2551"/>
      <c r="AB120" s="2074"/>
      <c r="AC120" s="3192"/>
      <c r="AD120" s="1541"/>
      <c r="AE120" s="2074"/>
      <c r="AF120" s="2074"/>
      <c r="AG120" s="2551"/>
      <c r="AH120" s="2551"/>
      <c r="AI120" s="2551"/>
      <c r="AJ120" s="2551"/>
      <c r="AK120" s="2551"/>
      <c r="AL120" s="2551"/>
      <c r="AM120" s="2551"/>
      <c r="AN120" s="2551"/>
      <c r="AO120" s="2551"/>
      <c r="AP120" s="2551"/>
      <c r="AQ120" s="2551"/>
      <c r="AR120" s="2551"/>
      <c r="AS120" s="2551"/>
      <c r="AT120" s="2551"/>
      <c r="AU120" s="2551"/>
      <c r="AV120" s="2551"/>
      <c r="AW120" s="2551"/>
      <c r="AX120" s="2551"/>
      <c r="AY120" s="2551"/>
      <c r="AZ120" s="2551"/>
      <c r="BA120" s="2551"/>
      <c r="BB120" s="2551"/>
      <c r="BC120" s="2551"/>
      <c r="BD120" s="2551"/>
      <c r="BE120" s="2551"/>
      <c r="BF120" s="2551"/>
      <c r="BG120" s="2551"/>
      <c r="BH120" s="2551"/>
      <c r="BI120" s="2551"/>
      <c r="BJ120" s="2551"/>
      <c r="BK120" s="2551"/>
      <c r="BL120" s="2551"/>
      <c r="BM120" s="2551"/>
      <c r="BN120" s="2551"/>
      <c r="BO120" s="2551"/>
      <c r="BP120" s="2551"/>
      <c r="BQ120" s="2551"/>
      <c r="BR120" s="2551"/>
      <c r="BS120" s="2551"/>
      <c r="BT120" s="2551"/>
      <c r="BU120" s="2551"/>
      <c r="BV120" s="2074"/>
      <c r="BW120" s="2074"/>
      <c r="BX120" s="2074"/>
      <c r="BY120" s="2074"/>
      <c r="BZ120" s="2074"/>
      <c r="CA120" s="2074"/>
      <c r="CB120" s="2074"/>
      <c r="CC120" s="2074"/>
      <c r="CD120" s="2074"/>
      <c r="CE120" s="2074"/>
    </row>
    <row s="39511" customFormat="1" customHeight="1" ht="24.75">
      <c r="A121" s="2721"/>
      <c r="B121" s="2074"/>
      <c r="C121" s="1324"/>
      <c r="D121" s="3389"/>
      <c r="E121" s="3193" t="s">
        <v>605</v>
      </c>
      <c r="F121" s="3193"/>
      <c r="G121" s="3193"/>
      <c r="H121" s="3193"/>
      <c r="I121" s="3193"/>
      <c r="J121" s="3193"/>
      <c r="K121" s="3193"/>
      <c r="L121" s="3193"/>
      <c r="M121" s="3193"/>
      <c r="N121" s="3193"/>
      <c r="O121" s="3193"/>
      <c r="P121" s="3193"/>
      <c r="Q121" s="1470">
        <f>SUMIF(T122:T123,"i",Q122:Q123)</f>
        <v>0</v>
      </c>
      <c r="R121" s="1930"/>
      <c r="S121" s="2713" t="s">
        <v>606</v>
      </c>
      <c r="T121" s="1629" t="s">
        <v>604</v>
      </c>
      <c r="U121" s="3191">
        <v>1</v>
      </c>
      <c r="V121" s="3191" t="s">
        <v>567</v>
      </c>
      <c r="W121" s="2074"/>
      <c r="X121" s="2074"/>
      <c r="Y121" s="2074"/>
      <c r="Z121" s="2074"/>
      <c r="AA121" s="2551"/>
      <c r="AB121" s="2074"/>
      <c r="AC121" s="2711"/>
      <c r="AD121" s="1541"/>
      <c r="AE121" s="2074"/>
      <c r="AF121" s="2074"/>
      <c r="AG121" s="2551"/>
      <c r="AH121" s="2551"/>
      <c r="AI121" s="2551"/>
      <c r="AJ121" s="2551"/>
      <c r="AK121" s="2551"/>
      <c r="AL121" s="2551"/>
      <c r="AM121" s="2551"/>
      <c r="AN121" s="2551"/>
      <c r="AO121" s="2551"/>
      <c r="AP121" s="2551"/>
      <c r="AQ121" s="2551"/>
      <c r="AR121" s="2551"/>
      <c r="AS121" s="2551"/>
      <c r="AT121" s="2551"/>
      <c r="AU121" s="2551"/>
      <c r="AV121" s="2551"/>
      <c r="AW121" s="2551"/>
      <c r="AX121" s="2551"/>
      <c r="AY121" s="2551"/>
      <c r="AZ121" s="2551"/>
      <c r="BA121" s="2551"/>
      <c r="BB121" s="2551"/>
      <c r="BC121" s="2551"/>
      <c r="BD121" s="2551"/>
      <c r="BE121" s="2551"/>
      <c r="BF121" s="2551"/>
      <c r="BG121" s="2551"/>
      <c r="BH121" s="2551"/>
      <c r="BI121" s="2551"/>
      <c r="BJ121" s="2551"/>
      <c r="BK121" s="2551"/>
      <c r="BL121" s="2551"/>
      <c r="BM121" s="2551"/>
      <c r="BN121" s="2551"/>
      <c r="BO121" s="2551"/>
      <c r="BP121" s="2551"/>
      <c r="BQ121" s="2551"/>
      <c r="BR121" s="2551"/>
      <c r="BS121" s="2551"/>
      <c r="BT121" s="2551"/>
      <c r="BU121" s="2551"/>
      <c r="BV121" s="2074"/>
      <c r="BW121" s="2074"/>
      <c r="BX121" s="2074"/>
      <c r="BY121" s="2074"/>
      <c r="BZ121" s="2074"/>
      <c r="CA121" s="2074"/>
      <c r="CB121" s="2074"/>
      <c r="CC121" s="2074"/>
      <c r="CD121" s="2074"/>
      <c r="CE121" s="2074"/>
    </row>
    <row s="39511" customFormat="1" customHeight="1" ht="11.25" hidden="1">
      <c r="A122" s="2708"/>
      <c r="B122" s="2551"/>
      <c r="C122" s="2551"/>
      <c r="D122" s="3389"/>
      <c r="E122" s="1547"/>
      <c r="F122" s="1547">
        <v>0</v>
      </c>
      <c r="G122" s="1547"/>
      <c r="H122" s="1547"/>
      <c r="I122" s="1547"/>
      <c r="J122" s="1547"/>
      <c r="K122" s="1547"/>
      <c r="L122" s="1547"/>
      <c r="M122" s="1547"/>
      <c r="N122" s="1547"/>
      <c r="O122" s="1547"/>
      <c r="P122" s="1547"/>
      <c r="Q122" s="1547"/>
      <c r="R122" s="1547"/>
      <c r="S122" s="1548"/>
      <c r="T122" s="1630"/>
      <c r="U122" s="3191"/>
      <c r="V122" s="3191"/>
      <c r="W122" s="2551"/>
      <c r="X122" s="2551"/>
      <c r="Y122" s="2551"/>
      <c r="Z122" s="2551"/>
      <c r="AA122" s="2551"/>
      <c r="AB122" s="2074"/>
      <c r="AC122" s="2711"/>
      <c r="AD122" s="1541"/>
      <c r="AE122" s="2074"/>
      <c r="AF122" s="2074"/>
      <c r="AG122" s="2551"/>
      <c r="AH122" s="2551"/>
      <c r="AI122" s="2551"/>
      <c r="AJ122" s="2551"/>
      <c r="AK122" s="2551"/>
      <c r="AL122" s="2551"/>
      <c r="AM122" s="2551"/>
      <c r="AN122" s="2551"/>
      <c r="AO122" s="2551"/>
      <c r="AP122" s="2551"/>
      <c r="AQ122" s="2551"/>
      <c r="AR122" s="2551"/>
      <c r="AS122" s="2551"/>
      <c r="AT122" s="2551"/>
      <c r="AU122" s="2551"/>
      <c r="AV122" s="2551"/>
      <c r="AW122" s="2551"/>
      <c r="AX122" s="2551"/>
      <c r="AY122" s="2551"/>
      <c r="AZ122" s="2551"/>
      <c r="BA122" s="2551"/>
      <c r="BB122" s="2551"/>
      <c r="BC122" s="2551"/>
      <c r="BD122" s="2551"/>
      <c r="BE122" s="2551"/>
      <c r="BF122" s="2551"/>
      <c r="BG122" s="2551"/>
      <c r="BH122" s="2551"/>
      <c r="BI122" s="2551"/>
      <c r="BJ122" s="2551"/>
      <c r="BK122" s="2551"/>
      <c r="BL122" s="2551"/>
      <c r="BM122" s="2551"/>
      <c r="BN122" s="2551"/>
      <c r="BO122" s="2551"/>
      <c r="BP122" s="2551"/>
      <c r="BQ122" s="2551"/>
      <c r="BR122" s="2551"/>
      <c r="BS122" s="2551"/>
      <c r="BT122" s="2551"/>
      <c r="BU122" s="2551"/>
      <c r="BV122" s="2551"/>
      <c r="BW122" s="2551"/>
      <c r="BX122" s="2551"/>
      <c r="BY122" s="2551"/>
      <c r="BZ122" s="2551"/>
      <c r="CA122" s="2551"/>
      <c r="CB122" s="2551"/>
      <c r="CC122" s="2551"/>
      <c r="CD122" s="2551"/>
      <c r="CE122" s="2551"/>
    </row>
    <row s="39511" customFormat="1" customHeight="1" ht="11.25">
      <c r="A123" s="2721"/>
      <c r="B123" s="2074"/>
      <c r="C123" s="1324"/>
      <c r="D123" s="3390"/>
      <c r="E123" s="1561" t="s">
        <v>18</v>
      </c>
      <c r="F123" s="2082" t="s">
        <v>18</v>
      </c>
      <c r="G123" s="2082" t="s">
        <v>1882</v>
      </c>
      <c r="H123" s="1563" t="s">
        <v>18</v>
      </c>
      <c r="I123" s="1563"/>
      <c r="J123" s="1563"/>
      <c r="K123" s="1563"/>
      <c r="L123" s="1563"/>
      <c r="M123" s="1563"/>
      <c r="N123" s="1563"/>
      <c r="O123" s="1563"/>
      <c r="P123" s="1563"/>
      <c r="Q123" s="1563"/>
      <c r="R123" s="1564"/>
      <c r="S123" s="1565"/>
      <c r="T123" s="1630"/>
      <c r="U123" s="3191"/>
      <c r="V123" s="3191"/>
      <c r="W123" s="2074"/>
      <c r="X123" s="2074"/>
      <c r="Y123" s="2074"/>
      <c r="Z123" s="2074"/>
      <c r="AA123" s="2551"/>
      <c r="AB123" s="2074"/>
      <c r="AC123" s="2711"/>
      <c r="AD123" s="1541"/>
      <c r="AE123" s="2074"/>
      <c r="AF123" s="2074"/>
      <c r="AG123" s="2551"/>
      <c r="AH123" s="2551"/>
      <c r="AI123" s="2551"/>
      <c r="AJ123" s="2551"/>
      <c r="AK123" s="2551"/>
      <c r="AL123" s="2551"/>
      <c r="AM123" s="2551"/>
      <c r="AN123" s="2551"/>
      <c r="AO123" s="2551"/>
      <c r="AP123" s="2551"/>
      <c r="AQ123" s="2551"/>
      <c r="AR123" s="2551"/>
      <c r="AS123" s="2551"/>
      <c r="AT123" s="2551"/>
      <c r="AU123" s="2551"/>
      <c r="AV123" s="2551"/>
      <c r="AW123" s="2551"/>
      <c r="AX123" s="2551"/>
      <c r="AY123" s="2551"/>
      <c r="AZ123" s="2551"/>
      <c r="BA123" s="2551"/>
      <c r="BB123" s="2551"/>
      <c r="BC123" s="2551"/>
      <c r="BD123" s="2551"/>
      <c r="BE123" s="2551"/>
      <c r="BF123" s="2551"/>
      <c r="BG123" s="2551"/>
      <c r="BH123" s="2551"/>
      <c r="BI123" s="2551"/>
      <c r="BJ123" s="2551"/>
      <c r="BK123" s="2551"/>
      <c r="BL123" s="2551"/>
      <c r="BM123" s="2551"/>
      <c r="BN123" s="2551"/>
      <c r="BO123" s="2551"/>
      <c r="BP123" s="2551"/>
      <c r="BQ123" s="2551"/>
      <c r="BR123" s="2551"/>
      <c r="BS123" s="2551"/>
      <c r="BT123" s="2551"/>
      <c r="BU123" s="2551"/>
      <c r="BV123" s="2074"/>
      <c r="BW123" s="2074"/>
      <c r="BX123" s="2074"/>
      <c r="BY123" s="2074"/>
      <c r="BZ123" s="2074"/>
      <c r="CA123" s="2074"/>
      <c r="CB123" s="2074"/>
      <c r="CC123" s="2074"/>
      <c r="CD123" s="2074"/>
      <c r="CE123" s="2074"/>
    </row>
    <row r="125" s="41715" customFormat="1" customHeight="1" ht="11.25">
      <c r="A125" s="2730" t="s">
        <v>1883</v>
      </c>
    </row>
    <row r="127" s="39511" customFormat="1" customHeight="1" ht="15">
      <c r="A127" s="1535"/>
      <c r="B127" s="1536"/>
      <c r="C127" s="1536"/>
      <c r="D127" s="3388" t="s">
        <v>102</v>
      </c>
      <c r="E127" s="3194" t="s">
        <v>98</v>
      </c>
      <c r="F127" s="3195"/>
      <c r="G127" s="3196"/>
      <c r="H127" s="3200" t="str">
        <f>IF(A127="","",INDEX(DIFFERENTIATION_UNMERGE_VD,MATCH(A127,DIFFERENTIATION_ID_DIFF,0)))</f>
        <v/>
      </c>
      <c r="I127" s="3200"/>
      <c r="J127" s="3200"/>
      <c r="K127" s="3200"/>
      <c r="L127" s="3200"/>
      <c r="M127" s="3200"/>
      <c r="N127" s="3200"/>
      <c r="O127" s="3200"/>
      <c r="P127" s="3200"/>
      <c r="Q127" s="3200"/>
      <c r="R127" s="3200"/>
      <c r="S127" s="1631"/>
      <c r="T127" s="1628"/>
      <c r="U127" s="1537"/>
      <c r="V127" s="1537"/>
      <c r="W127" s="1538"/>
      <c r="X127" s="1538"/>
      <c r="Y127" s="1538"/>
      <c r="Z127" s="1538"/>
      <c r="AA127" s="1539"/>
      <c r="AB127" s="1540"/>
      <c r="AC127" s="3192"/>
      <c r="AD127" s="1541"/>
      <c r="AE127" s="1542" t="s">
        <v>18</v>
      </c>
      <c r="AF127" s="1542"/>
      <c r="AG127" s="1543" t="s">
        <v>601</v>
      </c>
      <c r="AH127" s="1544">
        <v>3</v>
      </c>
      <c r="AI127" s="1537"/>
      <c r="AJ127" s="1537"/>
      <c r="AK127" s="1537"/>
      <c r="AL127" s="1537"/>
      <c r="AM127" s="1537"/>
      <c r="AN127" s="1537"/>
      <c r="AO127" s="1537"/>
      <c r="AP127" s="1537"/>
      <c r="AQ127" s="1537"/>
      <c r="AR127" s="1537"/>
      <c r="AS127" s="1537"/>
      <c r="AT127" s="1537"/>
      <c r="AU127" s="1537"/>
      <c r="AV127" s="1537"/>
      <c r="AW127" s="1537"/>
      <c r="AX127" s="1537"/>
      <c r="AY127" s="1537"/>
      <c r="AZ127" s="1537"/>
      <c r="BA127" s="1537"/>
      <c r="BB127" s="1537"/>
      <c r="BC127" s="1537"/>
      <c r="BD127" s="1537"/>
      <c r="BE127" s="1537"/>
      <c r="BF127" s="1537"/>
      <c r="BG127" s="1537"/>
      <c r="BH127" s="1537"/>
      <c r="BI127" s="1537"/>
      <c r="BJ127" s="1537"/>
      <c r="BK127" s="1537"/>
      <c r="BL127" s="1537"/>
      <c r="BM127" s="1537"/>
      <c r="BN127" s="1537"/>
      <c r="BO127" s="1537"/>
      <c r="BP127" s="1537"/>
      <c r="BQ127" s="1537"/>
      <c r="BR127" s="1537"/>
      <c r="BS127" s="1537"/>
      <c r="BT127" s="1537"/>
      <c r="BU127" s="1537"/>
      <c r="BV127" s="1538"/>
      <c r="BW127" s="1538"/>
      <c r="BX127" s="1538"/>
      <c r="BY127" s="1538"/>
      <c r="BZ127" s="1538"/>
      <c r="CA127" s="1538"/>
      <c r="CB127" s="1538"/>
      <c r="CC127" s="1538"/>
      <c r="CD127" s="1538"/>
      <c r="CE127" s="1538"/>
    </row>
    <row s="39511" customFormat="1" customHeight="1" ht="15">
      <c r="A128" s="1535"/>
      <c r="B128" s="1536"/>
      <c r="C128" s="1536"/>
      <c r="D128" s="3389"/>
      <c r="E128" s="3194" t="s">
        <v>556</v>
      </c>
      <c r="F128" s="3195"/>
      <c r="G128" s="3196"/>
      <c r="H128" s="3200" t="str">
        <f>IF(A127="","",INDEX(DIFFERENTIATION_UNMERGE_AREA,MATCH(A127,DIFFERENTIATION_ID_DIFF,0)))</f>
        <v/>
      </c>
      <c r="I128" s="3200"/>
      <c r="J128" s="3200"/>
      <c r="K128" s="3200"/>
      <c r="L128" s="3200"/>
      <c r="M128" s="3200"/>
      <c r="N128" s="3200"/>
      <c r="O128" s="3200"/>
      <c r="P128" s="3200"/>
      <c r="Q128" s="3200"/>
      <c r="R128" s="3200"/>
      <c r="S128" s="1631"/>
      <c r="T128" s="1628"/>
      <c r="U128" s="1537"/>
      <c r="V128" s="1537"/>
      <c r="W128" s="1538"/>
      <c r="X128" s="1538"/>
      <c r="Y128" s="1538"/>
      <c r="Z128" s="1538"/>
      <c r="AA128" s="1539"/>
      <c r="AB128" s="1540"/>
      <c r="AC128" s="3192"/>
      <c r="AD128" s="1541"/>
      <c r="AE128" s="1542"/>
      <c r="AF128" s="1542"/>
      <c r="AG128" s="1543"/>
      <c r="AH128" s="1544"/>
      <c r="AI128" s="1537"/>
      <c r="AJ128" s="1537"/>
      <c r="AK128" s="1537"/>
      <c r="AL128" s="1537"/>
      <c r="AM128" s="1537"/>
      <c r="AN128" s="1537"/>
      <c r="AO128" s="1537"/>
      <c r="AP128" s="1537"/>
      <c r="AQ128" s="1537"/>
      <c r="AR128" s="1537"/>
      <c r="AS128" s="1537"/>
      <c r="AT128" s="1537"/>
      <c r="AU128" s="1537"/>
      <c r="AV128" s="1537"/>
      <c r="AW128" s="1537"/>
      <c r="AX128" s="1537"/>
      <c r="AY128" s="1537"/>
      <c r="AZ128" s="1537"/>
      <c r="BA128" s="1537"/>
      <c r="BB128" s="1537"/>
      <c r="BC128" s="1537"/>
      <c r="BD128" s="1537"/>
      <c r="BE128" s="1537"/>
      <c r="BF128" s="1537"/>
      <c r="BG128" s="1537"/>
      <c r="BH128" s="1537"/>
      <c r="BI128" s="1537"/>
      <c r="BJ128" s="1537"/>
      <c r="BK128" s="1537"/>
      <c r="BL128" s="1537"/>
      <c r="BM128" s="1537"/>
      <c r="BN128" s="1537"/>
      <c r="BO128" s="1537"/>
      <c r="BP128" s="1537"/>
      <c r="BQ128" s="1537"/>
      <c r="BR128" s="1537"/>
      <c r="BS128" s="1537"/>
      <c r="BT128" s="1537"/>
      <c r="BU128" s="1537"/>
      <c r="BV128" s="1538"/>
      <c r="BW128" s="1538"/>
      <c r="BX128" s="1538"/>
      <c r="BY128" s="1538"/>
      <c r="BZ128" s="1538"/>
      <c r="CA128" s="1538"/>
      <c r="CB128" s="1538"/>
      <c r="CC128" s="1538"/>
      <c r="CD128" s="1538"/>
      <c r="CE128" s="1538"/>
    </row>
    <row s="39511" customFormat="1" customHeight="1" ht="15">
      <c r="A129" s="1535"/>
      <c r="B129" s="1536"/>
      <c r="C129" s="1536"/>
      <c r="D129" s="3389"/>
      <c r="E129" s="3194" t="s">
        <v>557</v>
      </c>
      <c r="F129" s="3195"/>
      <c r="G129" s="3196"/>
      <c r="H129" s="3200" t="str">
        <f>IF(A127="","",INDEX(DIFFERENTIATION_UNMERGE_SYSTEM,MATCH(A127,DIFFERENTIATION_ID_DIFF,0)))</f>
        <v/>
      </c>
      <c r="I129" s="3200"/>
      <c r="J129" s="3200"/>
      <c r="K129" s="3200"/>
      <c r="L129" s="3200"/>
      <c r="M129" s="3200"/>
      <c r="N129" s="3200"/>
      <c r="O129" s="3200"/>
      <c r="P129" s="3200"/>
      <c r="Q129" s="3200"/>
      <c r="R129" s="3200"/>
      <c r="S129" s="1631"/>
      <c r="T129" s="1628"/>
      <c r="U129" s="1537"/>
      <c r="V129" s="1537"/>
      <c r="W129" s="1538"/>
      <c r="X129" s="1538"/>
      <c r="Y129" s="1538"/>
      <c r="Z129" s="1538"/>
      <c r="AA129" s="1539"/>
      <c r="AB129" s="1540"/>
      <c r="AC129" s="3192"/>
      <c r="AD129" s="1541"/>
      <c r="AE129" s="1542"/>
      <c r="AF129" s="1542"/>
      <c r="AG129" s="1543"/>
      <c r="AH129" s="1544"/>
      <c r="AI129" s="1537"/>
      <c r="AJ129" s="1537"/>
      <c r="AK129" s="1537"/>
      <c r="AL129" s="1537"/>
      <c r="AM129" s="1537"/>
      <c r="AN129" s="1537"/>
      <c r="AO129" s="1537"/>
      <c r="AP129" s="1537"/>
      <c r="AQ129" s="1537"/>
      <c r="AR129" s="1537"/>
      <c r="AS129" s="1537"/>
      <c r="AT129" s="1537"/>
      <c r="AU129" s="1537"/>
      <c r="AV129" s="1537"/>
      <c r="AW129" s="1537"/>
      <c r="AX129" s="1537"/>
      <c r="AY129" s="1537"/>
      <c r="AZ129" s="1537"/>
      <c r="BA129" s="1537"/>
      <c r="BB129" s="1537"/>
      <c r="BC129" s="1537"/>
      <c r="BD129" s="1537"/>
      <c r="BE129" s="1537"/>
      <c r="BF129" s="1537"/>
      <c r="BG129" s="1537"/>
      <c r="BH129" s="1537"/>
      <c r="BI129" s="1537"/>
      <c r="BJ129" s="1537"/>
      <c r="BK129" s="1537"/>
      <c r="BL129" s="1537"/>
      <c r="BM129" s="1537"/>
      <c r="BN129" s="1537"/>
      <c r="BO129" s="1537"/>
      <c r="BP129" s="1537"/>
      <c r="BQ129" s="1537"/>
      <c r="BR129" s="1537"/>
      <c r="BS129" s="1537"/>
      <c r="BT129" s="1537"/>
      <c r="BU129" s="1537"/>
      <c r="BV129" s="1538"/>
      <c r="BW129" s="1538"/>
      <c r="BX129" s="1538"/>
      <c r="BY129" s="1538"/>
      <c r="BZ129" s="1538"/>
      <c r="CA129" s="1538"/>
      <c r="CB129" s="1538"/>
      <c r="CC129" s="1538"/>
      <c r="CD129" s="1538"/>
      <c r="CE129" s="1538"/>
    </row>
    <row s="39511" customFormat="1" customHeight="1" ht="24.75">
      <c r="A130" s="2721"/>
      <c r="B130" s="2074"/>
      <c r="C130" s="1324"/>
      <c r="D130" s="3389"/>
      <c r="E130" s="3193" t="s">
        <v>602</v>
      </c>
      <c r="F130" s="3193"/>
      <c r="G130" s="3193"/>
      <c r="H130" s="3193"/>
      <c r="I130" s="3193"/>
      <c r="J130" s="3193"/>
      <c r="K130" s="3193"/>
      <c r="L130" s="3193"/>
      <c r="M130" s="3193"/>
      <c r="N130" s="3193"/>
      <c r="O130" s="3193"/>
      <c r="P130" s="3193"/>
      <c r="Q130" s="1470">
        <f>SUMIF(T131:T132,"i",Q131:Q132)</f>
        <v>0</v>
      </c>
      <c r="R130" s="1930"/>
      <c r="S130" s="2713" t="s">
        <v>603</v>
      </c>
      <c r="T130" s="1629" t="s">
        <v>604</v>
      </c>
      <c r="U130" s="3191">
        <v>1</v>
      </c>
      <c r="V130" s="3191" t="s">
        <v>567</v>
      </c>
      <c r="W130" s="2074"/>
      <c r="X130" s="2074"/>
      <c r="Y130" s="2074"/>
      <c r="Z130" s="2074"/>
      <c r="AA130" s="2551"/>
      <c r="AB130" s="2074"/>
      <c r="AC130" s="3192"/>
      <c r="AD130" s="1541"/>
      <c r="AE130" s="2074"/>
      <c r="AF130" s="2074"/>
      <c r="AG130" s="2551"/>
      <c r="AH130" s="2551"/>
      <c r="AI130" s="2551"/>
      <c r="AJ130" s="2551"/>
      <c r="AK130" s="2551"/>
      <c r="AL130" s="2551"/>
      <c r="AM130" s="2551"/>
      <c r="AN130" s="2551"/>
      <c r="AO130" s="2551"/>
      <c r="AP130" s="2551"/>
      <c r="AQ130" s="2551"/>
      <c r="AR130" s="2551"/>
      <c r="AS130" s="2551"/>
      <c r="AT130" s="2551"/>
      <c r="AU130" s="2551"/>
      <c r="AV130" s="2551"/>
      <c r="AW130" s="2551"/>
      <c r="AX130" s="2551"/>
      <c r="AY130" s="2551"/>
      <c r="AZ130" s="2551"/>
      <c r="BA130" s="2551"/>
      <c r="BB130" s="2551"/>
      <c r="BC130" s="2551"/>
      <c r="BD130" s="2551"/>
      <c r="BE130" s="2551"/>
      <c r="BF130" s="2551"/>
      <c r="BG130" s="2551"/>
      <c r="BH130" s="2551"/>
      <c r="BI130" s="2551"/>
      <c r="BJ130" s="2551"/>
      <c r="BK130" s="2551"/>
      <c r="BL130" s="2551"/>
      <c r="BM130" s="2551"/>
      <c r="BN130" s="2551"/>
      <c r="BO130" s="2551"/>
      <c r="BP130" s="2551"/>
      <c r="BQ130" s="2551"/>
      <c r="BR130" s="2551"/>
      <c r="BS130" s="2551"/>
      <c r="BT130" s="2551"/>
      <c r="BU130" s="2551"/>
      <c r="BV130" s="2074"/>
      <c r="BW130" s="2074"/>
      <c r="BX130" s="2074"/>
      <c r="BY130" s="2074"/>
      <c r="BZ130" s="2074"/>
      <c r="CA130" s="2074"/>
      <c r="CB130" s="2074"/>
      <c r="CC130" s="2074"/>
      <c r="CD130" s="2074"/>
      <c r="CE130" s="2074"/>
    </row>
    <row s="39511" customFormat="1" customHeight="1" ht="11.25" hidden="1">
      <c r="A131" s="2708"/>
      <c r="B131" s="2551"/>
      <c r="C131" s="2551"/>
      <c r="D131" s="3389"/>
      <c r="E131" s="1547"/>
      <c r="F131" s="1547">
        <v>0</v>
      </c>
      <c r="G131" s="1547"/>
      <c r="H131" s="1547"/>
      <c r="I131" s="1547"/>
      <c r="J131" s="1547"/>
      <c r="K131" s="1547"/>
      <c r="L131" s="1547"/>
      <c r="M131" s="1547"/>
      <c r="N131" s="1547"/>
      <c r="O131" s="1547"/>
      <c r="P131" s="1547"/>
      <c r="Q131" s="1547"/>
      <c r="R131" s="1547"/>
      <c r="S131" s="1548"/>
      <c r="T131" s="1630"/>
      <c r="U131" s="3191"/>
      <c r="V131" s="3191"/>
      <c r="W131" s="2551"/>
      <c r="X131" s="2551"/>
      <c r="Y131" s="2551"/>
      <c r="Z131" s="2551"/>
      <c r="AA131" s="2551"/>
      <c r="AB131" s="2074"/>
      <c r="AC131" s="3192"/>
      <c r="AD131" s="1541"/>
      <c r="AE131" s="2074"/>
      <c r="AF131" s="2074"/>
      <c r="AG131" s="2551"/>
      <c r="AH131" s="2551"/>
      <c r="AI131" s="2551"/>
      <c r="AJ131" s="2551"/>
      <c r="AK131" s="2551"/>
      <c r="AL131" s="2551"/>
      <c r="AM131" s="2551"/>
      <c r="AN131" s="2551"/>
      <c r="AO131" s="2551"/>
      <c r="AP131" s="2551"/>
      <c r="AQ131" s="2551"/>
      <c r="AR131" s="2551"/>
      <c r="AS131" s="2551"/>
      <c r="AT131" s="2551"/>
      <c r="AU131" s="2551"/>
      <c r="AV131" s="2551"/>
      <c r="AW131" s="2551"/>
      <c r="AX131" s="2551"/>
      <c r="AY131" s="2551"/>
      <c r="AZ131" s="2551"/>
      <c r="BA131" s="2551"/>
      <c r="BB131" s="2551"/>
      <c r="BC131" s="2551"/>
      <c r="BD131" s="2551"/>
      <c r="BE131" s="2551"/>
      <c r="BF131" s="2551"/>
      <c r="BG131" s="2551"/>
      <c r="BH131" s="2551"/>
      <c r="BI131" s="2551"/>
      <c r="BJ131" s="2551"/>
      <c r="BK131" s="2551"/>
      <c r="BL131" s="2551"/>
      <c r="BM131" s="2551"/>
      <c r="BN131" s="2551"/>
      <c r="BO131" s="2551"/>
      <c r="BP131" s="2551"/>
      <c r="BQ131" s="2551"/>
      <c r="BR131" s="2551"/>
      <c r="BS131" s="2551"/>
      <c r="BT131" s="2551"/>
      <c r="BU131" s="2551"/>
      <c r="BV131" s="2551"/>
      <c r="BW131" s="2551"/>
      <c r="BX131" s="2551"/>
      <c r="BY131" s="2551"/>
      <c r="BZ131" s="2551"/>
      <c r="CA131" s="2551"/>
      <c r="CB131" s="2551"/>
      <c r="CC131" s="2551"/>
      <c r="CD131" s="2551"/>
      <c r="CE131" s="2551"/>
    </row>
    <row s="39511" customFormat="1" customHeight="1" ht="11.25">
      <c r="A132" s="2721"/>
      <c r="B132" s="2074"/>
      <c r="C132" s="1324"/>
      <c r="D132" s="3389"/>
      <c r="E132" s="1561" t="s">
        <v>18</v>
      </c>
      <c r="F132" s="2082" t="s">
        <v>18</v>
      </c>
      <c r="G132" s="2082" t="s">
        <v>1882</v>
      </c>
      <c r="H132" s="1563" t="s">
        <v>18</v>
      </c>
      <c r="I132" s="1563"/>
      <c r="J132" s="1563"/>
      <c r="K132" s="1563"/>
      <c r="L132" s="1563"/>
      <c r="M132" s="1563"/>
      <c r="N132" s="1563"/>
      <c r="O132" s="1563"/>
      <c r="P132" s="1563"/>
      <c r="Q132" s="1563"/>
      <c r="R132" s="1564"/>
      <c r="S132" s="1565"/>
      <c r="T132" s="1630"/>
      <c r="U132" s="3191"/>
      <c r="V132" s="3191"/>
      <c r="W132" s="2074"/>
      <c r="X132" s="2074"/>
      <c r="Y132" s="2074"/>
      <c r="Z132" s="2074"/>
      <c r="AA132" s="2551"/>
      <c r="AB132" s="2074"/>
      <c r="AC132" s="3192"/>
      <c r="AD132" s="1541"/>
      <c r="AE132" s="2074"/>
      <c r="AF132" s="2074"/>
      <c r="AG132" s="2551"/>
      <c r="AH132" s="2551"/>
      <c r="AI132" s="2551"/>
      <c r="AJ132" s="2551"/>
      <c r="AK132" s="2551"/>
      <c r="AL132" s="2551"/>
      <c r="AM132" s="2551"/>
      <c r="AN132" s="2551"/>
      <c r="AO132" s="2551"/>
      <c r="AP132" s="2551"/>
      <c r="AQ132" s="2551"/>
      <c r="AR132" s="2551"/>
      <c r="AS132" s="2551"/>
      <c r="AT132" s="2551"/>
      <c r="AU132" s="2551"/>
      <c r="AV132" s="2551"/>
      <c r="AW132" s="2551"/>
      <c r="AX132" s="2551"/>
      <c r="AY132" s="2551"/>
      <c r="AZ132" s="2551"/>
      <c r="BA132" s="2551"/>
      <c r="BB132" s="2551"/>
      <c r="BC132" s="2551"/>
      <c r="BD132" s="2551"/>
      <c r="BE132" s="2551"/>
      <c r="BF132" s="2551"/>
      <c r="BG132" s="2551"/>
      <c r="BH132" s="2551"/>
      <c r="BI132" s="2551"/>
      <c r="BJ132" s="2551"/>
      <c r="BK132" s="2551"/>
      <c r="BL132" s="2551"/>
      <c r="BM132" s="2551"/>
      <c r="BN132" s="2551"/>
      <c r="BO132" s="2551"/>
      <c r="BP132" s="2551"/>
      <c r="BQ132" s="2551"/>
      <c r="BR132" s="2551"/>
      <c r="BS132" s="2551"/>
      <c r="BT132" s="2551"/>
      <c r="BU132" s="2551"/>
      <c r="BV132" s="2074"/>
      <c r="BW132" s="2074"/>
      <c r="BX132" s="2074"/>
      <c r="BY132" s="2074"/>
      <c r="BZ132" s="2074"/>
      <c r="CA132" s="2074"/>
      <c r="CB132" s="2074"/>
      <c r="CC132" s="2074"/>
      <c r="CD132" s="2074"/>
      <c r="CE132" s="2074"/>
    </row>
    <row s="39753" customFormat="1" customHeight="1" ht="5.25" hidden="1">
      <c r="A133" s="2708"/>
      <c r="B133" s="2551"/>
      <c r="C133" s="2551"/>
      <c r="D133" s="3389"/>
      <c r="E133" s="1952"/>
      <c r="F133" s="1952"/>
      <c r="G133" s="1952"/>
      <c r="H133" s="1952"/>
      <c r="I133" s="1952"/>
      <c r="J133" s="1952"/>
      <c r="K133" s="1952"/>
      <c r="L133" s="1952"/>
      <c r="M133" s="1952"/>
      <c r="N133" s="1952"/>
      <c r="O133" s="1952"/>
      <c r="P133" s="1952"/>
      <c r="Q133" s="1953"/>
      <c r="R133" s="1954"/>
      <c r="S133" s="1955"/>
      <c r="T133" s="1629" t="s">
        <v>604</v>
      </c>
      <c r="U133" s="3191">
        <v>1</v>
      </c>
      <c r="V133" s="3191" t="s">
        <v>567</v>
      </c>
      <c r="W133" s="2551"/>
      <c r="X133" s="2551"/>
      <c r="Y133" s="2551"/>
      <c r="Z133" s="2551"/>
      <c r="AA133" s="2551"/>
      <c r="AB133" s="2551"/>
      <c r="AC133" s="1950"/>
      <c r="AD133" s="1951"/>
      <c r="AE133" s="2551"/>
      <c r="AF133" s="2551"/>
      <c r="AG133" s="2551"/>
      <c r="AH133" s="2551"/>
      <c r="AI133" s="2551"/>
      <c r="AJ133" s="2551"/>
      <c r="AK133" s="2551"/>
      <c r="AL133" s="2551"/>
      <c r="AM133" s="2551"/>
      <c r="AN133" s="2551"/>
      <c r="AO133" s="2551"/>
      <c r="AP133" s="2551"/>
      <c r="AQ133" s="2551"/>
      <c r="AR133" s="2551"/>
      <c r="AS133" s="2551"/>
      <c r="AT133" s="2551"/>
      <c r="AU133" s="2551"/>
      <c r="AV133" s="2551"/>
      <c r="AW133" s="2551"/>
      <c r="AX133" s="2551"/>
      <c r="AY133" s="2551"/>
      <c r="AZ133" s="2551"/>
      <c r="BA133" s="2551"/>
      <c r="BB133" s="2551"/>
      <c r="BC133" s="2551"/>
      <c r="BD133" s="2551"/>
      <c r="BE133" s="2551"/>
      <c r="BF133" s="2551"/>
      <c r="BG133" s="2551"/>
      <c r="BH133" s="2551"/>
      <c r="BI133" s="2551"/>
      <c r="BJ133" s="2551"/>
      <c r="BK133" s="2551"/>
      <c r="BL133" s="2551"/>
      <c r="BM133" s="2551"/>
      <c r="BN133" s="2551"/>
      <c r="BO133" s="2551"/>
      <c r="BP133" s="2551"/>
      <c r="BQ133" s="2551"/>
      <c r="BR133" s="2551"/>
      <c r="BS133" s="2551"/>
      <c r="BT133" s="2551"/>
      <c r="BU133" s="2551"/>
      <c r="BV133" s="2551"/>
      <c r="BW133" s="2551"/>
      <c r="BX133" s="2551"/>
      <c r="BY133" s="2551"/>
      <c r="BZ133" s="2551"/>
      <c r="CA133" s="2551"/>
      <c r="CB133" s="2551"/>
      <c r="CC133" s="2551"/>
      <c r="CD133" s="2551"/>
      <c r="CE133" s="2551"/>
    </row>
    <row s="39753" customFormat="1" customHeight="1" ht="5.25" hidden="1">
      <c r="A134" s="2708"/>
      <c r="B134" s="2551"/>
      <c r="C134" s="2551"/>
      <c r="D134" s="3389"/>
      <c r="E134" s="1547"/>
      <c r="F134" s="1547"/>
      <c r="G134" s="1547"/>
      <c r="H134" s="1547"/>
      <c r="I134" s="1547"/>
      <c r="J134" s="1547"/>
      <c r="K134" s="1547"/>
      <c r="L134" s="1547"/>
      <c r="M134" s="1547"/>
      <c r="N134" s="1547"/>
      <c r="O134" s="1547"/>
      <c r="P134" s="1547"/>
      <c r="Q134" s="1547"/>
      <c r="R134" s="1547"/>
      <c r="S134" s="1548"/>
      <c r="T134" s="1630"/>
      <c r="U134" s="3191"/>
      <c r="V134" s="3191"/>
      <c r="W134" s="2551"/>
      <c r="X134" s="2551"/>
      <c r="Y134" s="2551"/>
      <c r="Z134" s="2551"/>
      <c r="AA134" s="2551"/>
      <c r="AB134" s="2551"/>
      <c r="AC134" s="1950"/>
      <c r="AD134" s="1951"/>
      <c r="AE134" s="2551"/>
      <c r="AF134" s="2551"/>
      <c r="AG134" s="2551"/>
      <c r="AH134" s="2551"/>
      <c r="AI134" s="2551"/>
      <c r="AJ134" s="2551"/>
      <c r="AK134" s="2551"/>
      <c r="AL134" s="2551"/>
      <c r="AM134" s="2551"/>
      <c r="AN134" s="2551"/>
      <c r="AO134" s="2551"/>
      <c r="AP134" s="2551"/>
      <c r="AQ134" s="2551"/>
      <c r="AR134" s="2551"/>
      <c r="AS134" s="2551"/>
      <c r="AT134" s="2551"/>
      <c r="AU134" s="2551"/>
      <c r="AV134" s="2551"/>
      <c r="AW134" s="2551"/>
      <c r="AX134" s="2551"/>
      <c r="AY134" s="2551"/>
      <c r="AZ134" s="2551"/>
      <c r="BA134" s="2551"/>
      <c r="BB134" s="2551"/>
      <c r="BC134" s="2551"/>
      <c r="BD134" s="2551"/>
      <c r="BE134" s="2551"/>
      <c r="BF134" s="2551"/>
      <c r="BG134" s="2551"/>
      <c r="BH134" s="2551"/>
      <c r="BI134" s="2551"/>
      <c r="BJ134" s="2551"/>
      <c r="BK134" s="2551"/>
      <c r="BL134" s="2551"/>
      <c r="BM134" s="2551"/>
      <c r="BN134" s="2551"/>
      <c r="BO134" s="2551"/>
      <c r="BP134" s="2551"/>
      <c r="BQ134" s="2551"/>
      <c r="BR134" s="2551"/>
      <c r="BS134" s="2551"/>
      <c r="BT134" s="2551"/>
      <c r="BU134" s="2551"/>
      <c r="BV134" s="2551"/>
      <c r="BW134" s="2551"/>
      <c r="BX134" s="2551"/>
      <c r="BY134" s="2551"/>
      <c r="BZ134" s="2551"/>
      <c r="CA134" s="2551"/>
      <c r="CB134" s="2551"/>
      <c r="CC134" s="2551"/>
      <c r="CD134" s="2551"/>
      <c r="CE134" s="2551"/>
    </row>
    <row s="39753" customFormat="1" customHeight="1" ht="5.25" hidden="1">
      <c r="A135" s="2708"/>
      <c r="B135" s="2551"/>
      <c r="C135" s="2551"/>
      <c r="D135" s="3390"/>
      <c r="E135" s="1956"/>
      <c r="F135" s="1957"/>
      <c r="G135" s="1957"/>
      <c r="H135" s="1958"/>
      <c r="I135" s="1958"/>
      <c r="J135" s="1958"/>
      <c r="K135" s="1958"/>
      <c r="L135" s="1958"/>
      <c r="M135" s="1958"/>
      <c r="N135" s="1958"/>
      <c r="O135" s="1958"/>
      <c r="P135" s="1958"/>
      <c r="Q135" s="1958"/>
      <c r="R135" s="1859"/>
      <c r="S135" s="1959"/>
      <c r="T135" s="1630"/>
      <c r="U135" s="3191"/>
      <c r="V135" s="3191"/>
      <c r="W135" s="2551"/>
      <c r="X135" s="2551"/>
      <c r="Y135" s="2551"/>
      <c r="Z135" s="2551"/>
      <c r="AA135" s="2551"/>
      <c r="AB135" s="2551"/>
      <c r="AC135" s="1950"/>
      <c r="AD135" s="1951"/>
      <c r="AE135" s="2551"/>
      <c r="AF135" s="2551"/>
      <c r="AG135" s="2551"/>
      <c r="AH135" s="2551"/>
      <c r="AI135" s="2551"/>
      <c r="AJ135" s="2551"/>
      <c r="AK135" s="2551"/>
      <c r="AL135" s="2551"/>
      <c r="AM135" s="2551"/>
      <c r="AN135" s="2551"/>
      <c r="AO135" s="2551"/>
      <c r="AP135" s="2551"/>
      <c r="AQ135" s="2551"/>
      <c r="AR135" s="2551"/>
      <c r="AS135" s="2551"/>
      <c r="AT135" s="2551"/>
      <c r="AU135" s="2551"/>
      <c r="AV135" s="2551"/>
      <c r="AW135" s="2551"/>
      <c r="AX135" s="2551"/>
      <c r="AY135" s="2551"/>
      <c r="AZ135" s="2551"/>
      <c r="BA135" s="2551"/>
      <c r="BB135" s="2551"/>
      <c r="BC135" s="2551"/>
      <c r="BD135" s="2551"/>
      <c r="BE135" s="2551"/>
      <c r="BF135" s="2551"/>
      <c r="BG135" s="2551"/>
      <c r="BH135" s="2551"/>
      <c r="BI135" s="2551"/>
      <c r="BJ135" s="2551"/>
      <c r="BK135" s="2551"/>
      <c r="BL135" s="2551"/>
      <c r="BM135" s="2551"/>
      <c r="BN135" s="2551"/>
      <c r="BO135" s="2551"/>
      <c r="BP135" s="2551"/>
      <c r="BQ135" s="2551"/>
      <c r="BR135" s="2551"/>
      <c r="BS135" s="2551"/>
      <c r="BT135" s="2551"/>
      <c r="BU135" s="2551"/>
      <c r="BV135" s="2551"/>
      <c r="BW135" s="2551"/>
      <c r="BX135" s="2551"/>
      <c r="BY135" s="2551"/>
      <c r="BZ135" s="2551"/>
      <c r="CA135" s="2551"/>
      <c r="CB135" s="2551"/>
      <c r="CC135" s="2551"/>
      <c r="CD135" s="2551"/>
      <c r="CE135" s="2551"/>
    </row>
    <row customHeight="1" ht="17.25">
      <c r="D136" s="2751"/>
    </row>
    <row s="41715" customFormat="1" customHeight="1" ht="11.25">
      <c r="A137" s="2730" t="s">
        <v>1884</v>
      </c>
    </row>
    <row r="139" s="39511" customFormat="1" customHeight="1" ht="45">
      <c r="A139" s="2721"/>
      <c r="B139" s="2074"/>
      <c r="C139" s="1324"/>
      <c r="D139" s="1001"/>
      <c r="E139" s="3382"/>
      <c r="F139" s="2934" t="s">
        <v>102</v>
      </c>
      <c r="G139" s="3385" t="s">
        <v>18</v>
      </c>
      <c r="H139" s="1201"/>
      <c r="I139" s="1549" t="s">
        <v>102</v>
      </c>
      <c r="J139" s="2722" t="s">
        <v>1885</v>
      </c>
      <c r="K139" s="1550" t="s">
        <v>538</v>
      </c>
      <c r="L139" s="3048" t="s">
        <v>538</v>
      </c>
      <c r="M139" s="3387"/>
      <c r="N139" s="1550" t="s">
        <v>538</v>
      </c>
      <c r="O139" s="1550" t="s">
        <v>538</v>
      </c>
      <c r="P139" s="1550" t="s">
        <v>538</v>
      </c>
      <c r="Q139" s="1551">
        <f>SUM(Q140:Q142)</f>
        <v>0</v>
      </c>
      <c r="R139" s="1551">
        <f>IF(R136=0,0,(Q136/R136)*100)</f>
        <v>0</v>
      </c>
      <c r="S139" s="3003"/>
      <c r="T139" s="1629" t="s">
        <v>604</v>
      </c>
      <c r="U139" s="1001"/>
      <c r="V139" s="1001"/>
      <c r="AC139" s="1001"/>
    </row>
    <row s="39511" customFormat="1" customHeight="1" ht="11.25">
      <c r="A140" s="2721"/>
      <c r="B140" s="2074"/>
      <c r="C140" s="1324"/>
      <c r="D140" s="1001"/>
      <c r="E140" s="3383"/>
      <c r="F140" s="2934"/>
      <c r="G140" s="3385"/>
      <c r="H140" s="2953"/>
      <c r="I140" s="3333" t="s">
        <v>994</v>
      </c>
      <c r="J140" s="3379"/>
      <c r="K140" s="3380"/>
      <c r="L140" s="1552"/>
      <c r="M140" s="1553" t="s">
        <v>102</v>
      </c>
      <c r="N140" s="2710"/>
      <c r="O140" s="1554"/>
      <c r="P140" s="1555"/>
      <c r="Q140" s="1554"/>
      <c r="R140" s="1556">
        <v>0</v>
      </c>
      <c r="S140" s="3003"/>
      <c r="T140" s="1629"/>
      <c r="U140" s="1001"/>
      <c r="V140" s="1001"/>
      <c r="AC140" s="1001"/>
    </row>
    <row s="39511" customFormat="1" customHeight="1" ht="11.25">
      <c r="A141" s="2721"/>
      <c r="B141" s="2074"/>
      <c r="C141" s="1324"/>
      <c r="D141" s="1001"/>
      <c r="E141" s="3383"/>
      <c r="F141" s="2934"/>
      <c r="G141" s="3385"/>
      <c r="H141" s="2953"/>
      <c r="I141" s="3333"/>
      <c r="J141" s="3379"/>
      <c r="K141" s="3381"/>
      <c r="L141" s="1557"/>
      <c r="M141" s="1558"/>
      <c r="N141" s="1559" t="s">
        <v>1886</v>
      </c>
      <c r="O141" s="1559"/>
      <c r="P141" s="1559"/>
      <c r="Q141" s="1559"/>
      <c r="R141" s="1560"/>
      <c r="S141" s="3003"/>
      <c r="T141" s="1629"/>
      <c r="U141" s="1001"/>
      <c r="V141" s="1001"/>
      <c r="AC141" s="1001"/>
    </row>
    <row s="39511" customFormat="1" customHeight="1" ht="11.25">
      <c r="A142" s="2721"/>
      <c r="B142" s="2074"/>
      <c r="C142" s="1324"/>
      <c r="D142" s="1001"/>
      <c r="E142" s="3384"/>
      <c r="F142" s="2934"/>
      <c r="G142" s="3386"/>
      <c r="H142" s="1557" t="s">
        <v>18</v>
      </c>
      <c r="I142" s="1558"/>
      <c r="J142" s="1559" t="s">
        <v>1887</v>
      </c>
      <c r="K142" s="1559"/>
      <c r="L142" s="1559"/>
      <c r="M142" s="1559"/>
      <c r="N142" s="1559"/>
      <c r="O142" s="1559"/>
      <c r="P142" s="1559"/>
      <c r="Q142" s="1559"/>
      <c r="R142" s="1560"/>
      <c r="S142" s="3003"/>
      <c r="T142" s="1629"/>
      <c r="U142" s="1001"/>
      <c r="V142" s="1001"/>
      <c r="AC142" s="1001"/>
    </row>
    <row r="147" s="39511" customFormat="1" customHeight="1" ht="11.25">
      <c r="A147" s="2721"/>
      <c r="B147" s="2074"/>
      <c r="C147" s="1324"/>
      <c r="D147" s="1001"/>
      <c r="E147" s="2745"/>
      <c r="F147" s="2745"/>
      <c r="G147" s="2745"/>
      <c r="H147" s="2953"/>
      <c r="I147" s="3333" t="s">
        <v>994</v>
      </c>
      <c r="J147" s="3379"/>
      <c r="K147" s="3380"/>
      <c r="L147" s="1552"/>
      <c r="M147" s="1553" t="s">
        <v>102</v>
      </c>
      <c r="N147" s="2710"/>
      <c r="O147" s="1554"/>
      <c r="P147" s="1555"/>
      <c r="Q147" s="1554"/>
      <c r="R147" s="1556">
        <v>0</v>
      </c>
      <c r="S147" s="1001"/>
      <c r="T147" s="1629"/>
      <c r="U147" s="1001"/>
      <c r="V147" s="1001"/>
      <c r="AC147" s="1001"/>
    </row>
    <row s="39511" customFormat="1" customHeight="1" ht="11.25">
      <c r="A148" s="2721"/>
      <c r="B148" s="2074"/>
      <c r="C148" s="1324"/>
      <c r="D148" s="1001"/>
      <c r="E148" s="2745"/>
      <c r="F148" s="2745"/>
      <c r="G148" s="2745"/>
      <c r="H148" s="2953"/>
      <c r="I148" s="3333"/>
      <c r="J148" s="3379"/>
      <c r="K148" s="3381"/>
      <c r="L148" s="1557"/>
      <c r="M148" s="1558"/>
      <c r="N148" s="1559" t="s">
        <v>1886</v>
      </c>
      <c r="O148" s="1559"/>
      <c r="P148" s="1559"/>
      <c r="Q148" s="1559"/>
      <c r="R148" s="1560"/>
      <c r="S148" s="1001"/>
      <c r="T148" s="1629"/>
      <c r="U148" s="1001"/>
      <c r="V148" s="1001"/>
      <c r="AC148" s="1001"/>
    </row>
    <row r="150" s="39511" customFormat="1" customHeight="1" ht="11.25">
      <c r="A150" s="2721"/>
      <c r="B150" s="2074"/>
      <c r="C150" s="1324"/>
      <c r="D150" s="1001"/>
      <c r="E150" s="2752"/>
      <c r="F150" s="2750"/>
      <c r="G150" s="2750"/>
      <c r="H150" s="2753"/>
      <c r="I150" s="2745"/>
      <c r="J150" s="2746"/>
      <c r="K150" s="2746"/>
      <c r="L150" s="1552"/>
      <c r="M150" s="1553" t="s">
        <v>102</v>
      </c>
      <c r="N150" s="2710"/>
      <c r="O150" s="1554"/>
      <c r="P150" s="1555"/>
      <c r="Q150" s="1554"/>
      <c r="R150" s="1556">
        <v>0</v>
      </c>
      <c r="S150" s="1001"/>
      <c r="T150" s="1629"/>
      <c r="U150" s="1001"/>
      <c r="V150" s="1001"/>
      <c r="AC150" s="1001"/>
    </row>
    <row r="152" s="41715" customFormat="1" customHeight="1" ht="17.25">
      <c r="A152" s="2730" t="s">
        <v>1888</v>
      </c>
    </row>
    <row customHeight="1" ht="17.25">
      <c r="G153" s="2754"/>
      <c r="H153" s="2754"/>
      <c r="I153" s="2754"/>
      <c r="M153" s="2750"/>
    </row>
    <row s="41850" customFormat="1" customHeight="1" ht="17.25">
      <c r="A154" s="2755"/>
      <c r="C154" s="2757"/>
      <c r="D154" s="3347"/>
      <c r="E154" s="2969"/>
      <c r="F154" s="2971"/>
      <c r="G154" s="3349"/>
      <c r="H154" s="3347"/>
      <c r="I154" s="3347">
        <v>1</v>
      </c>
      <c r="J154" s="3319"/>
      <c r="K154" s="3009" t="s">
        <v>62</v>
      </c>
      <c r="L154" s="2934"/>
      <c r="M154" s="2934" t="s">
        <v>102</v>
      </c>
      <c r="N154" s="3322" t="str">
        <f>IF(Z154="","",INDEX(TERRITORY_MR_LIST,MATCH(Z154,TERRITORY_LIST_ID,0)))</f>
        <v/>
      </c>
      <c r="O154" s="3009" t="s">
        <v>62</v>
      </c>
      <c r="P154" s="2934"/>
      <c r="Q154" s="2934" t="s">
        <v>102</v>
      </c>
      <c r="R154" s="3320" t="s">
        <v>18</v>
      </c>
      <c r="S154" s="2933" t="s">
        <v>62</v>
      </c>
      <c r="T154" s="2726"/>
      <c r="U154" s="2726" t="s">
        <v>102</v>
      </c>
      <c r="V154" s="2758" t="s">
        <v>18</v>
      </c>
      <c r="W154" s="2716"/>
      <c r="Y154" s="2182"/>
      <c r="Z154" s="2182"/>
      <c r="AA154" s="2182"/>
      <c r="AB154" s="2182"/>
      <c r="AC154" s="2182"/>
      <c r="AD154" s="2182"/>
      <c r="AE154" s="2182"/>
      <c r="AF154" s="2182"/>
      <c r="AG154" s="2182"/>
      <c r="AH154" s="2182"/>
      <c r="AI154" s="2182"/>
      <c r="AJ154" s="2182"/>
      <c r="AK154" s="2182"/>
      <c r="AL154" s="2759"/>
      <c r="AM154" s="2759"/>
      <c r="AN154" s="2182"/>
      <c r="AO154" s="2182"/>
      <c r="AP154" s="2182"/>
      <c r="AQ154" s="2182"/>
    </row>
    <row s="41850" customFormat="1" customHeight="1" ht="17.25">
      <c r="A155" s="2755"/>
      <c r="C155" s="2760"/>
      <c r="D155" s="3347"/>
      <c r="E155" s="2969"/>
      <c r="F155" s="2972"/>
      <c r="G155" s="3349"/>
      <c r="H155" s="3347"/>
      <c r="I155" s="3347"/>
      <c r="J155" s="3319"/>
      <c r="K155" s="3010"/>
      <c r="L155" s="2934"/>
      <c r="M155" s="2934"/>
      <c r="N155" s="3322"/>
      <c r="O155" s="3010"/>
      <c r="P155" s="2934"/>
      <c r="Q155" s="2934"/>
      <c r="R155" s="3320"/>
      <c r="S155" s="2933"/>
      <c r="T155" s="1229"/>
      <c r="U155" s="1230"/>
      <c r="V155" s="1230" t="s">
        <v>405</v>
      </c>
      <c r="W155" s="1231"/>
      <c r="Y155" s="2174"/>
      <c r="Z155" s="2174"/>
      <c r="AA155" s="2174"/>
      <c r="AB155" s="2174"/>
      <c r="AC155" s="2174"/>
      <c r="AD155" s="2174"/>
      <c r="AE155" s="2174"/>
      <c r="AF155" s="2174"/>
      <c r="AG155" s="2174"/>
      <c r="AH155" s="2174"/>
      <c r="AI155" s="2174"/>
      <c r="AJ155" s="2174"/>
      <c r="AK155" s="2174"/>
    </row>
    <row s="41850" customFormat="1" customHeight="1" ht="17.25">
      <c r="A156" s="2755"/>
      <c r="C156" s="2760"/>
      <c r="D156" s="3321"/>
      <c r="E156" s="3348"/>
      <c r="F156" s="2972"/>
      <c r="G156" s="3350"/>
      <c r="H156" s="3321"/>
      <c r="I156" s="3321"/>
      <c r="J156" s="3351"/>
      <c r="K156" s="3010"/>
      <c r="L156" s="3321"/>
      <c r="M156" s="3321"/>
      <c r="N156" s="3323"/>
      <c r="O156" s="2938"/>
      <c r="P156" s="1229"/>
      <c r="Q156" s="1230"/>
      <c r="R156" s="1230" t="s">
        <v>406</v>
      </c>
      <c r="S156" s="2761"/>
      <c r="T156" s="2761"/>
      <c r="U156" s="2761"/>
      <c r="V156" s="2761"/>
      <c r="W156" s="1231"/>
      <c r="Y156" s="2174"/>
      <c r="Z156" s="2174"/>
      <c r="AA156" s="2174"/>
      <c r="AB156" s="2174"/>
      <c r="AC156" s="2174"/>
      <c r="AD156" s="2174"/>
      <c r="AE156" s="2174"/>
      <c r="AF156" s="2174"/>
      <c r="AG156" s="2174"/>
      <c r="AH156" s="2174"/>
      <c r="AI156" s="2174"/>
      <c r="AJ156" s="2174"/>
      <c r="AK156" s="2174"/>
    </row>
    <row s="41850" customFormat="1" customHeight="1" ht="17.25">
      <c r="A157" s="2755"/>
      <c r="C157" s="2760"/>
      <c r="D157" s="3321"/>
      <c r="E157" s="3348"/>
      <c r="F157" s="2972"/>
      <c r="G157" s="3350"/>
      <c r="H157" s="3321"/>
      <c r="I157" s="3321"/>
      <c r="J157" s="3351"/>
      <c r="K157" s="2938"/>
      <c r="L157" s="1229"/>
      <c r="M157" s="1230"/>
      <c r="N157" s="1230" t="s">
        <v>407</v>
      </c>
      <c r="O157" s="1230"/>
      <c r="P157" s="1230"/>
      <c r="Q157" s="1230"/>
      <c r="R157" s="1230"/>
      <c r="S157" s="2761"/>
      <c r="T157" s="2761"/>
      <c r="U157" s="2761"/>
      <c r="V157" s="2761"/>
      <c r="W157" s="1231"/>
      <c r="Y157" s="2174"/>
      <c r="Z157" s="2174"/>
      <c r="AA157" s="2174"/>
      <c r="AB157" s="2174"/>
      <c r="AC157" s="2174"/>
      <c r="AD157" s="2174"/>
      <c r="AE157" s="2174"/>
      <c r="AF157" s="2174"/>
      <c r="AG157" s="2174"/>
      <c r="AH157" s="2174"/>
      <c r="AI157" s="2174"/>
      <c r="AJ157" s="2174"/>
      <c r="AK157" s="2174"/>
    </row>
    <row s="41850" customFormat="1" customHeight="1" ht="17.25">
      <c r="A158" s="2755"/>
      <c r="C158" s="2760"/>
      <c r="D158" s="3321"/>
      <c r="E158" s="3348"/>
      <c r="F158" s="2973"/>
      <c r="G158" s="3350"/>
      <c r="H158" s="1229"/>
      <c r="I158" s="1230"/>
      <c r="J158" s="1230" t="s">
        <v>439</v>
      </c>
      <c r="K158" s="1230"/>
      <c r="L158" s="1230"/>
      <c r="M158" s="1230"/>
      <c r="N158" s="1230"/>
      <c r="O158" s="1230"/>
      <c r="P158" s="1230"/>
      <c r="Q158" s="1230"/>
      <c r="R158" s="1230"/>
      <c r="S158" s="2761"/>
      <c r="T158" s="2761"/>
      <c r="U158" s="2761"/>
      <c r="V158" s="2761"/>
      <c r="W158" s="1231"/>
      <c r="Y158" s="2174"/>
      <c r="Z158" s="2174"/>
      <c r="AA158" s="2174"/>
      <c r="AB158" s="2174"/>
      <c r="AC158" s="2174"/>
      <c r="AD158" s="2174"/>
      <c r="AE158" s="2174"/>
      <c r="AF158" s="2174"/>
      <c r="AG158" s="2174"/>
      <c r="AH158" s="2174"/>
      <c r="AI158" s="2174"/>
      <c r="AJ158" s="2174"/>
      <c r="AK158" s="2174"/>
    </row>
    <row customHeight="1" ht="17.25">
      <c r="G159" s="2754"/>
      <c r="H159" s="2754"/>
      <c r="I159" s="2754"/>
      <c r="M159" s="2750"/>
    </row>
    <row s="41850" customFormat="1" customHeight="1" ht="17.25">
      <c r="A160" s="2755"/>
      <c r="C160" s="2757"/>
      <c r="D160" s="2745"/>
      <c r="E160" s="2762"/>
      <c r="F160" s="2699"/>
      <c r="G160" s="2763"/>
      <c r="H160" s="3347"/>
      <c r="I160" s="3347">
        <v>1</v>
      </c>
      <c r="J160" s="3319"/>
      <c r="K160" s="3009" t="s">
        <v>62</v>
      </c>
      <c r="L160" s="2934"/>
      <c r="M160" s="2934" t="s">
        <v>102</v>
      </c>
      <c r="N160" s="3322" t="str">
        <f>IF(Z160="","",INDEX(TERRITORY_MR_LIST,MATCH(Z160,TERRITORY_LIST_ID,0)))</f>
        <v/>
      </c>
      <c r="O160" s="3009" t="s">
        <v>62</v>
      </c>
      <c r="P160" s="2934"/>
      <c r="Q160" s="2934" t="s">
        <v>102</v>
      </c>
      <c r="R160" s="3320" t="s">
        <v>18</v>
      </c>
      <c r="S160" s="2933" t="s">
        <v>62</v>
      </c>
      <c r="T160" s="2726"/>
      <c r="U160" s="2726" t="s">
        <v>102</v>
      </c>
      <c r="V160" s="2758" t="s">
        <v>18</v>
      </c>
      <c r="W160" s="2716"/>
      <c r="Y160" s="2182"/>
      <c r="Z160" s="2182"/>
      <c r="AA160" s="2182"/>
      <c r="AB160" s="2182"/>
      <c r="AC160" s="2182"/>
      <c r="AD160" s="2182"/>
      <c r="AE160" s="2182"/>
      <c r="AF160" s="2182"/>
      <c r="AG160" s="2182"/>
      <c r="AH160" s="2182"/>
      <c r="AI160" s="2182"/>
      <c r="AJ160" s="2182"/>
      <c r="AK160" s="2182"/>
      <c r="AL160" s="2759"/>
      <c r="AM160" s="2759"/>
      <c r="AN160" s="2182"/>
      <c r="AO160" s="2182"/>
      <c r="AP160" s="2182"/>
      <c r="AQ160" s="2182"/>
    </row>
    <row s="41850" customFormat="1" customHeight="1" ht="17.25">
      <c r="A161" s="2755"/>
      <c r="C161" s="2760"/>
      <c r="D161" s="2745"/>
      <c r="E161" s="2762"/>
      <c r="F161" s="2699"/>
      <c r="G161" s="2763"/>
      <c r="H161" s="3347"/>
      <c r="I161" s="3347"/>
      <c r="J161" s="3319"/>
      <c r="K161" s="3010"/>
      <c r="L161" s="2934"/>
      <c r="M161" s="2934"/>
      <c r="N161" s="3322"/>
      <c r="O161" s="3010"/>
      <c r="P161" s="2934"/>
      <c r="Q161" s="2934"/>
      <c r="R161" s="3320"/>
      <c r="S161" s="2933"/>
      <c r="T161" s="1229"/>
      <c r="U161" s="1230"/>
      <c r="V161" s="1230" t="s">
        <v>405</v>
      </c>
      <c r="W161" s="1231"/>
      <c r="Y161" s="2174"/>
      <c r="Z161" s="2174"/>
      <c r="AA161" s="2174"/>
      <c r="AB161" s="2174"/>
      <c r="AC161" s="2174"/>
      <c r="AD161" s="2174"/>
      <c r="AE161" s="2174"/>
      <c r="AF161" s="2174"/>
      <c r="AG161" s="2174"/>
      <c r="AH161" s="2174"/>
      <c r="AI161" s="2174"/>
      <c r="AJ161" s="2174"/>
      <c r="AK161" s="2174"/>
    </row>
    <row s="41850" customFormat="1" customHeight="1" ht="17.25">
      <c r="A162" s="2755"/>
      <c r="C162" s="2760"/>
      <c r="D162" s="2745"/>
      <c r="E162" s="2762"/>
      <c r="F162" s="2699"/>
      <c r="G162" s="2763"/>
      <c r="H162" s="3321"/>
      <c r="I162" s="3321"/>
      <c r="J162" s="3351"/>
      <c r="K162" s="3010"/>
      <c r="L162" s="3321"/>
      <c r="M162" s="3321"/>
      <c r="N162" s="3323"/>
      <c r="O162" s="2938"/>
      <c r="P162" s="1229"/>
      <c r="Q162" s="1230"/>
      <c r="R162" s="1230" t="s">
        <v>406</v>
      </c>
      <c r="S162" s="2761"/>
      <c r="T162" s="2761"/>
      <c r="U162" s="2761"/>
      <c r="V162" s="2761"/>
      <c r="W162" s="1231"/>
      <c r="Y162" s="2174"/>
      <c r="Z162" s="2174"/>
      <c r="AA162" s="2174"/>
      <c r="AB162" s="2174"/>
      <c r="AC162" s="2174"/>
      <c r="AD162" s="2174"/>
      <c r="AE162" s="2174"/>
      <c r="AF162" s="2174"/>
      <c r="AG162" s="2174"/>
      <c r="AH162" s="2174"/>
      <c r="AI162" s="2174"/>
      <c r="AJ162" s="2174"/>
      <c r="AK162" s="2174"/>
    </row>
    <row s="41850" customFormat="1" customHeight="1" ht="17.25">
      <c r="A163" s="2755"/>
      <c r="C163" s="2760"/>
      <c r="D163" s="2745"/>
      <c r="E163" s="2762"/>
      <c r="F163" s="2699"/>
      <c r="G163" s="2763"/>
      <c r="H163" s="3321"/>
      <c r="I163" s="3321"/>
      <c r="J163" s="3351"/>
      <c r="K163" s="2938"/>
      <c r="L163" s="1229"/>
      <c r="M163" s="1230"/>
      <c r="N163" s="1230" t="s">
        <v>407</v>
      </c>
      <c r="O163" s="1230"/>
      <c r="P163" s="1230"/>
      <c r="Q163" s="1230"/>
      <c r="R163" s="1230"/>
      <c r="S163" s="2761"/>
      <c r="T163" s="2761"/>
      <c r="U163" s="2761"/>
      <c r="V163" s="2761"/>
      <c r="W163" s="1231"/>
      <c r="Y163" s="2174"/>
      <c r="Z163" s="2174"/>
      <c r="AA163" s="2174"/>
      <c r="AB163" s="2174"/>
      <c r="AC163" s="2174"/>
      <c r="AD163" s="2174"/>
      <c r="AE163" s="2174"/>
      <c r="AF163" s="2174"/>
      <c r="AG163" s="2174"/>
      <c r="AH163" s="2174"/>
      <c r="AI163" s="2174"/>
      <c r="AJ163" s="2174"/>
      <c r="AK163" s="2174"/>
    </row>
    <row customHeight="1" ht="17.25">
      <c r="G164" s="2754"/>
      <c r="H164" s="2754"/>
      <c r="I164" s="2754"/>
      <c r="M164" s="2750"/>
    </row>
    <row s="41850" customFormat="1" customHeight="1" ht="17.25">
      <c r="A165" s="2755"/>
      <c r="C165" s="2757"/>
      <c r="D165" s="2745"/>
      <c r="E165" s="2762"/>
      <c r="F165" s="2699"/>
      <c r="G165" s="2763"/>
      <c r="H165" s="2745"/>
      <c r="I165" s="2745"/>
      <c r="J165" s="2764"/>
      <c r="K165" s="2675"/>
      <c r="L165" s="2934"/>
      <c r="M165" s="2934" t="s">
        <v>102</v>
      </c>
      <c r="N165" s="3322" t="str">
        <f>IF(Z165="","",INDEX(TERRITORY_MR_LIST,MATCH(Z165,TERRITORY_LIST_ID,0)))</f>
        <v/>
      </c>
      <c r="O165" s="3009" t="s">
        <v>62</v>
      </c>
      <c r="P165" s="2934"/>
      <c r="Q165" s="2934" t="s">
        <v>102</v>
      </c>
      <c r="R165" s="3320" t="s">
        <v>18</v>
      </c>
      <c r="S165" s="2933" t="s">
        <v>62</v>
      </c>
      <c r="T165" s="2726"/>
      <c r="U165" s="2726" t="s">
        <v>102</v>
      </c>
      <c r="V165" s="2758" t="s">
        <v>18</v>
      </c>
      <c r="W165" s="2716"/>
      <c r="Y165" s="2182"/>
      <c r="Z165" s="2182"/>
      <c r="AA165" s="2182"/>
      <c r="AB165" s="2182"/>
      <c r="AC165" s="2182"/>
      <c r="AD165" s="2182"/>
      <c r="AE165" s="2182"/>
      <c r="AF165" s="2182"/>
      <c r="AG165" s="2182"/>
      <c r="AH165" s="2182"/>
      <c r="AI165" s="2182"/>
      <c r="AJ165" s="2182"/>
      <c r="AK165" s="2182"/>
      <c r="AL165" s="2759"/>
      <c r="AM165" s="2759"/>
      <c r="AN165" s="2182"/>
      <c r="AO165" s="2182"/>
      <c r="AP165" s="2182"/>
      <c r="AQ165" s="2182"/>
    </row>
    <row s="41850" customFormat="1" customHeight="1" ht="17.25">
      <c r="A166" s="2755"/>
      <c r="C166" s="2760"/>
      <c r="D166" s="2745"/>
      <c r="E166" s="2762"/>
      <c r="F166" s="2699"/>
      <c r="G166" s="2763"/>
      <c r="H166" s="2745"/>
      <c r="I166" s="2745"/>
      <c r="J166" s="2764"/>
      <c r="K166" s="2675"/>
      <c r="L166" s="2934"/>
      <c r="M166" s="2934"/>
      <c r="N166" s="3322"/>
      <c r="O166" s="3010"/>
      <c r="P166" s="2934"/>
      <c r="Q166" s="2934"/>
      <c r="R166" s="3320"/>
      <c r="S166" s="2933"/>
      <c r="T166" s="1229"/>
      <c r="U166" s="1230"/>
      <c r="V166" s="1230" t="s">
        <v>405</v>
      </c>
      <c r="W166" s="1231"/>
      <c r="Y166" s="2174"/>
      <c r="Z166" s="2174"/>
      <c r="AA166" s="2174"/>
      <c r="AB166" s="2174"/>
      <c r="AC166" s="2174"/>
      <c r="AD166" s="2174"/>
      <c r="AE166" s="2174"/>
      <c r="AF166" s="2174"/>
      <c r="AG166" s="2174"/>
      <c r="AH166" s="2174"/>
      <c r="AI166" s="2174"/>
      <c r="AJ166" s="2174"/>
      <c r="AK166" s="2174"/>
    </row>
    <row s="41850" customFormat="1" customHeight="1" ht="17.25">
      <c r="A167" s="2755"/>
      <c r="C167" s="2760"/>
      <c r="D167" s="2745"/>
      <c r="E167" s="2762"/>
      <c r="F167" s="2699"/>
      <c r="G167" s="2763"/>
      <c r="H167" s="2745"/>
      <c r="I167" s="2745"/>
      <c r="J167" s="2764"/>
      <c r="K167" s="2675"/>
      <c r="L167" s="3321"/>
      <c r="M167" s="3321"/>
      <c r="N167" s="3323"/>
      <c r="O167" s="2938"/>
      <c r="P167" s="1229"/>
      <c r="Q167" s="1230"/>
      <c r="R167" s="1230" t="s">
        <v>406</v>
      </c>
      <c r="S167" s="2761"/>
      <c r="T167" s="2761"/>
      <c r="U167" s="2761"/>
      <c r="V167" s="2761"/>
      <c r="W167" s="1231"/>
      <c r="Y167" s="2174"/>
      <c r="Z167" s="2174"/>
      <c r="AA167" s="2174"/>
      <c r="AB167" s="2174"/>
      <c r="AC167" s="2174"/>
      <c r="AD167" s="2174"/>
      <c r="AE167" s="2174"/>
      <c r="AF167" s="2174"/>
      <c r="AG167" s="2174"/>
      <c r="AH167" s="2174"/>
      <c r="AI167" s="2174"/>
      <c r="AJ167" s="2174"/>
      <c r="AK167" s="2174"/>
    </row>
    <row customHeight="1" ht="17.25">
      <c r="G168" s="2754"/>
      <c r="H168" s="2754"/>
      <c r="I168" s="2754"/>
      <c r="M168" s="2750"/>
    </row>
    <row s="41850" customFormat="1" customHeight="1" ht="17.25">
      <c r="A169" s="2755"/>
      <c r="C169" s="2757"/>
      <c r="D169" s="2745"/>
      <c r="E169" s="2762"/>
      <c r="F169" s="2699"/>
      <c r="G169" s="2763"/>
      <c r="H169" s="2745"/>
      <c r="I169" s="2745"/>
      <c r="J169" s="2764"/>
      <c r="K169" s="2675"/>
      <c r="L169" s="2671"/>
      <c r="M169" s="2671"/>
      <c r="N169" s="2765"/>
      <c r="O169" s="2702"/>
      <c r="P169" s="2934"/>
      <c r="Q169" s="2934" t="s">
        <v>102</v>
      </c>
      <c r="R169" s="3320" t="s">
        <v>18</v>
      </c>
      <c r="S169" s="2933" t="s">
        <v>62</v>
      </c>
      <c r="T169" s="2726"/>
      <c r="U169" s="2726" t="s">
        <v>102</v>
      </c>
      <c r="V169" s="2758" t="s">
        <v>18</v>
      </c>
      <c r="W169" s="2716"/>
      <c r="Y169" s="2182"/>
      <c r="Z169" s="2182"/>
      <c r="AA169" s="2182"/>
      <c r="AB169" s="2182"/>
      <c r="AC169" s="2182"/>
      <c r="AD169" s="2182"/>
      <c r="AE169" s="2182"/>
      <c r="AF169" s="2182"/>
      <c r="AG169" s="2182"/>
      <c r="AH169" s="2182"/>
      <c r="AI169" s="2182"/>
      <c r="AJ169" s="2182"/>
      <c r="AK169" s="2182"/>
      <c r="AL169" s="2759"/>
      <c r="AM169" s="2759"/>
      <c r="AN169" s="2182"/>
      <c r="AO169" s="2182"/>
      <c r="AP169" s="2182"/>
      <c r="AQ169" s="2182"/>
    </row>
    <row s="41850" customFormat="1" customHeight="1" ht="17.25">
      <c r="A170" s="2755"/>
      <c r="C170" s="2760"/>
      <c r="D170" s="2745"/>
      <c r="E170" s="2762"/>
      <c r="F170" s="2699"/>
      <c r="G170" s="2763"/>
      <c r="H170" s="2745"/>
      <c r="I170" s="2745"/>
      <c r="J170" s="2764"/>
      <c r="K170" s="2675"/>
      <c r="L170" s="2671"/>
      <c r="M170" s="2671"/>
      <c r="N170" s="2765"/>
      <c r="O170" s="2702"/>
      <c r="P170" s="2934"/>
      <c r="Q170" s="2934"/>
      <c r="R170" s="3320"/>
      <c r="S170" s="2933"/>
      <c r="T170" s="1229"/>
      <c r="U170" s="1230"/>
      <c r="V170" s="1230" t="s">
        <v>405</v>
      </c>
      <c r="W170" s="1231"/>
      <c r="Y170" s="2174"/>
      <c r="Z170" s="2174"/>
      <c r="AA170" s="2174"/>
      <c r="AB170" s="2174"/>
      <c r="AC170" s="2174"/>
      <c r="AD170" s="2174"/>
      <c r="AE170" s="2174"/>
      <c r="AF170" s="2174"/>
      <c r="AG170" s="2174"/>
      <c r="AH170" s="2174"/>
      <c r="AI170" s="2174"/>
      <c r="AJ170" s="2174"/>
      <c r="AK170" s="2174"/>
    </row>
    <row customHeight="1" ht="17.25">
      <c r="G171" s="2754"/>
      <c r="H171" s="2754"/>
      <c r="I171" s="2754"/>
      <c r="M171" s="2750"/>
    </row>
    <row s="41850" customFormat="1" customHeight="1" ht="17.25">
      <c r="A172" s="2755"/>
      <c r="C172" s="2757"/>
      <c r="D172" s="2745"/>
      <c r="E172" s="2762"/>
      <c r="F172" s="2699"/>
      <c r="G172" s="2763"/>
      <c r="H172" s="2671"/>
      <c r="I172" s="2671"/>
      <c r="J172" s="2672"/>
      <c r="K172" s="2763"/>
      <c r="L172" s="2671"/>
      <c r="M172" s="2671"/>
      <c r="N172" s="2763"/>
      <c r="O172" s="2763"/>
      <c r="P172" s="2671"/>
      <c r="Q172" s="2671"/>
      <c r="R172" s="2673"/>
      <c r="S172" s="2763"/>
      <c r="T172" s="2726"/>
      <c r="U172" s="2726" t="s">
        <v>102</v>
      </c>
      <c r="V172" s="2758" t="s">
        <v>18</v>
      </c>
      <c r="W172" s="2716"/>
      <c r="Y172" s="2182"/>
      <c r="Z172" s="2182"/>
      <c r="AA172" s="2182"/>
      <c r="AB172" s="2182"/>
      <c r="AC172" s="2182"/>
      <c r="AD172" s="2182"/>
      <c r="AE172" s="2182"/>
      <c r="AF172" s="2182"/>
      <c r="AG172" s="2182"/>
      <c r="AH172" s="2182"/>
      <c r="AI172" s="2182"/>
      <c r="AJ172" s="2182"/>
      <c r="AK172" s="2182"/>
      <c r="AL172" s="2759"/>
      <c r="AM172" s="2759"/>
      <c r="AN172" s="2182"/>
      <c r="AO172" s="2182"/>
      <c r="AP172" s="2182"/>
      <c r="AQ172" s="2182"/>
    </row>
    <row r="174" s="41715" customFormat="1" customHeight="1" ht="17.25">
      <c r="A174" s="2730" t="s">
        <v>1889</v>
      </c>
    </row>
    <row customHeight="1" ht="17.25">
      <c r="G175" s="2754"/>
      <c r="H175" s="2754"/>
      <c r="I175" s="2754"/>
      <c r="M175" s="2750"/>
    </row>
    <row s="41850" customFormat="1" customHeight="1" ht="17.25">
      <c r="A176" s="2755"/>
      <c r="C176" s="2757"/>
      <c r="D176" s="3347"/>
      <c r="E176" s="2969"/>
      <c r="F176" s="2971"/>
      <c r="G176" s="3349"/>
      <c r="H176" s="3347"/>
      <c r="I176" s="3347">
        <v>1</v>
      </c>
      <c r="J176" s="3319"/>
      <c r="K176" s="3009" t="s">
        <v>62</v>
      </c>
      <c r="L176" s="2934"/>
      <c r="M176" s="2934" t="s">
        <v>102</v>
      </c>
      <c r="N176" s="3322" t="str">
        <f>IF(Z176="","",INDEX(TERRITORY_MR_LIST,MATCH(Z176,TERRITORY_LIST_ID,0)))</f>
        <v/>
      </c>
      <c r="O176" s="3009" t="s">
        <v>62</v>
      </c>
      <c r="P176" s="2934"/>
      <c r="Q176" s="2934" t="s">
        <v>102</v>
      </c>
      <c r="R176" s="3320" t="s">
        <v>18</v>
      </c>
      <c r="S176" s="3219" t="s">
        <v>52</v>
      </c>
      <c r="T176" s="2717"/>
      <c r="U176" s="2717" t="s">
        <v>102</v>
      </c>
      <c r="V176" s="2349"/>
      <c r="W176" s="3319"/>
      <c r="Y176" s="2182"/>
      <c r="Z176" s="2182"/>
      <c r="AA176" s="2182"/>
      <c r="AB176" s="2182"/>
      <c r="AC176" s="2182"/>
      <c r="AD176" s="2182"/>
      <c r="AE176" s="2182"/>
      <c r="AF176" s="2182"/>
      <c r="AG176" s="2182"/>
      <c r="AH176" s="2182"/>
      <c r="AI176" s="2182"/>
      <c r="AJ176" s="2182"/>
      <c r="AK176" s="2182"/>
      <c r="AL176" s="2759"/>
      <c r="AM176" s="2759"/>
      <c r="AN176" s="2182"/>
      <c r="AO176" s="2182"/>
      <c r="AP176" s="2182"/>
      <c r="AQ176" s="2182"/>
    </row>
    <row s="41850" customFormat="1" customHeight="1" ht="17.25">
      <c r="A177" s="2755"/>
      <c r="C177" s="2760"/>
      <c r="D177" s="3347"/>
      <c r="E177" s="2969"/>
      <c r="F177" s="2972"/>
      <c r="G177" s="3349"/>
      <c r="H177" s="3347"/>
      <c r="I177" s="3347"/>
      <c r="J177" s="3319"/>
      <c r="K177" s="3010"/>
      <c r="L177" s="2934"/>
      <c r="M177" s="2934"/>
      <c r="N177" s="3322"/>
      <c r="O177" s="3010"/>
      <c r="P177" s="2934"/>
      <c r="Q177" s="2934"/>
      <c r="R177" s="3320"/>
      <c r="S177" s="3219"/>
      <c r="T177" s="2350"/>
      <c r="U177" s="2351"/>
      <c r="V177" s="2351"/>
      <c r="W177" s="3319"/>
      <c r="Y177" s="2174"/>
      <c r="Z177" s="2174"/>
      <c r="AA177" s="2174"/>
      <c r="AB177" s="2174"/>
      <c r="AC177" s="2174"/>
      <c r="AD177" s="2174"/>
      <c r="AE177" s="2174"/>
      <c r="AF177" s="2174"/>
      <c r="AG177" s="2174"/>
      <c r="AH177" s="2174"/>
      <c r="AI177" s="2174"/>
      <c r="AJ177" s="2174"/>
      <c r="AK177" s="2174"/>
    </row>
    <row s="41850" customFormat="1" customHeight="1" ht="17.25">
      <c r="A178" s="2755"/>
      <c r="C178" s="2760"/>
      <c r="D178" s="3321"/>
      <c r="E178" s="3348"/>
      <c r="F178" s="2972"/>
      <c r="G178" s="3350"/>
      <c r="H178" s="3321"/>
      <c r="I178" s="3321"/>
      <c r="J178" s="3351"/>
      <c r="K178" s="3010"/>
      <c r="L178" s="3321"/>
      <c r="M178" s="3321"/>
      <c r="N178" s="3323"/>
      <c r="O178" s="2938"/>
      <c r="P178" s="1229"/>
      <c r="Q178" s="1230"/>
      <c r="R178" s="1230" t="s">
        <v>406</v>
      </c>
      <c r="S178" s="2761"/>
      <c r="T178" s="2761"/>
      <c r="U178" s="2761"/>
      <c r="V178" s="2761"/>
      <c r="W178" s="2348"/>
      <c r="Y178" s="2174"/>
      <c r="Z178" s="2174"/>
      <c r="AA178" s="2174"/>
      <c r="AB178" s="2174"/>
      <c r="AC178" s="2174"/>
      <c r="AD178" s="2174"/>
      <c r="AE178" s="2174"/>
      <c r="AF178" s="2174"/>
      <c r="AG178" s="2174"/>
      <c r="AH178" s="2174"/>
      <c r="AI178" s="2174"/>
      <c r="AJ178" s="2174"/>
      <c r="AK178" s="2174"/>
    </row>
    <row s="41850" customFormat="1" customHeight="1" ht="17.25">
      <c r="A179" s="2755"/>
      <c r="C179" s="2760"/>
      <c r="D179" s="3321"/>
      <c r="E179" s="3348"/>
      <c r="F179" s="2972"/>
      <c r="G179" s="3350"/>
      <c r="H179" s="3321"/>
      <c r="I179" s="3321"/>
      <c r="J179" s="3351"/>
      <c r="K179" s="2938"/>
      <c r="L179" s="1229"/>
      <c r="M179" s="1230"/>
      <c r="N179" s="1230" t="s">
        <v>407</v>
      </c>
      <c r="O179" s="1230"/>
      <c r="P179" s="1230"/>
      <c r="Q179" s="1230"/>
      <c r="R179" s="1230"/>
      <c r="S179" s="2761"/>
      <c r="T179" s="2761"/>
      <c r="U179" s="2761"/>
      <c r="V179" s="2761"/>
      <c r="W179" s="1231"/>
      <c r="Y179" s="2174"/>
      <c r="Z179" s="2174"/>
      <c r="AA179" s="2174"/>
      <c r="AB179" s="2174"/>
      <c r="AC179" s="2174"/>
      <c r="AD179" s="2174"/>
      <c r="AE179" s="2174"/>
      <c r="AF179" s="2174"/>
      <c r="AG179" s="2174"/>
      <c r="AH179" s="2174"/>
      <c r="AI179" s="2174"/>
      <c r="AJ179" s="2174"/>
      <c r="AK179" s="2174"/>
    </row>
    <row s="41850" customFormat="1" customHeight="1" ht="17.25">
      <c r="A180" s="2755"/>
      <c r="C180" s="2760"/>
      <c r="D180" s="3321"/>
      <c r="E180" s="3348"/>
      <c r="F180" s="2973"/>
      <c r="G180" s="3350"/>
      <c r="H180" s="1229"/>
      <c r="I180" s="1230"/>
      <c r="J180" s="1230" t="s">
        <v>439</v>
      </c>
      <c r="K180" s="1230"/>
      <c r="L180" s="1230"/>
      <c r="M180" s="1230"/>
      <c r="N180" s="1230"/>
      <c r="O180" s="1230"/>
      <c r="P180" s="1230"/>
      <c r="Q180" s="1230"/>
      <c r="R180" s="1230"/>
      <c r="S180" s="2761"/>
      <c r="T180" s="2761"/>
      <c r="U180" s="2761"/>
      <c r="V180" s="2761"/>
      <c r="W180" s="1231"/>
      <c r="Y180" s="2174"/>
      <c r="Z180" s="2174"/>
      <c r="AA180" s="2174"/>
      <c r="AB180" s="2174"/>
      <c r="AC180" s="2174"/>
      <c r="AD180" s="2174"/>
      <c r="AE180" s="2174"/>
      <c r="AF180" s="2174"/>
      <c r="AG180" s="2174"/>
      <c r="AH180" s="2174"/>
      <c r="AI180" s="2174"/>
      <c r="AJ180" s="2174"/>
      <c r="AK180" s="2174"/>
    </row>
    <row customHeight="1" ht="17.25">
      <c r="A181" s="2766"/>
    </row>
    <row s="41850" customFormat="1" customHeight="1" ht="17.25">
      <c r="A182" s="2755"/>
      <c r="C182" s="2757"/>
      <c r="D182" s="2745"/>
      <c r="E182" s="2762"/>
      <c r="F182" s="2699"/>
      <c r="G182" s="2763"/>
      <c r="H182" s="3347"/>
      <c r="I182" s="3347">
        <v>1</v>
      </c>
      <c r="J182" s="3319"/>
      <c r="K182" s="3009" t="s">
        <v>62</v>
      </c>
      <c r="L182" s="2934"/>
      <c r="M182" s="2934" t="s">
        <v>102</v>
      </c>
      <c r="N182" s="3322" t="str">
        <f>IF(Z182="","",INDEX(TERRITORY_MR_LIST,MATCH(Z182,TERRITORY_LIST_ID,0)))</f>
        <v/>
      </c>
      <c r="O182" s="3009" t="s">
        <v>62</v>
      </c>
      <c r="P182" s="2934"/>
      <c r="Q182" s="2934" t="s">
        <v>102</v>
      </c>
      <c r="R182" s="3320" t="s">
        <v>18</v>
      </c>
      <c r="S182" s="3219" t="s">
        <v>52</v>
      </c>
      <c r="T182" s="2717"/>
      <c r="U182" s="2717" t="s">
        <v>102</v>
      </c>
      <c r="V182" s="2349"/>
      <c r="W182" s="3319"/>
      <c r="Y182" s="2182"/>
      <c r="Z182" s="2182"/>
      <c r="AA182" s="2182"/>
      <c r="AB182" s="2182"/>
      <c r="AC182" s="2182"/>
      <c r="AD182" s="2182"/>
      <c r="AE182" s="2182"/>
      <c r="AF182" s="2182"/>
      <c r="AG182" s="2182"/>
      <c r="AH182" s="2182"/>
      <c r="AI182" s="2182"/>
      <c r="AJ182" s="2182"/>
      <c r="AK182" s="2182"/>
      <c r="AL182" s="2759"/>
      <c r="AM182" s="2759"/>
      <c r="AN182" s="2182"/>
      <c r="AO182" s="2182"/>
      <c r="AP182" s="2182"/>
      <c r="AQ182" s="2182"/>
    </row>
    <row s="41850" customFormat="1" customHeight="1" ht="17.25">
      <c r="A183" s="2755"/>
      <c r="C183" s="2760"/>
      <c r="D183" s="2745"/>
      <c r="E183" s="2762"/>
      <c r="F183" s="2699"/>
      <c r="G183" s="2763"/>
      <c r="H183" s="3347"/>
      <c r="I183" s="3347"/>
      <c r="J183" s="3319"/>
      <c r="K183" s="3010"/>
      <c r="L183" s="2934"/>
      <c r="M183" s="2934"/>
      <c r="N183" s="3322"/>
      <c r="O183" s="3010"/>
      <c r="P183" s="2934"/>
      <c r="Q183" s="2934"/>
      <c r="R183" s="3320"/>
      <c r="S183" s="3219"/>
      <c r="T183" s="2350"/>
      <c r="U183" s="2351"/>
      <c r="V183" s="2351"/>
      <c r="W183" s="3319"/>
      <c r="Y183" s="2174"/>
      <c r="Z183" s="2174"/>
      <c r="AA183" s="2174"/>
      <c r="AB183" s="2174"/>
      <c r="AC183" s="2174"/>
      <c r="AD183" s="2174"/>
      <c r="AE183" s="2174"/>
      <c r="AF183" s="2174"/>
      <c r="AG183" s="2174"/>
      <c r="AH183" s="2174"/>
      <c r="AI183" s="2174"/>
      <c r="AJ183" s="2174"/>
      <c r="AK183" s="2174"/>
    </row>
    <row s="41850" customFormat="1" customHeight="1" ht="17.25">
      <c r="A184" s="2755"/>
      <c r="C184" s="2760"/>
      <c r="D184" s="2745"/>
      <c r="E184" s="2762"/>
      <c r="F184" s="2699"/>
      <c r="G184" s="2763"/>
      <c r="H184" s="3321"/>
      <c r="I184" s="3321"/>
      <c r="J184" s="3351"/>
      <c r="K184" s="3010"/>
      <c r="L184" s="3321"/>
      <c r="M184" s="3321"/>
      <c r="N184" s="3323"/>
      <c r="O184" s="2938"/>
      <c r="P184" s="1229"/>
      <c r="Q184" s="1230"/>
      <c r="R184" s="1230" t="s">
        <v>406</v>
      </c>
      <c r="S184" s="2761"/>
      <c r="T184" s="2761"/>
      <c r="U184" s="2761"/>
      <c r="V184" s="2761"/>
      <c r="W184" s="2348"/>
      <c r="Y184" s="2174"/>
      <c r="Z184" s="2174"/>
      <c r="AA184" s="2174"/>
      <c r="AB184" s="2174"/>
      <c r="AC184" s="2174"/>
      <c r="AD184" s="2174"/>
      <c r="AE184" s="2174"/>
      <c r="AF184" s="2174"/>
      <c r="AG184" s="2174"/>
      <c r="AH184" s="2174"/>
      <c r="AI184" s="2174"/>
      <c r="AJ184" s="2174"/>
      <c r="AK184" s="2174"/>
    </row>
    <row s="41850" customFormat="1" customHeight="1" ht="17.25">
      <c r="A185" s="2755"/>
      <c r="C185" s="2760"/>
      <c r="D185" s="2745"/>
      <c r="E185" s="2762"/>
      <c r="F185" s="2699"/>
      <c r="G185" s="2763"/>
      <c r="H185" s="3321"/>
      <c r="I185" s="3321"/>
      <c r="J185" s="3351"/>
      <c r="K185" s="2938"/>
      <c r="L185" s="1229"/>
      <c r="M185" s="1230"/>
      <c r="N185" s="1230" t="s">
        <v>407</v>
      </c>
      <c r="O185" s="1230"/>
      <c r="P185" s="1230"/>
      <c r="Q185" s="1230"/>
      <c r="R185" s="1230"/>
      <c r="S185" s="2761"/>
      <c r="T185" s="2761"/>
      <c r="U185" s="2761"/>
      <c r="V185" s="2761"/>
      <c r="W185" s="1231"/>
      <c r="Y185" s="2174"/>
      <c r="Z185" s="2174"/>
      <c r="AA185" s="2174"/>
      <c r="AB185" s="2174"/>
      <c r="AC185" s="2174"/>
      <c r="AD185" s="2174"/>
      <c r="AE185" s="2174"/>
      <c r="AF185" s="2174"/>
      <c r="AG185" s="2174"/>
      <c r="AH185" s="2174"/>
      <c r="AI185" s="2174"/>
      <c r="AJ185" s="2174"/>
      <c r="AK185" s="2174"/>
    </row>
    <row customHeight="1" ht="17.25">
      <c r="A186" s="2766"/>
    </row>
    <row s="41850" customFormat="1" customHeight="1" ht="17.25">
      <c r="A187" s="2755"/>
      <c r="C187" s="2757"/>
      <c r="D187" s="2745"/>
      <c r="E187" s="2762"/>
      <c r="F187" s="2699"/>
      <c r="G187" s="2763"/>
      <c r="H187" s="2745"/>
      <c r="I187" s="2745"/>
      <c r="J187" s="2767"/>
      <c r="K187" s="2763"/>
      <c r="L187" s="2934"/>
      <c r="M187" s="2934" t="s">
        <v>102</v>
      </c>
      <c r="N187" s="3322" t="str">
        <f>IF(Z187="","",INDEX(TERRITORY_MR_LIST,MATCH(Z187,TERRITORY_LIST_ID,0)))</f>
        <v/>
      </c>
      <c r="O187" s="3009" t="s">
        <v>62</v>
      </c>
      <c r="P187" s="2934"/>
      <c r="Q187" s="2934" t="s">
        <v>102</v>
      </c>
      <c r="R187" s="3320" t="s">
        <v>18</v>
      </c>
      <c r="S187" s="3219" t="s">
        <v>52</v>
      </c>
      <c r="T187" s="2717"/>
      <c r="U187" s="2717" t="s">
        <v>102</v>
      </c>
      <c r="V187" s="2349"/>
      <c r="W187" s="3319"/>
      <c r="Y187" s="2182"/>
      <c r="Z187" s="2182"/>
      <c r="AA187" s="2182"/>
      <c r="AB187" s="2182"/>
      <c r="AC187" s="2182"/>
      <c r="AD187" s="2182"/>
      <c r="AE187" s="2182"/>
      <c r="AF187" s="2182"/>
      <c r="AG187" s="2182"/>
      <c r="AH187" s="2182"/>
      <c r="AI187" s="2182"/>
      <c r="AJ187" s="2182"/>
      <c r="AK187" s="2182"/>
      <c r="AL187" s="2759"/>
      <c r="AM187" s="2759"/>
      <c r="AN187" s="2182"/>
      <c r="AO187" s="2182"/>
      <c r="AP187" s="2182"/>
      <c r="AQ187" s="2182"/>
    </row>
    <row s="41850" customFormat="1" customHeight="1" ht="17.25">
      <c r="A188" s="2755"/>
      <c r="C188" s="2760"/>
      <c r="D188" s="2745"/>
      <c r="E188" s="2762"/>
      <c r="F188" s="2699"/>
      <c r="G188" s="2763"/>
      <c r="H188" s="2745"/>
      <c r="I188" s="2745"/>
      <c r="J188" s="2767"/>
      <c r="K188" s="2763"/>
      <c r="L188" s="2934"/>
      <c r="M188" s="2934"/>
      <c r="N188" s="3322"/>
      <c r="O188" s="3010"/>
      <c r="P188" s="2934"/>
      <c r="Q188" s="2934"/>
      <c r="R188" s="3320"/>
      <c r="S188" s="3219"/>
      <c r="T188" s="2350"/>
      <c r="U188" s="2351"/>
      <c r="V188" s="2351"/>
      <c r="W188" s="3319"/>
      <c r="Y188" s="2174"/>
      <c r="Z188" s="2174"/>
      <c r="AA188" s="2174"/>
      <c r="AB188" s="2174"/>
      <c r="AC188" s="2174"/>
      <c r="AD188" s="2174"/>
      <c r="AE188" s="2174"/>
      <c r="AF188" s="2174"/>
      <c r="AG188" s="2174"/>
      <c r="AH188" s="2174"/>
      <c r="AI188" s="2174"/>
      <c r="AJ188" s="2174"/>
      <c r="AK188" s="2174"/>
    </row>
    <row s="41850" customFormat="1" customHeight="1" ht="17.25">
      <c r="A189" s="2755"/>
      <c r="C189" s="2760"/>
      <c r="D189" s="2745"/>
      <c r="E189" s="2762"/>
      <c r="F189" s="2699"/>
      <c r="G189" s="2763"/>
      <c r="H189" s="2745"/>
      <c r="I189" s="2745"/>
      <c r="J189" s="2767"/>
      <c r="K189" s="2763"/>
      <c r="L189" s="3321"/>
      <c r="M189" s="3321"/>
      <c r="N189" s="3323"/>
      <c r="O189" s="2938"/>
      <c r="P189" s="1229"/>
      <c r="Q189" s="1230"/>
      <c r="R189" s="1230" t="s">
        <v>406</v>
      </c>
      <c r="S189" s="2761"/>
      <c r="T189" s="2761"/>
      <c r="U189" s="2761"/>
      <c r="V189" s="2761"/>
      <c r="W189" s="2348"/>
      <c r="Y189" s="2174"/>
      <c r="Z189" s="2174"/>
      <c r="AA189" s="2174"/>
      <c r="AB189" s="2174"/>
      <c r="AC189" s="2174"/>
      <c r="AD189" s="2174"/>
      <c r="AE189" s="2174"/>
      <c r="AF189" s="2174"/>
      <c r="AG189" s="2174"/>
      <c r="AH189" s="2174"/>
      <c r="AI189" s="2174"/>
      <c r="AJ189" s="2174"/>
      <c r="AK189" s="2174"/>
    </row>
    <row customHeight="1" ht="17.25">
      <c r="A190" s="2766"/>
    </row>
    <row s="41850" customFormat="1" customHeight="1" ht="17.25">
      <c r="A191" s="2755"/>
      <c r="C191" s="2757"/>
      <c r="D191" s="2745"/>
      <c r="E191" s="2762"/>
      <c r="F191" s="2699"/>
      <c r="G191" s="2763"/>
      <c r="H191" s="2745"/>
      <c r="I191" s="2745"/>
      <c r="J191" s="2767"/>
      <c r="K191" s="2763"/>
      <c r="L191" s="2745"/>
      <c r="M191" s="2745"/>
      <c r="N191" s="2765"/>
      <c r="O191" s="2702"/>
      <c r="P191" s="2934"/>
      <c r="Q191" s="2934" t="s">
        <v>102</v>
      </c>
      <c r="R191" s="3320" t="s">
        <v>18</v>
      </c>
      <c r="S191" s="3219" t="s">
        <v>52</v>
      </c>
      <c r="T191" s="2717"/>
      <c r="U191" s="2717" t="s">
        <v>102</v>
      </c>
      <c r="V191" s="2349"/>
      <c r="W191" s="3319"/>
      <c r="Y191" s="2182"/>
      <c r="Z191" s="2182"/>
      <c r="AA191" s="2182"/>
      <c r="AB191" s="2182"/>
      <c r="AC191" s="2182"/>
      <c r="AD191" s="2182"/>
      <c r="AE191" s="2182"/>
      <c r="AF191" s="2182"/>
      <c r="AG191" s="2182"/>
      <c r="AH191" s="2182"/>
      <c r="AI191" s="2182"/>
      <c r="AJ191" s="2182"/>
      <c r="AK191" s="2182"/>
      <c r="AL191" s="2759"/>
      <c r="AM191" s="2759"/>
      <c r="AN191" s="2182"/>
      <c r="AO191" s="2182"/>
      <c r="AP191" s="2182"/>
      <c r="AQ191" s="2182"/>
    </row>
    <row s="41850" customFormat="1" customHeight="1" ht="17.25">
      <c r="A192" s="2755"/>
      <c r="C192" s="2760"/>
      <c r="D192" s="2745"/>
      <c r="E192" s="2762"/>
      <c r="F192" s="2699"/>
      <c r="G192" s="2763"/>
      <c r="H192" s="2745"/>
      <c r="I192" s="2745"/>
      <c r="J192" s="2767"/>
      <c r="K192" s="2763"/>
      <c r="L192" s="2745"/>
      <c r="M192" s="2745"/>
      <c r="N192" s="2765"/>
      <c r="O192" s="2702"/>
      <c r="P192" s="2934"/>
      <c r="Q192" s="2934"/>
      <c r="R192" s="3320"/>
      <c r="S192" s="3219"/>
      <c r="T192" s="2350"/>
      <c r="U192" s="2351"/>
      <c r="V192" s="2351"/>
      <c r="W192" s="3319"/>
      <c r="Y192" s="2174"/>
      <c r="Z192" s="2174"/>
      <c r="AA192" s="2174"/>
      <c r="AB192" s="2174"/>
      <c r="AC192" s="2174"/>
      <c r="AD192" s="2174"/>
      <c r="AE192" s="2174"/>
      <c r="AF192" s="2174"/>
      <c r="AG192" s="2174"/>
      <c r="AH192" s="2174"/>
      <c r="AI192" s="2174"/>
      <c r="AJ192" s="2174"/>
      <c r="AK192" s="2174"/>
    </row>
    <row customHeight="1" ht="17.25">
      <c r="A193" s="2766"/>
    </row>
    <row customHeight="1" ht="16.5">
      <c r="A194" s="2755"/>
      <c r="B194" s="2756"/>
      <c r="C194" s="2760"/>
      <c r="D194" s="3363"/>
      <c r="E194" s="3003"/>
      <c r="F194" s="3003"/>
      <c r="G194" s="2953"/>
      <c r="H194" s="3364"/>
      <c r="I194" s="3377"/>
      <c r="J194" s="2978"/>
      <c r="K194" s="2963"/>
      <c r="L194" s="2963"/>
      <c r="M194" s="2963"/>
      <c r="N194" s="3375"/>
      <c r="O194" s="2963"/>
      <c r="P194" s="2963"/>
      <c r="Q194" s="2963"/>
      <c r="R194" s="3373"/>
      <c r="S194" s="2963"/>
      <c r="T194" s="2698"/>
      <c r="U194" s="2698"/>
      <c r="V194" s="2768"/>
      <c r="W194" s="2211"/>
    </row>
    <row customHeight="1" ht="16.5">
      <c r="A195" s="2755"/>
      <c r="B195" s="2756"/>
      <c r="C195" s="2760"/>
      <c r="D195" s="3363"/>
      <c r="E195" s="3003"/>
      <c r="F195" s="3003"/>
      <c r="G195" s="2953"/>
      <c r="H195" s="3365"/>
      <c r="I195" s="3378"/>
      <c r="J195" s="2979"/>
      <c r="K195" s="2964"/>
      <c r="L195" s="2964"/>
      <c r="M195" s="2964"/>
      <c r="N195" s="3376"/>
      <c r="O195" s="2964"/>
      <c r="P195" s="2964"/>
      <c r="Q195" s="2964"/>
      <c r="R195" s="3374"/>
      <c r="S195" s="2964"/>
      <c r="T195" s="2212"/>
      <c r="U195" s="2212"/>
      <c r="V195" s="2212"/>
      <c r="W195" s="2213"/>
    </row>
    <row customHeight="1" ht="17.25">
      <c r="A196" s="2755"/>
      <c r="B196" s="2756"/>
      <c r="C196" s="2760"/>
      <c r="D196" s="3363"/>
      <c r="E196" s="3003"/>
      <c r="F196" s="3003"/>
      <c r="G196" s="2953"/>
      <c r="H196" s="3365"/>
      <c r="I196" s="3378"/>
      <c r="J196" s="3366"/>
      <c r="K196" s="2964"/>
      <c r="L196" s="2964"/>
      <c r="M196" s="2964"/>
      <c r="N196" s="3374"/>
      <c r="O196" s="2964"/>
      <c r="P196" s="2701"/>
      <c r="Q196" s="2212"/>
      <c r="R196" s="2212"/>
      <c r="S196" s="2769"/>
      <c r="T196" s="2769"/>
      <c r="U196" s="2769"/>
      <c r="V196" s="2769"/>
      <c r="W196" s="2213"/>
    </row>
    <row customHeight="1" ht="17.25">
      <c r="A197" s="2755"/>
      <c r="B197" s="2756"/>
      <c r="C197" s="2760"/>
      <c r="D197" s="3363"/>
      <c r="E197" s="3003"/>
      <c r="F197" s="3003"/>
      <c r="G197" s="2953"/>
      <c r="H197" s="3365"/>
      <c r="I197" s="3378"/>
      <c r="J197" s="3366"/>
      <c r="K197" s="2964"/>
      <c r="L197" s="2212"/>
      <c r="M197" s="2212"/>
      <c r="N197" s="2212"/>
      <c r="O197" s="2212"/>
      <c r="P197" s="2212"/>
      <c r="Q197" s="2212"/>
      <c r="R197" s="2212"/>
      <c r="S197" s="2769"/>
      <c r="T197" s="2769"/>
      <c r="U197" s="2769"/>
      <c r="V197" s="2769"/>
      <c r="W197" s="2213"/>
    </row>
    <row customHeight="1" ht="17.25">
      <c r="A198" s="2755"/>
      <c r="B198" s="2756"/>
      <c r="C198" s="2760"/>
      <c r="D198" s="3363"/>
      <c r="E198" s="3003"/>
      <c r="F198" s="3003"/>
      <c r="G198" s="2953"/>
      <c r="H198" s="2214"/>
      <c r="I198" s="2215"/>
      <c r="J198" s="2215"/>
      <c r="K198" s="2215"/>
      <c r="L198" s="2215"/>
      <c r="M198" s="2215"/>
      <c r="N198" s="2215"/>
      <c r="O198" s="2215"/>
      <c r="P198" s="2215"/>
      <c r="Q198" s="2215"/>
      <c r="R198" s="2215"/>
      <c r="S198" s="2770"/>
      <c r="T198" s="2770"/>
      <c r="U198" s="2770"/>
      <c r="V198" s="2770"/>
      <c r="W198" s="2217"/>
    </row>
    <row r="200" s="41715" customFormat="1" customHeight="1" ht="17.25">
      <c r="A200" s="2730" t="s">
        <v>1890</v>
      </c>
    </row>
    <row customHeight="1" ht="17.25">
      <c r="G201" s="2754"/>
      <c r="H201" s="2754"/>
      <c r="I201" s="2754"/>
      <c r="M201" s="2750"/>
    </row>
    <row s="39511" customFormat="1" customHeight="1" ht="15">
      <c r="D202" s="3341"/>
      <c r="E202" s="3023"/>
      <c r="F202" s="3023"/>
      <c r="G202" s="3009"/>
      <c r="H202" s="2479"/>
      <c r="I202" s="3345">
        <v>1</v>
      </c>
      <c r="J202" s="3319"/>
      <c r="K202" s="2494"/>
      <c r="L202" s="3009" t="s">
        <v>62</v>
      </c>
      <c r="M202" s="3009" t="s">
        <v>62</v>
      </c>
      <c r="N202" s="2479"/>
      <c r="O202" s="2934" t="s">
        <v>102</v>
      </c>
      <c r="P202" s="3335"/>
      <c r="Q202" s="2495"/>
      <c r="R202" s="3009" t="s">
        <v>62</v>
      </c>
      <c r="S202" s="3009" t="s">
        <v>62</v>
      </c>
      <c r="T202" s="2771"/>
      <c r="U202" s="2934" t="s">
        <v>102</v>
      </c>
      <c r="V202" s="3342" t="str">
        <f>IF(AK202="","",INDEX(TERRITORY_MR_LIST,MATCH(AK202,TERRITORY_LIST_ID,0)))</f>
        <v/>
      </c>
      <c r="W202" s="2496"/>
      <c r="X202" s="3009" t="s">
        <v>62</v>
      </c>
      <c r="Y202" s="3009" t="s">
        <v>52</v>
      </c>
      <c r="Z202" s="2479"/>
      <c r="AA202" s="2934" t="s">
        <v>102</v>
      </c>
      <c r="AB202" s="3344"/>
      <c r="AC202" s="2497"/>
      <c r="AD202" s="3009" t="s">
        <v>62</v>
      </c>
      <c r="AE202" s="3009" t="s">
        <v>52</v>
      </c>
      <c r="AF202" s="2477"/>
      <c r="AG202" s="2726" t="s">
        <v>102</v>
      </c>
      <c r="AH202" s="2487"/>
      <c r="AI202" s="2716"/>
    </row>
    <row s="39511" customFormat="1" customHeight="1" ht="15">
      <c r="D203" s="3341"/>
      <c r="E203" s="3023"/>
      <c r="F203" s="3023"/>
      <c r="G203" s="3010"/>
      <c r="H203" s="2479"/>
      <c r="I203" s="3345"/>
      <c r="J203" s="3319"/>
      <c r="K203" s="2478"/>
      <c r="L203" s="3010"/>
      <c r="M203" s="3010"/>
      <c r="N203" s="2479"/>
      <c r="O203" s="2934"/>
      <c r="P203" s="3335"/>
      <c r="Q203" s="2475"/>
      <c r="R203" s="3010"/>
      <c r="S203" s="3010"/>
      <c r="T203" s="2771"/>
      <c r="U203" s="2934"/>
      <c r="V203" s="3343"/>
      <c r="W203" s="2476"/>
      <c r="X203" s="3010"/>
      <c r="Y203" s="3010"/>
      <c r="Z203" s="2479"/>
      <c r="AA203" s="2934"/>
      <c r="AB203" s="3313"/>
      <c r="AC203" s="2480"/>
      <c r="AD203" s="2938"/>
      <c r="AE203" s="2938"/>
      <c r="AF203" s="2481"/>
      <c r="AG203" s="2482"/>
      <c r="AH203" s="3336" t="s">
        <v>1891</v>
      </c>
      <c r="AI203" s="3337"/>
    </row>
    <row s="39511" customFormat="1" customHeight="1" ht="15">
      <c r="D204" s="3341"/>
      <c r="E204" s="3023"/>
      <c r="F204" s="3023"/>
      <c r="G204" s="3010"/>
      <c r="H204" s="2479"/>
      <c r="I204" s="3345"/>
      <c r="J204" s="3319"/>
      <c r="K204" s="2478"/>
      <c r="L204" s="3010"/>
      <c r="M204" s="3010"/>
      <c r="N204" s="2479"/>
      <c r="O204" s="2934"/>
      <c r="P204" s="3335"/>
      <c r="Q204" s="2475"/>
      <c r="R204" s="3010"/>
      <c r="S204" s="3010"/>
      <c r="T204" s="2771"/>
      <c r="U204" s="2934"/>
      <c r="V204" s="3343"/>
      <c r="W204" s="2476"/>
      <c r="X204" s="3010"/>
      <c r="Y204" s="3010"/>
      <c r="Z204" s="2518"/>
      <c r="AA204" s="2484"/>
      <c r="AB204" s="3338" t="s">
        <v>1892</v>
      </c>
      <c r="AC204" s="3338"/>
      <c r="AD204" s="3338"/>
      <c r="AE204" s="3338"/>
      <c r="AF204" s="3338"/>
      <c r="AG204" s="3338"/>
      <c r="AH204" s="3338"/>
      <c r="AI204" s="3339"/>
    </row>
    <row s="39511" customFormat="1" customHeight="1" ht="15">
      <c r="D205" s="3341"/>
      <c r="E205" s="3023"/>
      <c r="F205" s="3023"/>
      <c r="G205" s="3010"/>
      <c r="H205" s="2479"/>
      <c r="I205" s="3345"/>
      <c r="J205" s="3319"/>
      <c r="K205" s="2478"/>
      <c r="L205" s="3010"/>
      <c r="M205" s="3010"/>
      <c r="N205" s="2479"/>
      <c r="O205" s="2934"/>
      <c r="P205" s="3340"/>
      <c r="Q205" s="2475"/>
      <c r="R205" s="3010"/>
      <c r="S205" s="3010"/>
      <c r="T205" s="2772"/>
      <c r="U205" s="2519"/>
      <c r="V205" s="3336" t="s">
        <v>96</v>
      </c>
      <c r="W205" s="3336"/>
      <c r="X205" s="3336"/>
      <c r="Y205" s="3336"/>
      <c r="Z205" s="3336"/>
      <c r="AA205" s="3336"/>
      <c r="AB205" s="3336"/>
      <c r="AC205" s="3336"/>
      <c r="AD205" s="3336"/>
      <c r="AE205" s="3336"/>
      <c r="AF205" s="3336"/>
      <c r="AG205" s="3336"/>
      <c r="AH205" s="3336"/>
      <c r="AI205" s="3337"/>
    </row>
    <row s="39511" customFormat="1" customHeight="1" ht="11.25">
      <c r="D206" s="3341"/>
      <c r="E206" s="3023"/>
      <c r="F206" s="3023"/>
      <c r="G206" s="3010"/>
      <c r="H206" s="2483"/>
      <c r="I206" s="3345"/>
      <c r="J206" s="3346"/>
      <c r="K206" s="2478"/>
      <c r="L206" s="3010"/>
      <c r="M206" s="3010"/>
      <c r="N206" s="2483"/>
      <c r="O206" s="2484"/>
      <c r="P206" s="3336" t="s">
        <v>1893</v>
      </c>
      <c r="Q206" s="3336"/>
      <c r="R206" s="3336"/>
      <c r="S206" s="3336"/>
      <c r="T206" s="3336"/>
      <c r="U206" s="3336"/>
      <c r="V206" s="3336"/>
      <c r="W206" s="3336"/>
      <c r="X206" s="3336"/>
      <c r="Y206" s="3336"/>
      <c r="Z206" s="3336"/>
      <c r="AA206" s="3336"/>
      <c r="AB206" s="3336"/>
      <c r="AC206" s="3336"/>
      <c r="AD206" s="3336"/>
      <c r="AE206" s="3336"/>
      <c r="AF206" s="3336"/>
      <c r="AG206" s="3336"/>
      <c r="AH206" s="3336"/>
      <c r="AI206" s="3337"/>
    </row>
    <row s="39757" customFormat="1" customHeight="1" ht="11.25">
      <c r="D207" s="3341"/>
      <c r="E207" s="3023"/>
      <c r="F207" s="3023"/>
      <c r="G207" s="2938"/>
      <c r="H207" s="2485"/>
      <c r="I207" s="2486"/>
      <c r="J207" s="3336" t="s">
        <v>439</v>
      </c>
      <c r="K207" s="3336"/>
      <c r="L207" s="3336"/>
      <c r="M207" s="3336"/>
      <c r="N207" s="3336"/>
      <c r="O207" s="3336"/>
      <c r="P207" s="3336"/>
      <c r="Q207" s="3336"/>
      <c r="R207" s="3336"/>
      <c r="S207" s="3336"/>
      <c r="T207" s="3336"/>
      <c r="U207" s="3336"/>
      <c r="V207" s="3336"/>
      <c r="W207" s="3336"/>
      <c r="X207" s="3336"/>
      <c r="Y207" s="3336"/>
      <c r="Z207" s="3336"/>
      <c r="AA207" s="3336"/>
      <c r="AB207" s="3336"/>
      <c r="AC207" s="3336"/>
      <c r="AD207" s="3336"/>
      <c r="AE207" s="3336"/>
      <c r="AF207" s="3336"/>
      <c r="AG207" s="3336"/>
      <c r="AH207" s="3336"/>
      <c r="AI207" s="3337"/>
      <c r="BK207" s="2489"/>
    </row>
    <row customHeight="1" ht="17.25">
      <c r="G208" s="2754"/>
      <c r="I208" s="2754"/>
      <c r="J208" s="2754"/>
      <c r="N208" s="2750"/>
    </row>
    <row s="39511" customFormat="1" customHeight="1" ht="15">
      <c r="D209" s="3341"/>
      <c r="E209" s="3023"/>
      <c r="F209" s="3023"/>
      <c r="G209" s="3003"/>
      <c r="H209" s="2514"/>
      <c r="I209" s="3005"/>
      <c r="J209" s="2978"/>
      <c r="K209" s="2700"/>
      <c r="L209" s="2963"/>
      <c r="M209" s="2963"/>
      <c r="N209" s="2499"/>
      <c r="O209" s="2963"/>
      <c r="P209" s="2978"/>
      <c r="Q209" s="2704"/>
      <c r="R209" s="2963"/>
      <c r="S209" s="2963"/>
      <c r="T209" s="2773"/>
      <c r="U209" s="2963"/>
      <c r="V209" s="2978"/>
      <c r="W209" s="2502"/>
      <c r="X209" s="2963"/>
      <c r="Y209" s="2963"/>
      <c r="Z209" s="2499"/>
      <c r="AA209" s="2963"/>
      <c r="AB209" s="2978"/>
      <c r="AC209" s="2503"/>
      <c r="AD209" s="2963"/>
      <c r="AE209" s="2963"/>
      <c r="AF209" s="2698"/>
      <c r="AG209" s="2698"/>
      <c r="AH209" s="2504"/>
      <c r="AI209" s="2211"/>
    </row>
    <row s="39511" customFormat="1" customHeight="1" ht="15">
      <c r="D210" s="3341"/>
      <c r="E210" s="3023"/>
      <c r="F210" s="3023"/>
      <c r="G210" s="3003"/>
      <c r="H210" s="2515"/>
      <c r="I210" s="3006"/>
      <c r="J210" s="2979"/>
      <c r="K210" s="2525"/>
      <c r="L210" s="2964"/>
      <c r="M210" s="2964"/>
      <c r="N210" s="2505"/>
      <c r="O210" s="2964"/>
      <c r="P210" s="2979"/>
      <c r="Q210" s="2705"/>
      <c r="R210" s="2964"/>
      <c r="S210" s="2964"/>
      <c r="T210" s="2774"/>
      <c r="U210" s="2964"/>
      <c r="V210" s="2979"/>
      <c r="W210" s="2508"/>
      <c r="X210" s="2964"/>
      <c r="Y210" s="2964"/>
      <c r="Z210" s="2505"/>
      <c r="AA210" s="2964"/>
      <c r="AB210" s="2979"/>
      <c r="AC210" s="2509"/>
      <c r="AD210" s="2964"/>
      <c r="AE210" s="2964"/>
      <c r="AF210" s="2703"/>
      <c r="AG210" s="2703"/>
      <c r="AH210" s="3001"/>
      <c r="AI210" s="3002"/>
    </row>
    <row s="39511" customFormat="1" customHeight="1" ht="15">
      <c r="D211" s="3341"/>
      <c r="E211" s="3023"/>
      <c r="F211" s="3023"/>
      <c r="G211" s="3003"/>
      <c r="H211" s="2515"/>
      <c r="I211" s="3006"/>
      <c r="J211" s="2979"/>
      <c r="K211" s="2525"/>
      <c r="L211" s="2964"/>
      <c r="M211" s="2964"/>
      <c r="N211" s="2505"/>
      <c r="O211" s="2964"/>
      <c r="P211" s="2979"/>
      <c r="Q211" s="2705"/>
      <c r="R211" s="2964"/>
      <c r="S211" s="2964"/>
      <c r="T211" s="2774"/>
      <c r="U211" s="2964"/>
      <c r="V211" s="2979"/>
      <c r="W211" s="2508"/>
      <c r="X211" s="2964"/>
      <c r="Y211" s="2964"/>
      <c r="Z211" s="2701"/>
      <c r="AA211" s="2703"/>
      <c r="AB211" s="3001"/>
      <c r="AC211" s="3001"/>
      <c r="AD211" s="3001"/>
      <c r="AE211" s="3001"/>
      <c r="AF211" s="3001"/>
      <c r="AG211" s="3001"/>
      <c r="AH211" s="3001"/>
      <c r="AI211" s="3002"/>
    </row>
    <row s="39511" customFormat="1" customHeight="1" ht="15">
      <c r="D212" s="3341"/>
      <c r="E212" s="3023"/>
      <c r="F212" s="3023"/>
      <c r="G212" s="3003"/>
      <c r="H212" s="2515"/>
      <c r="I212" s="3006"/>
      <c r="J212" s="2979"/>
      <c r="K212" s="2525"/>
      <c r="L212" s="2964"/>
      <c r="M212" s="2964"/>
      <c r="N212" s="2505"/>
      <c r="O212" s="2964"/>
      <c r="P212" s="2979"/>
      <c r="Q212" s="2705"/>
      <c r="R212" s="2964"/>
      <c r="S212" s="2964"/>
      <c r="T212" s="2775"/>
      <c r="U212" s="2512"/>
      <c r="V212" s="3001"/>
      <c r="W212" s="3001"/>
      <c r="X212" s="3001"/>
      <c r="Y212" s="3001"/>
      <c r="Z212" s="3001"/>
      <c r="AA212" s="3001"/>
      <c r="AB212" s="3001"/>
      <c r="AC212" s="3001"/>
      <c r="AD212" s="3001"/>
      <c r="AE212" s="3001"/>
      <c r="AF212" s="3001"/>
      <c r="AG212" s="3001"/>
      <c r="AH212" s="3001"/>
      <c r="AI212" s="3002"/>
    </row>
    <row s="39511" customFormat="1" customHeight="1" ht="11.25">
      <c r="D213" s="3341"/>
      <c r="E213" s="3023"/>
      <c r="F213" s="3023"/>
      <c r="G213" s="3003"/>
      <c r="H213" s="2516"/>
      <c r="I213" s="3006"/>
      <c r="J213" s="2979"/>
      <c r="K213" s="2525"/>
      <c r="L213" s="2964"/>
      <c r="M213" s="2964"/>
      <c r="N213" s="2703"/>
      <c r="O213" s="2703"/>
      <c r="P213" s="3001"/>
      <c r="Q213" s="3001"/>
      <c r="R213" s="3001"/>
      <c r="S213" s="3001"/>
      <c r="T213" s="3001"/>
      <c r="U213" s="3001"/>
      <c r="V213" s="3001"/>
      <c r="W213" s="3001"/>
      <c r="X213" s="3001"/>
      <c r="Y213" s="3001"/>
      <c r="Z213" s="3001"/>
      <c r="AA213" s="3001"/>
      <c r="AB213" s="3001"/>
      <c r="AC213" s="3001"/>
      <c r="AD213" s="3001"/>
      <c r="AE213" s="3001"/>
      <c r="AF213" s="3001"/>
      <c r="AG213" s="3001"/>
      <c r="AH213" s="3001"/>
      <c r="AI213" s="3002"/>
    </row>
    <row s="39757" customFormat="1" customHeight="1" ht="11.25">
      <c r="D214" s="3341"/>
      <c r="E214" s="3023"/>
      <c r="F214" s="3023"/>
      <c r="G214" s="3008"/>
      <c r="H214" s="2513"/>
      <c r="I214" s="2517"/>
      <c r="J214" s="3011"/>
      <c r="K214" s="3011"/>
      <c r="L214" s="3011"/>
      <c r="M214" s="3011"/>
      <c r="N214" s="3011"/>
      <c r="O214" s="3011"/>
      <c r="P214" s="3011"/>
      <c r="Q214" s="3011"/>
      <c r="R214" s="3011"/>
      <c r="S214" s="3011"/>
      <c r="T214" s="3011"/>
      <c r="U214" s="3011"/>
      <c r="V214" s="3011"/>
      <c r="W214" s="3011"/>
      <c r="X214" s="3011"/>
      <c r="Y214" s="3011"/>
      <c r="Z214" s="3011"/>
      <c r="AA214" s="3011"/>
      <c r="AB214" s="3011"/>
      <c r="AC214" s="3011"/>
      <c r="AD214" s="3011"/>
      <c r="AE214" s="3011"/>
      <c r="AF214" s="3011"/>
      <c r="AG214" s="3011"/>
      <c r="AH214" s="3011"/>
      <c r="AI214" s="3012"/>
      <c r="BK214" s="2489"/>
    </row>
    <row customHeight="1" ht="17.25">
      <c r="A215" s="276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8BA31B-BAE8-4B91-72F1-5A723158AF81}"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39829" width="9.140625" hidden="1"/>
    <col min="3" max="4" style="39829" width="3.7109375" customWidth="1"/>
    <col min="5" max="6" style="39829" width="16.00390625" customWidth="1"/>
    <col min="7" max="7" style="39829" width="11.57421875" customWidth="1"/>
    <col min="8" max="9" style="39829" width="3.7109375" customWidth="1"/>
    <col min="10" max="10" style="39829" width="13.140625" customWidth="1"/>
    <col min="11" max="11" style="39829" width="0.28125" customWidth="1"/>
    <col min="12" max="13" style="39829" width="10.7109375" customWidth="1"/>
    <col min="14" max="15" style="39829" width="3.7109375" customWidth="1"/>
    <col min="16" max="16" style="39829" width="19.7109375" customWidth="1"/>
    <col min="17" max="17" style="39829" width="0.28125" customWidth="1"/>
    <col min="18" max="19" style="39829" width="10.7109375" customWidth="1"/>
    <col min="20" max="21" style="39829" width="3.7109375" customWidth="1"/>
    <col min="22" max="22" style="39829" width="25.7109375" customWidth="1"/>
    <col min="23" max="23" style="39829" width="0.28125" customWidth="1"/>
    <col min="24" max="25" style="39829" width="10.7109375" customWidth="1"/>
    <col min="26" max="27" style="39829" width="3.7109375" customWidth="1"/>
    <col min="28" max="28" style="39829" width="16.421875" customWidth="1"/>
    <col min="29" max="29" style="39829" width="0.28125" customWidth="1"/>
    <col min="30" max="31" style="39829" width="10.7109375" customWidth="1"/>
    <col min="32" max="33" style="39829" width="3.7109375" customWidth="1"/>
    <col min="34" max="34" style="39829" width="8.7109375" customWidth="1"/>
    <col min="35" max="35" style="39829" width="21.7109375" customWidth="1"/>
    <col min="36" max="36" style="39511" width="9.140625"/>
    <col min="37" max="37" style="39830" width="9.140625"/>
    <col min="38" max="64" style="39511" width="9.140625"/>
  </cols>
  <sheetData>
    <row s="39753" customFormat="1" customHeight="1" ht="11.25" hidden="1">
      <c r="AJ1" s="1334"/>
      <c r="AK1" s="1334"/>
      <c r="AL1" s="1334"/>
      <c r="AM1" s="1334"/>
      <c r="AN1" s="1334"/>
      <c r="AO1" s="1334"/>
      <c r="AP1" s="1334"/>
      <c r="AQ1" s="1334"/>
      <c r="AR1" s="1334"/>
      <c r="AS1" s="1334"/>
      <c r="AT1" s="1334"/>
      <c r="AU1" s="1334"/>
      <c r="AV1" s="1334"/>
      <c r="AW1" s="1334"/>
      <c r="AX1" s="1334"/>
      <c r="AY1" s="1334"/>
      <c r="AZ1" s="1334"/>
      <c r="BA1" s="1334"/>
      <c r="BB1" s="1334"/>
      <c r="BC1" s="1334"/>
      <c r="BD1" s="1334"/>
      <c r="BE1" s="1334"/>
      <c r="BF1" s="1334"/>
      <c r="BG1" s="1334"/>
      <c r="BH1" s="1334"/>
      <c r="BI1" s="1334"/>
      <c r="BJ1" s="1334"/>
      <c r="BK1" s="1334"/>
      <c r="BL1" s="1334"/>
    </row>
    <row s="39754" customFormat="1" customHeight="1" ht="11.25" hidden="1">
      <c r="L2" s="2468" t="s">
        <v>270</v>
      </c>
      <c r="M2" s="2468" t="s">
        <v>271</v>
      </c>
      <c r="R2" s="2468" t="s">
        <v>272</v>
      </c>
      <c r="S2" s="2468" t="s">
        <v>271</v>
      </c>
      <c r="X2" s="2468" t="s">
        <v>270</v>
      </c>
      <c r="Y2" s="2468" t="s">
        <v>271</v>
      </c>
      <c r="AD2" s="2468" t="s">
        <v>270</v>
      </c>
      <c r="AE2" s="2468" t="s">
        <v>271</v>
      </c>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row>
    <row s="39757" customFormat="1" customHeight="1" ht="11.25">
      <c r="AJ3" s="2489"/>
      <c r="AK3" s="1218"/>
      <c r="AL3" s="2489"/>
      <c r="AM3" s="2489"/>
      <c r="AN3" s="2489"/>
      <c r="AO3" s="2489"/>
      <c r="AP3" s="2489"/>
      <c r="AQ3" s="2489"/>
      <c r="AR3" s="2489"/>
      <c r="AS3" s="2489"/>
      <c r="AT3" s="2489"/>
      <c r="AU3" s="2489"/>
      <c r="AV3" s="2489"/>
      <c r="AW3" s="2489"/>
      <c r="AX3" s="2489"/>
      <c r="AY3" s="2489"/>
      <c r="AZ3" s="2489"/>
      <c r="BA3" s="2489"/>
      <c r="BB3" s="2489"/>
      <c r="BC3" s="2489"/>
      <c r="BD3" s="2489"/>
      <c r="BE3" s="2489"/>
      <c r="BF3" s="2489"/>
      <c r="BG3" s="2489"/>
      <c r="BH3" s="2489"/>
      <c r="BI3" s="2489"/>
      <c r="BJ3" s="2489"/>
      <c r="BK3" s="2489"/>
      <c r="BL3" s="2489"/>
    </row>
    <row s="39502" customFormat="1" customHeight="1" ht="33">
      <c r="A4" s="2070"/>
      <c r="B4" s="2069"/>
      <c r="C4" s="2430"/>
      <c r="D4" s="3015" t="s">
        <v>273</v>
      </c>
      <c r="E4" s="3015"/>
      <c r="F4" s="3015"/>
      <c r="G4" s="3015"/>
      <c r="H4" s="3015"/>
      <c r="I4" s="3015"/>
      <c r="J4" s="3015"/>
      <c r="K4" s="1611"/>
      <c r="T4" s="2470"/>
      <c r="AJ4" s="2491"/>
      <c r="AK4" s="2492"/>
      <c r="AL4" s="2491"/>
      <c r="AM4" s="2491"/>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row>
    <row s="39768" customFormat="1" customHeight="1" ht="14.25">
      <c r="A5" s="2547"/>
      <c r="B5" s="2546"/>
      <c r="C5" s="2430"/>
      <c r="D5" s="3000" t="str">
        <f>IF(org=0,"Не определено",org)</f>
        <v>ПАО "ТГК-1" филиал "Невский"</v>
      </c>
      <c r="E5" s="3000"/>
      <c r="F5" s="3000"/>
      <c r="G5" s="3000"/>
      <c r="H5" s="3000"/>
      <c r="I5" s="3000"/>
      <c r="J5" s="3000"/>
      <c r="K5" s="1611"/>
      <c r="T5" s="2470"/>
      <c r="AJ5" s="2491"/>
      <c r="AK5" s="2492"/>
      <c r="AL5" s="2491"/>
      <c r="AM5" s="2491"/>
      <c r="AN5" s="2491"/>
      <c r="AO5" s="2491"/>
      <c r="AP5" s="2491"/>
      <c r="AQ5" s="2491"/>
      <c r="AR5" s="2491"/>
      <c r="AS5" s="2491"/>
      <c r="AT5" s="2491"/>
      <c r="AU5" s="2491"/>
      <c r="AV5" s="2491"/>
      <c r="AW5" s="2491"/>
      <c r="AX5" s="2491"/>
      <c r="AY5" s="2491"/>
      <c r="AZ5" s="2491"/>
      <c r="BA5" s="2491"/>
      <c r="BB5" s="2491"/>
      <c r="BC5" s="2491"/>
      <c r="BD5" s="2491"/>
      <c r="BE5" s="2491"/>
      <c r="BF5" s="2491"/>
      <c r="BG5" s="2491"/>
      <c r="BH5" s="2491"/>
      <c r="BI5" s="2491"/>
      <c r="BJ5" s="2491"/>
      <c r="BK5" s="2491"/>
      <c r="BL5" s="2491"/>
    </row>
    <row s="39502" customFormat="1" customHeight="1" ht="14.25">
      <c r="A6" s="2070"/>
      <c r="B6" s="2069"/>
      <c r="C6" s="2430"/>
      <c r="D6" s="1611"/>
      <c r="E6" s="1611"/>
      <c r="F6" s="1611"/>
      <c r="G6" s="1611"/>
      <c r="H6" s="1611"/>
      <c r="I6" s="1611"/>
      <c r="J6" s="1611"/>
      <c r="K6" s="1611"/>
      <c r="T6" s="2470"/>
      <c r="AJ6" s="2491"/>
      <c r="AK6" s="2492"/>
      <c r="AL6" s="2491"/>
      <c r="AM6" s="2491"/>
      <c r="AN6" s="2491"/>
      <c r="AO6" s="2491"/>
      <c r="AP6" s="2491"/>
      <c r="AQ6" s="2491"/>
      <c r="AR6" s="2491"/>
      <c r="AS6" s="2491"/>
      <c r="AT6" s="2491"/>
      <c r="AU6" s="2491"/>
      <c r="AV6" s="2491"/>
      <c r="AW6" s="2491"/>
      <c r="AX6" s="2491"/>
      <c r="AY6" s="2491"/>
      <c r="AZ6" s="2491"/>
      <c r="BA6" s="2491"/>
      <c r="BB6" s="2491"/>
      <c r="BC6" s="2491"/>
      <c r="BD6" s="2491"/>
      <c r="BE6" s="2491"/>
      <c r="BF6" s="2491"/>
      <c r="BG6" s="2491"/>
      <c r="BH6" s="2491"/>
      <c r="BI6" s="2491"/>
      <c r="BJ6" s="2491"/>
      <c r="BK6" s="2491"/>
      <c r="BL6" s="2491"/>
    </row>
    <row s="39753" customFormat="1" customHeight="1" ht="0.75">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row>
    <row customHeight="1" ht="31.5">
      <c r="D8" s="2953" t="s">
        <v>84</v>
      </c>
      <c r="E8" s="2953" t="s">
        <v>98</v>
      </c>
      <c r="F8" s="3016" t="s">
        <v>115</v>
      </c>
      <c r="G8" s="3017"/>
      <c r="H8" s="3016" t="s">
        <v>84</v>
      </c>
      <c r="I8" s="3017"/>
      <c r="J8" s="2953" t="s">
        <v>116</v>
      </c>
      <c r="K8" s="2471"/>
      <c r="L8" s="3020" t="s">
        <v>274</v>
      </c>
      <c r="M8" s="3020"/>
      <c r="N8" s="3020"/>
      <c r="O8" s="3020"/>
      <c r="P8" s="3020"/>
      <c r="Q8" s="2472"/>
      <c r="R8" s="2922" t="s">
        <v>275</v>
      </c>
      <c r="S8" s="3021"/>
      <c r="T8" s="3021"/>
      <c r="U8" s="3021"/>
      <c r="V8" s="3021"/>
      <c r="W8" s="2472"/>
      <c r="X8" s="3022" t="s">
        <v>276</v>
      </c>
      <c r="Y8" s="3022"/>
      <c r="Z8" s="3022"/>
      <c r="AA8" s="3022"/>
      <c r="AB8" s="3022"/>
      <c r="AC8" s="2473"/>
      <c r="AD8" s="2953" t="s">
        <v>277</v>
      </c>
      <c r="AE8" s="2953"/>
      <c r="AF8" s="2953"/>
      <c r="AG8" s="2953"/>
      <c r="AH8" s="2927"/>
      <c r="AI8" s="2953" t="s">
        <v>278</v>
      </c>
      <c r="AJ8" s="2489"/>
    </row>
    <row customHeight="1" ht="22.5">
      <c r="D9" s="2953"/>
      <c r="E9" s="2953"/>
      <c r="F9" s="2999" t="s">
        <v>85</v>
      </c>
      <c r="G9" s="2999" t="s">
        <v>121</v>
      </c>
      <c r="H9" s="3018"/>
      <c r="I9" s="3019"/>
      <c r="J9" s="2927"/>
      <c r="K9" s="2474"/>
      <c r="L9" s="2953" t="s">
        <v>279</v>
      </c>
      <c r="M9" s="2927"/>
      <c r="N9" s="3016" t="s">
        <v>84</v>
      </c>
      <c r="O9" s="3017"/>
      <c r="P9" s="2953" t="s">
        <v>122</v>
      </c>
      <c r="Q9" s="2471"/>
      <c r="R9" s="2953" t="s">
        <v>279</v>
      </c>
      <c r="S9" s="2927"/>
      <c r="T9" s="3016" t="s">
        <v>84</v>
      </c>
      <c r="U9" s="3017"/>
      <c r="V9" s="2953" t="s">
        <v>122</v>
      </c>
      <c r="W9" s="2471"/>
      <c r="X9" s="2953" t="s">
        <v>279</v>
      </c>
      <c r="Y9" s="2927"/>
      <c r="Z9" s="3016" t="s">
        <v>84</v>
      </c>
      <c r="AA9" s="3017"/>
      <c r="AB9" s="2953" t="s">
        <v>280</v>
      </c>
      <c r="AC9" s="2471"/>
      <c r="AD9" s="2953" t="s">
        <v>279</v>
      </c>
      <c r="AE9" s="2927"/>
      <c r="AF9" s="3016" t="s">
        <v>84</v>
      </c>
      <c r="AG9" s="3017"/>
      <c r="AH9" s="2927" t="s">
        <v>280</v>
      </c>
      <c r="AI9" s="2953"/>
      <c r="AJ9" s="2489"/>
    </row>
    <row customHeight="1" ht="22.5">
      <c r="D10" s="2999"/>
      <c r="E10" s="2999"/>
      <c r="F10" s="3023"/>
      <c r="G10" s="3023"/>
      <c r="H10" s="3024"/>
      <c r="I10" s="3025"/>
      <c r="J10" s="3016"/>
      <c r="K10" s="2474"/>
      <c r="L10" s="2493" t="s">
        <v>281</v>
      </c>
      <c r="M10" s="2488" t="s">
        <v>282</v>
      </c>
      <c r="N10" s="3018"/>
      <c r="O10" s="3019"/>
      <c r="P10" s="2999"/>
      <c r="Q10" s="2471"/>
      <c r="R10" s="2493" t="s">
        <v>281</v>
      </c>
      <c r="S10" s="2488" t="s">
        <v>282</v>
      </c>
      <c r="T10" s="3018"/>
      <c r="U10" s="3019"/>
      <c r="V10" s="2999"/>
      <c r="W10" s="2471"/>
      <c r="X10" s="2493" t="s">
        <v>281</v>
      </c>
      <c r="Y10" s="2488" t="s">
        <v>282</v>
      </c>
      <c r="Z10" s="3018"/>
      <c r="AA10" s="3019"/>
      <c r="AB10" s="2999"/>
      <c r="AC10" s="2471"/>
      <c r="AD10" s="2493" t="s">
        <v>281</v>
      </c>
      <c r="AE10" s="2488" t="s">
        <v>282</v>
      </c>
      <c r="AF10" s="3018"/>
      <c r="AG10" s="3019"/>
      <c r="AH10" s="3016"/>
      <c r="AI10" s="2999"/>
      <c r="AJ10" s="2489"/>
      <c r="AK10" s="1166" t="s">
        <v>283</v>
      </c>
      <c r="AL10" s="1166" t="s">
        <v>123</v>
      </c>
    </row>
    <row customHeight="1" ht="14.25">
      <c r="D11" s="3007" t="s">
        <v>102</v>
      </c>
      <c r="E11" s="3003" t="s">
        <v>284</v>
      </c>
      <c r="F11" s="3003" t="s">
        <v>285</v>
      </c>
      <c r="G11" s="3009" t="s">
        <v>52</v>
      </c>
      <c r="H11" s="2514"/>
      <c r="I11" s="3005"/>
      <c r="J11" s="2978"/>
      <c r="K11" s="2429"/>
      <c r="L11" s="2963"/>
      <c r="M11" s="2963"/>
      <c r="N11" s="2499"/>
      <c r="O11" s="2963"/>
      <c r="P11" s="2978"/>
      <c r="Q11" s="2500"/>
      <c r="R11" s="2963"/>
      <c r="S11" s="2963"/>
      <c r="T11" s="2501"/>
      <c r="U11" s="2963"/>
      <c r="V11" s="2978"/>
      <c r="W11" s="2502"/>
      <c r="X11" s="2963"/>
      <c r="Y11" s="2963"/>
      <c r="Z11" s="2499"/>
      <c r="AA11" s="2963"/>
      <c r="AB11" s="2978"/>
      <c r="AC11" s="2503"/>
      <c r="AD11" s="2963"/>
      <c r="AE11" s="2963"/>
      <c r="AF11" s="2428"/>
      <c r="AG11" s="2428"/>
      <c r="AH11" s="2504"/>
      <c r="AI11" s="2211"/>
      <c r="AJ11" s="2489"/>
    </row>
    <row customHeight="1" ht="14.25">
      <c r="D12" s="3007"/>
      <c r="E12" s="3003"/>
      <c r="F12" s="3003"/>
      <c r="G12" s="3010"/>
      <c r="H12" s="2515"/>
      <c r="I12" s="3006"/>
      <c r="J12" s="2979"/>
      <c r="K12" s="2525"/>
      <c r="L12" s="2964"/>
      <c r="M12" s="2964"/>
      <c r="N12" s="2505"/>
      <c r="O12" s="2964"/>
      <c r="P12" s="2979"/>
      <c r="Q12" s="2506"/>
      <c r="R12" s="2964"/>
      <c r="S12" s="2964"/>
      <c r="T12" s="2507"/>
      <c r="U12" s="2964"/>
      <c r="V12" s="2979"/>
      <c r="W12" s="2508"/>
      <c r="X12" s="2964"/>
      <c r="Y12" s="2964"/>
      <c r="Z12" s="2505"/>
      <c r="AA12" s="2964"/>
      <c r="AB12" s="2979"/>
      <c r="AC12" s="2509"/>
      <c r="AD12" s="2964"/>
      <c r="AE12" s="2964"/>
      <c r="AF12" s="2510"/>
      <c r="AG12" s="2510"/>
      <c r="AH12" s="3001"/>
      <c r="AI12" s="3002"/>
      <c r="AJ12" s="2489"/>
    </row>
    <row customHeight="1" ht="14.25">
      <c r="D13" s="3007"/>
      <c r="E13" s="3003"/>
      <c r="F13" s="3003"/>
      <c r="G13" s="3010"/>
      <c r="H13" s="2515"/>
      <c r="I13" s="3006"/>
      <c r="J13" s="2979"/>
      <c r="K13" s="2525"/>
      <c r="L13" s="2964"/>
      <c r="M13" s="2964"/>
      <c r="N13" s="2505"/>
      <c r="O13" s="2964"/>
      <c r="P13" s="2979"/>
      <c r="Q13" s="2506"/>
      <c r="R13" s="2964"/>
      <c r="S13" s="2964"/>
      <c r="T13" s="2507"/>
      <c r="U13" s="2964"/>
      <c r="V13" s="2979"/>
      <c r="W13" s="2508"/>
      <c r="X13" s="2964"/>
      <c r="Y13" s="2964"/>
      <c r="Z13" s="2427"/>
      <c r="AA13" s="2510"/>
      <c r="AB13" s="3001"/>
      <c r="AC13" s="3001"/>
      <c r="AD13" s="3001"/>
      <c r="AE13" s="3001"/>
      <c r="AF13" s="3001"/>
      <c r="AG13" s="3001"/>
      <c r="AH13" s="3001"/>
      <c r="AI13" s="3002"/>
      <c r="AJ13" s="2489"/>
    </row>
    <row customHeight="1" ht="14.25">
      <c r="D14" s="3007"/>
      <c r="E14" s="3003"/>
      <c r="F14" s="3003"/>
      <c r="G14" s="3010"/>
      <c r="H14" s="2515"/>
      <c r="I14" s="3006"/>
      <c r="J14" s="2979"/>
      <c r="K14" s="2525"/>
      <c r="L14" s="2964"/>
      <c r="M14" s="2964"/>
      <c r="N14" s="2505"/>
      <c r="O14" s="2964"/>
      <c r="P14" s="2979"/>
      <c r="Q14" s="2506"/>
      <c r="R14" s="2964"/>
      <c r="S14" s="2964"/>
      <c r="T14" s="2511"/>
      <c r="U14" s="2512"/>
      <c r="V14" s="3001"/>
      <c r="W14" s="3001"/>
      <c r="X14" s="3001"/>
      <c r="Y14" s="3001"/>
      <c r="Z14" s="3001"/>
      <c r="AA14" s="3001"/>
      <c r="AB14" s="3001"/>
      <c r="AC14" s="3001"/>
      <c r="AD14" s="3001"/>
      <c r="AE14" s="3001"/>
      <c r="AF14" s="3001"/>
      <c r="AG14" s="3001"/>
      <c r="AH14" s="3001"/>
      <c r="AI14" s="3002"/>
      <c r="AJ14" s="2489"/>
    </row>
    <row customHeight="1" ht="11.25">
      <c r="D15" s="3007"/>
      <c r="E15" s="3003"/>
      <c r="F15" s="3003"/>
      <c r="G15" s="3010"/>
      <c r="H15" s="2516"/>
      <c r="I15" s="3006"/>
      <c r="J15" s="2979"/>
      <c r="K15" s="2525"/>
      <c r="L15" s="2964"/>
      <c r="M15" s="2964"/>
      <c r="N15" s="2510"/>
      <c r="O15" s="2510"/>
      <c r="P15" s="3001"/>
      <c r="Q15" s="3001"/>
      <c r="R15" s="3001"/>
      <c r="S15" s="3001"/>
      <c r="T15" s="3001"/>
      <c r="U15" s="3001"/>
      <c r="V15" s="3001"/>
      <c r="W15" s="3001"/>
      <c r="X15" s="3001"/>
      <c r="Y15" s="3001"/>
      <c r="Z15" s="3001"/>
      <c r="AA15" s="3001"/>
      <c r="AB15" s="3001"/>
      <c r="AC15" s="3001"/>
      <c r="AD15" s="3001"/>
      <c r="AE15" s="3001"/>
      <c r="AF15" s="3001"/>
      <c r="AG15" s="3001"/>
      <c r="AH15" s="3001"/>
      <c r="AI15" s="3002"/>
      <c r="AJ15" s="2489"/>
    </row>
    <row s="39757" customFormat="1" customHeight="1" ht="11.25">
      <c r="D16" s="3013"/>
      <c r="E16" s="3014"/>
      <c r="F16" s="3004"/>
      <c r="G16" s="2938"/>
      <c r="H16" s="2513"/>
      <c r="I16" s="2517"/>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2"/>
      <c r="AJ16" s="2489"/>
      <c r="AK16" s="1218"/>
      <c r="AL16" s="2489"/>
      <c r="AM16" s="2489"/>
      <c r="AN16" s="2489"/>
      <c r="AO16" s="2489"/>
      <c r="AP16" s="2489"/>
      <c r="AQ16" s="2489"/>
      <c r="AR16" s="2489"/>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row>
    <row customHeight="1" ht="14.25">
      <c r="D17" s="3007" t="s">
        <v>103</v>
      </c>
      <c r="E17" s="3003" t="s">
        <v>284</v>
      </c>
      <c r="F17" s="3003" t="s">
        <v>286</v>
      </c>
      <c r="G17" s="3009" t="s">
        <v>52</v>
      </c>
      <c r="H17" s="2514"/>
      <c r="I17" s="3005"/>
      <c r="J17" s="2978"/>
      <c r="K17" s="2429"/>
      <c r="L17" s="2963"/>
      <c r="M17" s="2963"/>
      <c r="N17" s="2499"/>
      <c r="O17" s="2963"/>
      <c r="P17" s="2978"/>
      <c r="Q17" s="2500"/>
      <c r="R17" s="2963"/>
      <c r="S17" s="2963"/>
      <c r="T17" s="2501"/>
      <c r="U17" s="2963"/>
      <c r="V17" s="2978"/>
      <c r="W17" s="2502"/>
      <c r="X17" s="2963"/>
      <c r="Y17" s="2963"/>
      <c r="Z17" s="2499"/>
      <c r="AA17" s="2963"/>
      <c r="AB17" s="2978"/>
      <c r="AC17" s="2503"/>
      <c r="AD17" s="2963"/>
      <c r="AE17" s="2963"/>
      <c r="AF17" s="2428"/>
      <c r="AG17" s="2428"/>
      <c r="AH17" s="2504"/>
      <c r="AI17" s="2211"/>
      <c r="AJ17" s="2489"/>
    </row>
    <row customHeight="1" ht="14.25">
      <c r="D18" s="3007"/>
      <c r="E18" s="3003"/>
      <c r="F18" s="3003"/>
      <c r="G18" s="3010"/>
      <c r="H18" s="2515"/>
      <c r="I18" s="3006"/>
      <c r="J18" s="2979"/>
      <c r="K18" s="2498"/>
      <c r="L18" s="2964"/>
      <c r="M18" s="2964"/>
      <c r="N18" s="2505"/>
      <c r="O18" s="2964"/>
      <c r="P18" s="2979"/>
      <c r="Q18" s="2506"/>
      <c r="R18" s="2964"/>
      <c r="S18" s="2964"/>
      <c r="T18" s="2507"/>
      <c r="U18" s="2964"/>
      <c r="V18" s="2979"/>
      <c r="W18" s="2508"/>
      <c r="X18" s="2964"/>
      <c r="Y18" s="2964"/>
      <c r="Z18" s="2505"/>
      <c r="AA18" s="2964"/>
      <c r="AB18" s="2979"/>
      <c r="AC18" s="2509"/>
      <c r="AD18" s="2964"/>
      <c r="AE18" s="2964"/>
      <c r="AF18" s="2510"/>
      <c r="AG18" s="2510"/>
      <c r="AH18" s="3001"/>
      <c r="AI18" s="3002"/>
      <c r="AJ18" s="2489"/>
    </row>
    <row customHeight="1" ht="14.25">
      <c r="D19" s="3007"/>
      <c r="E19" s="3003"/>
      <c r="F19" s="3003"/>
      <c r="G19" s="3010"/>
      <c r="H19" s="2515"/>
      <c r="I19" s="3006"/>
      <c r="J19" s="2979"/>
      <c r="K19" s="2498"/>
      <c r="L19" s="2964"/>
      <c r="M19" s="2964"/>
      <c r="N19" s="2505"/>
      <c r="O19" s="2964"/>
      <c r="P19" s="2979"/>
      <c r="Q19" s="2506"/>
      <c r="R19" s="2964"/>
      <c r="S19" s="2964"/>
      <c r="T19" s="2507"/>
      <c r="U19" s="2964"/>
      <c r="V19" s="2979"/>
      <c r="W19" s="2508"/>
      <c r="X19" s="2964"/>
      <c r="Y19" s="2964"/>
      <c r="Z19" s="2427"/>
      <c r="AA19" s="2510"/>
      <c r="AB19" s="3001"/>
      <c r="AC19" s="3001"/>
      <c r="AD19" s="3001"/>
      <c r="AE19" s="3001"/>
      <c r="AF19" s="3001"/>
      <c r="AG19" s="3001"/>
      <c r="AH19" s="3001"/>
      <c r="AI19" s="3002"/>
      <c r="AJ19" s="2489"/>
    </row>
    <row customHeight="1" ht="14.25">
      <c r="D20" s="3007"/>
      <c r="E20" s="3003"/>
      <c r="F20" s="3003"/>
      <c r="G20" s="3010"/>
      <c r="H20" s="2515"/>
      <c r="I20" s="3006"/>
      <c r="J20" s="2979"/>
      <c r="K20" s="2498"/>
      <c r="L20" s="2964"/>
      <c r="M20" s="2964"/>
      <c r="N20" s="2505"/>
      <c r="O20" s="2964"/>
      <c r="P20" s="2979"/>
      <c r="Q20" s="2506"/>
      <c r="R20" s="2964"/>
      <c r="S20" s="2964"/>
      <c r="T20" s="2511"/>
      <c r="U20" s="2512"/>
      <c r="V20" s="3001"/>
      <c r="W20" s="3001"/>
      <c r="X20" s="3001"/>
      <c r="Y20" s="3001"/>
      <c r="Z20" s="3001"/>
      <c r="AA20" s="3001"/>
      <c r="AB20" s="3001"/>
      <c r="AC20" s="3001"/>
      <c r="AD20" s="3001"/>
      <c r="AE20" s="3001"/>
      <c r="AF20" s="3001"/>
      <c r="AG20" s="3001"/>
      <c r="AH20" s="3001"/>
      <c r="AI20" s="3002"/>
      <c r="AJ20" s="2489"/>
    </row>
    <row customHeight="1" ht="11.25">
      <c r="D21" s="3007"/>
      <c r="E21" s="3003"/>
      <c r="F21" s="3003"/>
      <c r="G21" s="3010"/>
      <c r="H21" s="2516"/>
      <c r="I21" s="3006"/>
      <c r="J21" s="2979"/>
      <c r="K21" s="2498"/>
      <c r="L21" s="2964"/>
      <c r="M21" s="2964"/>
      <c r="N21" s="2510"/>
      <c r="O21" s="2510"/>
      <c r="P21" s="3001"/>
      <c r="Q21" s="3001"/>
      <c r="R21" s="3001"/>
      <c r="S21" s="3001"/>
      <c r="T21" s="3001"/>
      <c r="U21" s="3001"/>
      <c r="V21" s="3001"/>
      <c r="W21" s="3001"/>
      <c r="X21" s="3001"/>
      <c r="Y21" s="3001"/>
      <c r="Z21" s="3001"/>
      <c r="AA21" s="3001"/>
      <c r="AB21" s="3001"/>
      <c r="AC21" s="3001"/>
      <c r="AD21" s="3001"/>
      <c r="AE21" s="3001"/>
      <c r="AF21" s="3001"/>
      <c r="AG21" s="3001"/>
      <c r="AH21" s="3001"/>
      <c r="AI21" s="3002"/>
      <c r="AJ21" s="2489"/>
    </row>
    <row s="39757" customFormat="1" customHeight="1" ht="11.25">
      <c r="D22" s="3013"/>
      <c r="E22" s="3014"/>
      <c r="F22" s="3004"/>
      <c r="G22" s="2938"/>
      <c r="H22" s="2513"/>
      <c r="I22" s="2517"/>
      <c r="J22" s="3011"/>
      <c r="K22" s="3011"/>
      <c r="L22" s="3011"/>
      <c r="M22" s="3011"/>
      <c r="N22" s="3011"/>
      <c r="O22" s="3011"/>
      <c r="P22" s="3011"/>
      <c r="Q22" s="3011"/>
      <c r="R22" s="3011"/>
      <c r="S22" s="3011"/>
      <c r="T22" s="3011"/>
      <c r="U22" s="3011"/>
      <c r="V22" s="3011"/>
      <c r="W22" s="3011"/>
      <c r="X22" s="3011"/>
      <c r="Y22" s="3011"/>
      <c r="Z22" s="3011"/>
      <c r="AA22" s="3011"/>
      <c r="AB22" s="3011"/>
      <c r="AC22" s="3011"/>
      <c r="AD22" s="3011"/>
      <c r="AE22" s="3011"/>
      <c r="AF22" s="3011"/>
      <c r="AG22" s="3011"/>
      <c r="AH22" s="3011"/>
      <c r="AI22" s="3012"/>
      <c r="AJ22" s="2489"/>
      <c r="AK22" s="1218"/>
      <c r="AL22" s="2489"/>
      <c r="AM22" s="2489"/>
      <c r="AN22" s="2489"/>
      <c r="AO22" s="2489"/>
      <c r="AP22" s="2489"/>
      <c r="AQ22" s="2489"/>
      <c r="AR22" s="2489"/>
      <c r="AS22" s="2489"/>
      <c r="AT22" s="2489"/>
      <c r="AU22" s="2489"/>
      <c r="AV22" s="2489"/>
      <c r="AW22" s="2489"/>
      <c r="AX22" s="2489"/>
      <c r="AY22" s="2489"/>
      <c r="AZ22" s="2489"/>
      <c r="BA22" s="2489"/>
      <c r="BB22" s="2489"/>
      <c r="BC22" s="2489"/>
      <c r="BD22" s="2489"/>
      <c r="BE22" s="2489"/>
      <c r="BF22" s="2489"/>
      <c r="BG22" s="2489"/>
      <c r="BH22" s="2489"/>
      <c r="BI22" s="2489"/>
      <c r="BJ22" s="2489"/>
      <c r="BK22" s="2489"/>
      <c r="BL22" s="2489"/>
    </row>
    <row customHeight="1" ht="14.25">
      <c r="D23" s="3007" t="s">
        <v>86</v>
      </c>
      <c r="E23" s="3003" t="s">
        <v>284</v>
      </c>
      <c r="F23" s="3003" t="s">
        <v>287</v>
      </c>
      <c r="G23" s="3009" t="s">
        <v>52</v>
      </c>
      <c r="H23" s="2514"/>
      <c r="I23" s="3005"/>
      <c r="J23" s="2978"/>
      <c r="K23" s="2429"/>
      <c r="L23" s="2963"/>
      <c r="M23" s="2963"/>
      <c r="N23" s="2499"/>
      <c r="O23" s="2963"/>
      <c r="P23" s="2978"/>
      <c r="Q23" s="2500"/>
      <c r="R23" s="2963"/>
      <c r="S23" s="2963"/>
      <c r="T23" s="2501"/>
      <c r="U23" s="2963"/>
      <c r="V23" s="2978"/>
      <c r="W23" s="2502"/>
      <c r="X23" s="2963"/>
      <c r="Y23" s="2963"/>
      <c r="Z23" s="2499"/>
      <c r="AA23" s="2963"/>
      <c r="AB23" s="2978"/>
      <c r="AC23" s="2503"/>
      <c r="AD23" s="2963"/>
      <c r="AE23" s="2963"/>
      <c r="AF23" s="2428"/>
      <c r="AG23" s="2428"/>
      <c r="AH23" s="2504"/>
      <c r="AI23" s="2211"/>
      <c r="AJ23" s="2489"/>
      <c r="AK23" s="1218" t="s">
        <v>94</v>
      </c>
    </row>
    <row customHeight="1" ht="14.25">
      <c r="D24" s="3007"/>
      <c r="E24" s="3003"/>
      <c r="F24" s="3003"/>
      <c r="G24" s="3010"/>
      <c r="H24" s="2515"/>
      <c r="I24" s="3006"/>
      <c r="J24" s="2979"/>
      <c r="K24" s="2525"/>
      <c r="L24" s="2964"/>
      <c r="M24" s="2964"/>
      <c r="N24" s="2505"/>
      <c r="O24" s="2964"/>
      <c r="P24" s="2979"/>
      <c r="Q24" s="2506"/>
      <c r="R24" s="2964"/>
      <c r="S24" s="2964"/>
      <c r="T24" s="2507"/>
      <c r="U24" s="2964"/>
      <c r="V24" s="2979"/>
      <c r="W24" s="2508"/>
      <c r="X24" s="2964"/>
      <c r="Y24" s="2964"/>
      <c r="Z24" s="2505"/>
      <c r="AA24" s="2964"/>
      <c r="AB24" s="2979"/>
      <c r="AC24" s="2509"/>
      <c r="AD24" s="2964"/>
      <c r="AE24" s="2964"/>
      <c r="AF24" s="2510"/>
      <c r="AG24" s="2510"/>
      <c r="AH24" s="3001"/>
      <c r="AI24" s="3002"/>
      <c r="AJ24" s="2489"/>
    </row>
    <row customHeight="1" ht="14.25">
      <c r="D25" s="3007"/>
      <c r="E25" s="3003"/>
      <c r="F25" s="3003"/>
      <c r="G25" s="3010"/>
      <c r="H25" s="2515"/>
      <c r="I25" s="3006"/>
      <c r="J25" s="2979"/>
      <c r="K25" s="2525"/>
      <c r="L25" s="2964"/>
      <c r="M25" s="2964"/>
      <c r="N25" s="2505"/>
      <c r="O25" s="2964"/>
      <c r="P25" s="2979"/>
      <c r="Q25" s="2506"/>
      <c r="R25" s="2964"/>
      <c r="S25" s="2964"/>
      <c r="T25" s="2507"/>
      <c r="U25" s="2964"/>
      <c r="V25" s="2979"/>
      <c r="W25" s="2508"/>
      <c r="X25" s="2964"/>
      <c r="Y25" s="2964"/>
      <c r="Z25" s="2427"/>
      <c r="AA25" s="2510"/>
      <c r="AB25" s="3001"/>
      <c r="AC25" s="3001"/>
      <c r="AD25" s="3001"/>
      <c r="AE25" s="3001"/>
      <c r="AF25" s="3001"/>
      <c r="AG25" s="3001"/>
      <c r="AH25" s="3001"/>
      <c r="AI25" s="3002"/>
      <c r="AJ25" s="2489"/>
    </row>
    <row customHeight="1" ht="14.25">
      <c r="D26" s="3007"/>
      <c r="E26" s="3003"/>
      <c r="F26" s="3003"/>
      <c r="G26" s="3010"/>
      <c r="H26" s="2515"/>
      <c r="I26" s="3006"/>
      <c r="J26" s="2979"/>
      <c r="K26" s="2525"/>
      <c r="L26" s="2964"/>
      <c r="M26" s="2964"/>
      <c r="N26" s="2505"/>
      <c r="O26" s="2964"/>
      <c r="P26" s="2979"/>
      <c r="Q26" s="2506"/>
      <c r="R26" s="2964"/>
      <c r="S26" s="2964"/>
      <c r="T26" s="2511"/>
      <c r="U26" s="2512"/>
      <c r="V26" s="3001"/>
      <c r="W26" s="3001"/>
      <c r="X26" s="3001"/>
      <c r="Y26" s="3001"/>
      <c r="Z26" s="3001"/>
      <c r="AA26" s="3001"/>
      <c r="AB26" s="3001"/>
      <c r="AC26" s="3001"/>
      <c r="AD26" s="3001"/>
      <c r="AE26" s="3001"/>
      <c r="AF26" s="3001"/>
      <c r="AG26" s="3001"/>
      <c r="AH26" s="3001"/>
      <c r="AI26" s="3002"/>
      <c r="AJ26" s="2489"/>
    </row>
    <row customHeight="1" ht="11.25">
      <c r="D27" s="3007"/>
      <c r="E27" s="3003"/>
      <c r="F27" s="3003"/>
      <c r="G27" s="3010"/>
      <c r="H27" s="2516"/>
      <c r="I27" s="3006"/>
      <c r="J27" s="2979"/>
      <c r="K27" s="2525"/>
      <c r="L27" s="2964"/>
      <c r="M27" s="2964"/>
      <c r="N27" s="2510"/>
      <c r="O27" s="2510"/>
      <c r="P27" s="3001"/>
      <c r="Q27" s="3001"/>
      <c r="R27" s="3001"/>
      <c r="S27" s="3001"/>
      <c r="T27" s="3001"/>
      <c r="U27" s="3001"/>
      <c r="V27" s="3001"/>
      <c r="W27" s="3001"/>
      <c r="X27" s="3001"/>
      <c r="Y27" s="3001"/>
      <c r="Z27" s="3001"/>
      <c r="AA27" s="3001"/>
      <c r="AB27" s="3001"/>
      <c r="AC27" s="3001"/>
      <c r="AD27" s="3001"/>
      <c r="AE27" s="3001"/>
      <c r="AF27" s="3001"/>
      <c r="AG27" s="3001"/>
      <c r="AH27" s="3001"/>
      <c r="AI27" s="3002"/>
      <c r="AJ27" s="2489"/>
    </row>
    <row s="39757" customFormat="1" customHeight="1" ht="11.25">
      <c r="D28" s="3013"/>
      <c r="E28" s="3014"/>
      <c r="F28" s="3004"/>
      <c r="G28" s="2938"/>
      <c r="H28" s="2513"/>
      <c r="I28" s="2517"/>
      <c r="J28" s="3011"/>
      <c r="K28" s="3011"/>
      <c r="L28" s="3011"/>
      <c r="M28" s="3011"/>
      <c r="N28" s="3011"/>
      <c r="O28" s="3011"/>
      <c r="P28" s="3011"/>
      <c r="Q28" s="3011"/>
      <c r="R28" s="3011"/>
      <c r="S28" s="3011"/>
      <c r="T28" s="3011"/>
      <c r="U28" s="3011"/>
      <c r="V28" s="3011"/>
      <c r="W28" s="3011"/>
      <c r="X28" s="3011"/>
      <c r="Y28" s="3011"/>
      <c r="Z28" s="3011"/>
      <c r="AA28" s="3011"/>
      <c r="AB28" s="3011"/>
      <c r="AC28" s="3011"/>
      <c r="AD28" s="3011"/>
      <c r="AE28" s="3011"/>
      <c r="AF28" s="3011"/>
      <c r="AG28" s="3011"/>
      <c r="AH28" s="3011"/>
      <c r="AI28" s="3012"/>
      <c r="AJ28" s="2489"/>
      <c r="AK28" s="1218"/>
      <c r="AL28" s="2489"/>
      <c r="AM28" s="2489"/>
      <c r="AN28" s="2489"/>
      <c r="AO28" s="2489"/>
      <c r="AP28" s="2489"/>
      <c r="AQ28" s="2489"/>
      <c r="AR28" s="2489"/>
      <c r="AS28" s="2489"/>
      <c r="AT28" s="2489"/>
      <c r="AU28" s="2489"/>
      <c r="AV28" s="2489"/>
      <c r="AW28" s="2489"/>
      <c r="AX28" s="2489"/>
      <c r="AY28" s="2489"/>
      <c r="AZ28" s="2489"/>
      <c r="BA28" s="2489"/>
      <c r="BB28" s="2489"/>
      <c r="BC28" s="2489"/>
      <c r="BD28" s="2489"/>
      <c r="BE28" s="2489"/>
      <c r="BF28" s="2489"/>
      <c r="BG28" s="2489"/>
      <c r="BH28" s="2489"/>
      <c r="BI28" s="2489"/>
      <c r="BJ28" s="2489"/>
      <c r="BK28" s="2489"/>
      <c r="BL28" s="2489"/>
    </row>
    <row customHeight="1" ht="14.25">
      <c r="D29" s="3007" t="s">
        <v>87</v>
      </c>
      <c r="E29" s="3003" t="s">
        <v>284</v>
      </c>
      <c r="F29" s="3003" t="s">
        <v>288</v>
      </c>
      <c r="G29" s="3009" t="s">
        <v>52</v>
      </c>
      <c r="H29" s="2514"/>
      <c r="I29" s="3005"/>
      <c r="J29" s="2978"/>
      <c r="K29" s="2429"/>
      <c r="L29" s="2963"/>
      <c r="M29" s="2963"/>
      <c r="N29" s="2499"/>
      <c r="O29" s="2963"/>
      <c r="P29" s="2978"/>
      <c r="Q29" s="2500"/>
      <c r="R29" s="2963"/>
      <c r="S29" s="2963"/>
      <c r="T29" s="2501"/>
      <c r="U29" s="2963"/>
      <c r="V29" s="2978"/>
      <c r="W29" s="2502"/>
      <c r="X29" s="2963"/>
      <c r="Y29" s="2963"/>
      <c r="Z29" s="2499"/>
      <c r="AA29" s="2963"/>
      <c r="AB29" s="2978"/>
      <c r="AC29" s="2503"/>
      <c r="AD29" s="2963"/>
      <c r="AE29" s="2963"/>
      <c r="AF29" s="2428"/>
      <c r="AG29" s="2428"/>
      <c r="AH29" s="2504"/>
      <c r="AI29" s="2211"/>
      <c r="AJ29" s="2489"/>
    </row>
    <row customHeight="1" ht="14.25">
      <c r="D30" s="3007"/>
      <c r="E30" s="3003"/>
      <c r="F30" s="3003"/>
      <c r="G30" s="3010"/>
      <c r="H30" s="2515"/>
      <c r="I30" s="3006"/>
      <c r="J30" s="2979"/>
      <c r="K30" s="2498"/>
      <c r="L30" s="2964"/>
      <c r="M30" s="2964"/>
      <c r="N30" s="2505"/>
      <c r="O30" s="2964"/>
      <c r="P30" s="2979"/>
      <c r="Q30" s="2506"/>
      <c r="R30" s="2964"/>
      <c r="S30" s="2964"/>
      <c r="T30" s="2507"/>
      <c r="U30" s="2964"/>
      <c r="V30" s="2979"/>
      <c r="W30" s="2508"/>
      <c r="X30" s="2964"/>
      <c r="Y30" s="2964"/>
      <c r="Z30" s="2505"/>
      <c r="AA30" s="2964"/>
      <c r="AB30" s="2979"/>
      <c r="AC30" s="2509"/>
      <c r="AD30" s="2964"/>
      <c r="AE30" s="2964"/>
      <c r="AF30" s="2510"/>
      <c r="AG30" s="2510"/>
      <c r="AH30" s="3001"/>
      <c r="AI30" s="3002"/>
      <c r="AJ30" s="2489"/>
    </row>
    <row customHeight="1" ht="14.25">
      <c r="D31" s="3007"/>
      <c r="E31" s="3003"/>
      <c r="F31" s="3003"/>
      <c r="G31" s="3010"/>
      <c r="H31" s="2515"/>
      <c r="I31" s="3006"/>
      <c r="J31" s="2979"/>
      <c r="K31" s="2498"/>
      <c r="L31" s="2964"/>
      <c r="M31" s="2964"/>
      <c r="N31" s="2505"/>
      <c r="O31" s="2964"/>
      <c r="P31" s="2979"/>
      <c r="Q31" s="2506"/>
      <c r="R31" s="2964"/>
      <c r="S31" s="2964"/>
      <c r="T31" s="2507"/>
      <c r="U31" s="2964"/>
      <c r="V31" s="2979"/>
      <c r="W31" s="2508"/>
      <c r="X31" s="2964"/>
      <c r="Y31" s="2964"/>
      <c r="Z31" s="2427"/>
      <c r="AA31" s="2510"/>
      <c r="AB31" s="3001"/>
      <c r="AC31" s="3001"/>
      <c r="AD31" s="3001"/>
      <c r="AE31" s="3001"/>
      <c r="AF31" s="3001"/>
      <c r="AG31" s="3001"/>
      <c r="AH31" s="3001"/>
      <c r="AI31" s="3002"/>
      <c r="AJ31" s="2489"/>
    </row>
    <row customHeight="1" ht="14.25">
      <c r="D32" s="3007"/>
      <c r="E32" s="3003"/>
      <c r="F32" s="3003"/>
      <c r="G32" s="3010"/>
      <c r="H32" s="2515"/>
      <c r="I32" s="3006"/>
      <c r="J32" s="2979"/>
      <c r="K32" s="2498"/>
      <c r="L32" s="2964"/>
      <c r="M32" s="2964"/>
      <c r="N32" s="2505"/>
      <c r="O32" s="2964"/>
      <c r="P32" s="2979"/>
      <c r="Q32" s="2506"/>
      <c r="R32" s="2964"/>
      <c r="S32" s="2964"/>
      <c r="T32" s="2511"/>
      <c r="U32" s="2512"/>
      <c r="V32" s="3001"/>
      <c r="W32" s="3001"/>
      <c r="X32" s="3001"/>
      <c r="Y32" s="3001"/>
      <c r="Z32" s="3001"/>
      <c r="AA32" s="3001"/>
      <c r="AB32" s="3001"/>
      <c r="AC32" s="3001"/>
      <c r="AD32" s="3001"/>
      <c r="AE32" s="3001"/>
      <c r="AF32" s="3001"/>
      <c r="AG32" s="3001"/>
      <c r="AH32" s="3001"/>
      <c r="AI32" s="3002"/>
      <c r="AJ32" s="2489"/>
    </row>
    <row customHeight="1" ht="11.25">
      <c r="D33" s="3007"/>
      <c r="E33" s="3003"/>
      <c r="F33" s="3003"/>
      <c r="G33" s="3010"/>
      <c r="H33" s="2516"/>
      <c r="I33" s="3006"/>
      <c r="J33" s="2979"/>
      <c r="K33" s="2498"/>
      <c r="L33" s="2964"/>
      <c r="M33" s="2964"/>
      <c r="N33" s="2510"/>
      <c r="O33" s="2510"/>
      <c r="P33" s="3001"/>
      <c r="Q33" s="3001"/>
      <c r="R33" s="3001"/>
      <c r="S33" s="3001"/>
      <c r="T33" s="3001"/>
      <c r="U33" s="3001"/>
      <c r="V33" s="3001"/>
      <c r="W33" s="3001"/>
      <c r="X33" s="3001"/>
      <c r="Y33" s="3001"/>
      <c r="Z33" s="3001"/>
      <c r="AA33" s="3001"/>
      <c r="AB33" s="3001"/>
      <c r="AC33" s="3001"/>
      <c r="AD33" s="3001"/>
      <c r="AE33" s="3001"/>
      <c r="AF33" s="3001"/>
      <c r="AG33" s="3001"/>
      <c r="AH33" s="3001"/>
      <c r="AI33" s="3002"/>
      <c r="AJ33" s="2489"/>
    </row>
    <row s="39757" customFormat="1" customHeight="1" ht="11.25">
      <c r="D34" s="3013"/>
      <c r="E34" s="3014"/>
      <c r="F34" s="3004"/>
      <c r="G34" s="2938"/>
      <c r="H34" s="2513"/>
      <c r="I34" s="2517"/>
      <c r="J34" s="3011"/>
      <c r="K34" s="3011"/>
      <c r="L34" s="3011"/>
      <c r="M34" s="3011"/>
      <c r="N34" s="3011"/>
      <c r="O34" s="3011"/>
      <c r="P34" s="3011"/>
      <c r="Q34" s="3011"/>
      <c r="R34" s="3011"/>
      <c r="S34" s="3011"/>
      <c r="T34" s="3011"/>
      <c r="U34" s="3011"/>
      <c r="V34" s="3011"/>
      <c r="W34" s="3011"/>
      <c r="X34" s="3011"/>
      <c r="Y34" s="3011"/>
      <c r="Z34" s="3011"/>
      <c r="AA34" s="3011"/>
      <c r="AB34" s="3011"/>
      <c r="AC34" s="3011"/>
      <c r="AD34" s="3011"/>
      <c r="AE34" s="3011"/>
      <c r="AF34" s="3011"/>
      <c r="AG34" s="3011"/>
      <c r="AH34" s="3011"/>
      <c r="AI34" s="3012"/>
      <c r="AJ34" s="2489"/>
      <c r="AK34" s="1218"/>
      <c r="AL34" s="2489"/>
      <c r="AM34" s="2489"/>
      <c r="AN34" s="2489"/>
      <c r="AO34" s="2489"/>
      <c r="AP34" s="2489"/>
      <c r="AQ34" s="2489"/>
      <c r="AR34" s="2489"/>
      <c r="AS34" s="2489"/>
      <c r="AT34" s="2489"/>
      <c r="AU34" s="2489"/>
      <c r="AV34" s="2489"/>
      <c r="AW34" s="2489"/>
      <c r="AX34" s="2489"/>
      <c r="AY34" s="2489"/>
      <c r="AZ34" s="2489"/>
      <c r="BA34" s="2489"/>
      <c r="BB34" s="2489"/>
      <c r="BC34" s="2489"/>
      <c r="BD34" s="2489"/>
      <c r="BE34" s="2489"/>
      <c r="BF34" s="2489"/>
      <c r="BG34" s="2489"/>
      <c r="BH34" s="2489"/>
      <c r="BI34" s="2489"/>
      <c r="BJ34" s="2489"/>
      <c r="BK34" s="2489"/>
      <c r="BL34" s="2489"/>
    </row>
    <row customHeight="1" ht="14.25">
      <c r="D35" s="3007" t="s">
        <v>104</v>
      </c>
      <c r="E35" s="3003" t="s">
        <v>284</v>
      </c>
      <c r="F35" s="3003" t="s">
        <v>289</v>
      </c>
      <c r="G35" s="3009" t="s">
        <v>52</v>
      </c>
      <c r="H35" s="2514"/>
      <c r="I35" s="3005"/>
      <c r="J35" s="2978"/>
      <c r="K35" s="2429"/>
      <c r="L35" s="2963"/>
      <c r="M35" s="2963"/>
      <c r="N35" s="2499"/>
      <c r="O35" s="2963"/>
      <c r="P35" s="2978"/>
      <c r="Q35" s="2500"/>
      <c r="R35" s="2963"/>
      <c r="S35" s="2963"/>
      <c r="T35" s="2501"/>
      <c r="U35" s="2963"/>
      <c r="V35" s="2978"/>
      <c r="W35" s="2502"/>
      <c r="X35" s="2963"/>
      <c r="Y35" s="2963"/>
      <c r="Z35" s="2499"/>
      <c r="AA35" s="2963"/>
      <c r="AB35" s="2978"/>
      <c r="AC35" s="2503"/>
      <c r="AD35" s="2963"/>
      <c r="AE35" s="2963"/>
      <c r="AF35" s="2428"/>
      <c r="AG35" s="2428"/>
      <c r="AH35" s="2504"/>
      <c r="AI35" s="2211"/>
      <c r="AJ35" s="2489"/>
    </row>
    <row customHeight="1" ht="14.25">
      <c r="D36" s="3007"/>
      <c r="E36" s="3003"/>
      <c r="F36" s="3003"/>
      <c r="G36" s="3010"/>
      <c r="H36" s="2515"/>
      <c r="I36" s="3006"/>
      <c r="J36" s="2979"/>
      <c r="K36" s="2498"/>
      <c r="L36" s="2964"/>
      <c r="M36" s="2964"/>
      <c r="N36" s="2505"/>
      <c r="O36" s="2964"/>
      <c r="P36" s="2979"/>
      <c r="Q36" s="2506"/>
      <c r="R36" s="2964"/>
      <c r="S36" s="2964"/>
      <c r="T36" s="2507"/>
      <c r="U36" s="2964"/>
      <c r="V36" s="2979"/>
      <c r="W36" s="2508"/>
      <c r="X36" s="2964"/>
      <c r="Y36" s="2964"/>
      <c r="Z36" s="2505"/>
      <c r="AA36" s="2964"/>
      <c r="AB36" s="2979"/>
      <c r="AC36" s="2509"/>
      <c r="AD36" s="2964"/>
      <c r="AE36" s="2964"/>
      <c r="AF36" s="2510"/>
      <c r="AG36" s="2510"/>
      <c r="AH36" s="3001"/>
      <c r="AI36" s="3002"/>
      <c r="AJ36" s="2489"/>
    </row>
    <row customHeight="1" ht="14.25">
      <c r="D37" s="3007"/>
      <c r="E37" s="3003"/>
      <c r="F37" s="3003"/>
      <c r="G37" s="3010"/>
      <c r="H37" s="2515"/>
      <c r="I37" s="3006"/>
      <c r="J37" s="2979"/>
      <c r="K37" s="2498"/>
      <c r="L37" s="2964"/>
      <c r="M37" s="2964"/>
      <c r="N37" s="2505"/>
      <c r="O37" s="2964"/>
      <c r="P37" s="2979"/>
      <c r="Q37" s="2506"/>
      <c r="R37" s="2964"/>
      <c r="S37" s="2964"/>
      <c r="T37" s="2507"/>
      <c r="U37" s="2964"/>
      <c r="V37" s="2979"/>
      <c r="W37" s="2508"/>
      <c r="X37" s="2964"/>
      <c r="Y37" s="2964"/>
      <c r="Z37" s="2427"/>
      <c r="AA37" s="2510"/>
      <c r="AB37" s="3001"/>
      <c r="AC37" s="3001"/>
      <c r="AD37" s="3001"/>
      <c r="AE37" s="3001"/>
      <c r="AF37" s="3001"/>
      <c r="AG37" s="3001"/>
      <c r="AH37" s="3001"/>
      <c r="AI37" s="3002"/>
      <c r="AJ37" s="2489"/>
    </row>
    <row customHeight="1" ht="14.25">
      <c r="D38" s="3007"/>
      <c r="E38" s="3003"/>
      <c r="F38" s="3003"/>
      <c r="G38" s="3010"/>
      <c r="H38" s="2515"/>
      <c r="I38" s="3006"/>
      <c r="J38" s="2979"/>
      <c r="K38" s="2498"/>
      <c r="L38" s="2964"/>
      <c r="M38" s="2964"/>
      <c r="N38" s="2505"/>
      <c r="O38" s="2964"/>
      <c r="P38" s="2979"/>
      <c r="Q38" s="2506"/>
      <c r="R38" s="2964"/>
      <c r="S38" s="2964"/>
      <c r="T38" s="2511"/>
      <c r="U38" s="2512"/>
      <c r="V38" s="3001"/>
      <c r="W38" s="3001"/>
      <c r="X38" s="3001"/>
      <c r="Y38" s="3001"/>
      <c r="Z38" s="3001"/>
      <c r="AA38" s="3001"/>
      <c r="AB38" s="3001"/>
      <c r="AC38" s="3001"/>
      <c r="AD38" s="3001"/>
      <c r="AE38" s="3001"/>
      <c r="AF38" s="3001"/>
      <c r="AG38" s="3001"/>
      <c r="AH38" s="3001"/>
      <c r="AI38" s="3002"/>
      <c r="AJ38" s="2489"/>
    </row>
    <row customHeight="1" ht="11.25">
      <c r="D39" s="3007"/>
      <c r="E39" s="3003"/>
      <c r="F39" s="3003"/>
      <c r="G39" s="3010"/>
      <c r="H39" s="2516"/>
      <c r="I39" s="3006"/>
      <c r="J39" s="2979"/>
      <c r="K39" s="2498"/>
      <c r="L39" s="2964"/>
      <c r="M39" s="2964"/>
      <c r="N39" s="2510"/>
      <c r="O39" s="2510"/>
      <c r="P39" s="3001"/>
      <c r="Q39" s="3001"/>
      <c r="R39" s="3001"/>
      <c r="S39" s="3001"/>
      <c r="T39" s="3001"/>
      <c r="U39" s="3001"/>
      <c r="V39" s="3001"/>
      <c r="W39" s="3001"/>
      <c r="X39" s="3001"/>
      <c r="Y39" s="3001"/>
      <c r="Z39" s="3001"/>
      <c r="AA39" s="3001"/>
      <c r="AB39" s="3001"/>
      <c r="AC39" s="3001"/>
      <c r="AD39" s="3001"/>
      <c r="AE39" s="3001"/>
      <c r="AF39" s="3001"/>
      <c r="AG39" s="3001"/>
      <c r="AH39" s="3001"/>
      <c r="AI39" s="3002"/>
      <c r="AJ39" s="2489"/>
    </row>
    <row s="39757" customFormat="1" customHeight="1" ht="11.25">
      <c r="D40" s="3007"/>
      <c r="E40" s="3003"/>
      <c r="F40" s="3008"/>
      <c r="G40" s="2938"/>
      <c r="H40" s="2513"/>
      <c r="I40" s="2517"/>
      <c r="J40" s="3011"/>
      <c r="K40" s="3011"/>
      <c r="L40" s="3011"/>
      <c r="M40" s="3011"/>
      <c r="N40" s="3011"/>
      <c r="O40" s="3011"/>
      <c r="P40" s="3011"/>
      <c r="Q40" s="3011"/>
      <c r="R40" s="3011"/>
      <c r="S40" s="3011"/>
      <c r="T40" s="3011"/>
      <c r="U40" s="3011"/>
      <c r="V40" s="3011"/>
      <c r="W40" s="3011"/>
      <c r="X40" s="3011"/>
      <c r="Y40" s="3011"/>
      <c r="Z40" s="3011"/>
      <c r="AA40" s="3011"/>
      <c r="AB40" s="3011"/>
      <c r="AC40" s="3011"/>
      <c r="AD40" s="3011"/>
      <c r="AE40" s="3011"/>
      <c r="AF40" s="3011"/>
      <c r="AG40" s="3011"/>
      <c r="AH40" s="3011"/>
      <c r="AI40" s="3012"/>
      <c r="AJ40" s="2489"/>
      <c r="AK40" s="1218"/>
      <c r="AL40" s="2489"/>
      <c r="AM40" s="2489"/>
      <c r="AN40" s="2489"/>
      <c r="AO40" s="2489"/>
      <c r="AP40" s="2489"/>
      <c r="AQ40" s="2489"/>
      <c r="AR40" s="2489"/>
      <c r="AS40" s="2489"/>
      <c r="AT40" s="2489"/>
      <c r="AU40" s="2489"/>
      <c r="AV40" s="2489"/>
      <c r="AW40" s="2489"/>
      <c r="AX40" s="2489"/>
      <c r="AY40" s="2489"/>
      <c r="AZ40" s="2489"/>
      <c r="BA40" s="2489"/>
      <c r="BB40" s="2489"/>
      <c r="BC40" s="2489"/>
      <c r="BD40" s="2489"/>
      <c r="BE40" s="2489"/>
      <c r="BF40" s="2489"/>
      <c r="BG40" s="2489"/>
      <c r="BH40" s="2489"/>
      <c r="BI40" s="2489"/>
      <c r="BJ40" s="2489"/>
      <c r="BK40" s="2489"/>
      <c r="BL40" s="2489"/>
    </row>
    <row customHeight="1" ht="11.25">
      <c r="AK41" s="1335"/>
    </row>
    <row customHeight="1" ht="11.25">
      <c r="AK42" s="1335"/>
    </row>
    <row customHeight="1" ht="11.25">
      <c r="AK43" s="1335"/>
    </row>
    <row customHeight="1" ht="11.25">
      <c r="AK44" s="1335"/>
    </row>
    <row customHeight="1" ht="11.25">
      <c r="AK45" s="1335"/>
    </row>
    <row customHeight="1" ht="11.25">
      <c r="AK46" s="1335"/>
    </row>
    <row customHeight="1" ht="11.25">
      <c r="AK47" s="1335"/>
    </row>
    <row customHeight="1" ht="11.25">
      <c r="AK48" s="1335"/>
    </row>
    <row customHeight="1" ht="11.25">
      <c r="AK49" s="1335"/>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0986A6-A3F9-6F22-AAFA-2542EB5DC1F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1952" width="43.140625"/>
    <col min="2" max="2" style="41952" width="43.140625" hidden="1"/>
    <col min="3" max="3" style="41952" width="43.140625"/>
    <col min="4" max="5" style="41952" width="36.421875" customWidth="1"/>
    <col min="6" max="8" style="41953" width="36.421875" customWidth="1"/>
  </cols>
  <sheetData>
    <row customHeight="1" ht="9">
      <c r="A1" s="1758" t="s">
        <v>1894</v>
      </c>
      <c r="B1" s="1758"/>
      <c r="C1" s="1895" t="s">
        <v>1895</v>
      </c>
      <c r="D1" s="1893" t="s">
        <v>714</v>
      </c>
      <c r="E1" s="1893" t="s">
        <v>760</v>
      </c>
      <c r="F1" s="1893" t="s">
        <v>815</v>
      </c>
      <c r="G1" s="1893" t="s">
        <v>801</v>
      </c>
      <c r="H1" s="1893" t="s">
        <v>1580</v>
      </c>
    </row>
    <row customHeight="1" ht="9">
      <c r="A2" s="1896" t="s">
        <v>1896</v>
      </c>
      <c r="B2" s="1896"/>
      <c r="C2" s="1897" t="str">
        <f>INDEX(TEMPLATE_NUMBER_FORM_LIST,MATCH(TEMPLATE_SPHERE,TEMPLATE_SPHERE_LIST,0))</f>
        <v>16</v>
      </c>
      <c r="D2" s="1896" t="s">
        <v>975</v>
      </c>
      <c r="E2" s="1896" t="s">
        <v>142</v>
      </c>
      <c r="F2" s="1898" t="s">
        <v>142</v>
      </c>
      <c r="G2" s="1896" t="s">
        <v>142</v>
      </c>
      <c r="H2" s="1899"/>
    </row>
    <row customHeight="1" ht="63">
      <c r="A3" s="1758"/>
      <c r="B3" s="1758" t="s">
        <v>102</v>
      </c>
      <c r="C3" s="189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897" t="s">
        <v>1897</v>
      </c>
      <c r="E3" s="189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898"/>
      <c r="G3" s="1899"/>
      <c r="H3" s="1758"/>
    </row>
    <row customHeight="1" ht="243">
      <c r="A4" s="1758" t="s">
        <v>1898</v>
      </c>
      <c r="B4" s="1758" t="s">
        <v>103</v>
      </c>
      <c r="C4" s="189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896" t="s">
        <v>1899</v>
      </c>
      <c r="E4" s="189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896"/>
      <c r="G4" s="1896"/>
      <c r="H4" s="1758" t="s">
        <v>1900</v>
      </c>
    </row>
    <row customHeight="1" ht="117">
      <c r="A5" s="1758" t="s">
        <v>1901</v>
      </c>
      <c r="B5" s="1758" t="s">
        <v>86</v>
      </c>
      <c r="C5" s="189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758" t="s">
        <v>1902</v>
      </c>
      <c r="E5" s="1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899"/>
      <c r="G5" s="1899"/>
      <c r="H5" s="1758" t="s">
        <v>1903</v>
      </c>
    </row>
    <row customHeight="1" ht="45">
      <c r="A6" s="1758" t="s">
        <v>1904</v>
      </c>
      <c r="B6" s="1758" t="s">
        <v>87</v>
      </c>
      <c r="C6" s="189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758" t="s">
        <v>1905</v>
      </c>
      <c r="E6" s="1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758"/>
      <c r="G6" s="1758"/>
      <c r="H6" s="1899"/>
    </row>
    <row customHeight="1" ht="45">
      <c r="A7" s="1758" t="s">
        <v>1906</v>
      </c>
      <c r="B7" s="1758" t="s">
        <v>104</v>
      </c>
      <c r="C7" s="1897" t="str">
        <f>IF(TEMPLATE_SPHERE="HEAT",D7,E7)</f>
        <v>Форма 11. Информация о расходах на капитальный и текущий ремонт основных средств</v>
      </c>
      <c r="D7" s="1758" t="s">
        <v>1907</v>
      </c>
      <c r="E7" s="1758" t="s">
        <v>1908</v>
      </c>
      <c r="F7" s="1899"/>
      <c r="G7" s="1899"/>
      <c r="H7" s="1899"/>
    </row>
    <row customHeight="1" ht="108">
      <c r="A8" s="1758" t="s">
        <v>1909</v>
      </c>
      <c r="B8" s="1758" t="s">
        <v>88</v>
      </c>
      <c r="C8" s="189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758" t="s">
        <v>1130</v>
      </c>
      <c r="E8" s="1758" t="s">
        <v>1910</v>
      </c>
      <c r="F8" s="1899"/>
      <c r="G8" s="1899"/>
      <c r="H8" s="1899"/>
    </row>
    <row customHeight="1" ht="99">
      <c r="A9" s="1758" t="s">
        <v>1911</v>
      </c>
      <c r="B9" s="1758"/>
      <c r="C9" s="1758" t="s">
        <v>1912</v>
      </c>
      <c r="D9" s="1758"/>
      <c r="E9" s="1758"/>
      <c r="F9" s="1899"/>
      <c r="G9" s="1899"/>
      <c r="H9" s="1899"/>
    </row>
    <row customHeight="1" ht="126">
      <c r="A10" s="1758" t="s">
        <v>1913</v>
      </c>
      <c r="B10" s="1758"/>
      <c r="C10" s="1758" t="s">
        <v>1914</v>
      </c>
      <c r="D10" s="1758"/>
      <c r="E10" s="1758"/>
      <c r="F10" s="1899"/>
      <c r="G10" s="1899"/>
      <c r="H10" s="1899"/>
    </row>
    <row customHeight="1" ht="108">
      <c r="A11" s="1758" t="s">
        <v>1915</v>
      </c>
      <c r="B11" s="1758"/>
      <c r="C11" s="1758" t="s">
        <v>1916</v>
      </c>
      <c r="D11" s="1758"/>
      <c r="E11" s="1758"/>
      <c r="F11" s="1899"/>
      <c r="G11" s="1899"/>
      <c r="H11" s="1899"/>
    </row>
    <row customHeight="1" ht="54">
      <c r="A12" s="1758" t="s">
        <v>1917</v>
      </c>
      <c r="B12" s="1758"/>
      <c r="C12" s="1758" t="s">
        <v>1918</v>
      </c>
      <c r="D12" s="1758"/>
      <c r="E12" s="1758"/>
      <c r="F12" s="1899"/>
      <c r="G12" s="1899"/>
      <c r="H12" s="1899"/>
    </row>
    <row customHeight="1" ht="45">
      <c r="A13" s="1758" t="s">
        <v>1919</v>
      </c>
      <c r="B13" s="1758"/>
      <c r="C13" s="1758" t="s">
        <v>1920</v>
      </c>
      <c r="D13" s="1758"/>
      <c r="E13" s="1758"/>
      <c r="F13" s="1899"/>
      <c r="G13" s="1899"/>
      <c r="H13" s="1899"/>
    </row>
    <row customHeight="1" ht="117">
      <c r="A14" s="1758" t="s">
        <v>1921</v>
      </c>
      <c r="B14" s="1758"/>
      <c r="C14" s="1758" t="s">
        <v>1922</v>
      </c>
      <c r="D14" s="1758"/>
      <c r="E14" s="1758"/>
      <c r="F14" s="1899"/>
      <c r="G14" s="1899"/>
      <c r="H14" s="1899"/>
    </row>
    <row customHeight="1" ht="117">
      <c r="A15" s="1758" t="s">
        <v>1923</v>
      </c>
      <c r="B15" s="1758"/>
      <c r="C15" s="1758" t="s">
        <v>1924</v>
      </c>
      <c r="D15" s="1758"/>
      <c r="E15" s="1758"/>
      <c r="F15" s="1899"/>
      <c r="G15" s="1899"/>
      <c r="H15" s="1899"/>
    </row>
    <row customHeight="1" ht="63">
      <c r="A16" s="1758" t="s">
        <v>1925</v>
      </c>
      <c r="B16" s="1758"/>
      <c r="C16" s="1758" t="s">
        <v>1926</v>
      </c>
      <c r="D16" s="1758"/>
      <c r="E16" s="1758"/>
      <c r="F16" s="1899"/>
      <c r="G16" s="1899"/>
      <c r="H16" s="1899"/>
    </row>
    <row customHeight="1" ht="54">
      <c r="A17" s="1758" t="s">
        <v>1927</v>
      </c>
      <c r="B17" s="1758"/>
      <c r="C17" s="1897" t="s">
        <v>1928</v>
      </c>
      <c r="D17" s="1758"/>
      <c r="E17" s="1758"/>
      <c r="F17" s="1899"/>
      <c r="G17" s="1899"/>
      <c r="H17" s="1899"/>
    </row>
    <row customHeight="1" ht="27">
      <c r="A18" s="1758" t="s">
        <v>1929</v>
      </c>
      <c r="B18" s="1758"/>
      <c r="C18" s="1897" t="s">
        <v>1930</v>
      </c>
      <c r="D18" s="1758"/>
      <c r="E18" s="1758"/>
      <c r="F18" s="1899"/>
      <c r="G18" s="1899"/>
      <c r="H18" s="1899"/>
    </row>
    <row customHeight="1" ht="54">
      <c r="A19" s="1758" t="s">
        <v>1931</v>
      </c>
      <c r="B19" s="1758"/>
      <c r="C19" s="1897" t="s">
        <v>1932</v>
      </c>
      <c r="D19" s="1758"/>
      <c r="E19" s="1758"/>
      <c r="F19" s="1899"/>
      <c r="G19" s="1899"/>
      <c r="H19" s="1899"/>
    </row>
    <row customHeight="1" ht="36">
      <c r="A20" s="1758" t="s">
        <v>1933</v>
      </c>
      <c r="B20" s="1758"/>
      <c r="C20" s="1897" t="s">
        <v>1934</v>
      </c>
      <c r="D20" s="1758"/>
      <c r="E20" s="1758"/>
      <c r="F20" s="1899"/>
      <c r="G20" s="1899"/>
      <c r="H20" s="1899"/>
    </row>
    <row customHeight="1" ht="36">
      <c r="A21" s="1758" t="s">
        <v>1935</v>
      </c>
      <c r="B21" s="1758"/>
      <c r="C21" s="1897" t="s">
        <v>1936</v>
      </c>
      <c r="D21" s="1758"/>
      <c r="E21" s="1758"/>
      <c r="F21" s="1899"/>
      <c r="G21" s="1899"/>
      <c r="H21" s="1899"/>
    </row>
    <row customHeight="1" ht="27">
      <c r="A22" s="1758" t="s">
        <v>1937</v>
      </c>
      <c r="B22" s="1758"/>
      <c r="C22" s="1897" t="s">
        <v>1938</v>
      </c>
      <c r="D22" s="1758"/>
      <c r="E22" s="1758"/>
      <c r="F22" s="1899"/>
      <c r="G22" s="1899"/>
      <c r="H22" s="1899"/>
    </row>
    <row customHeight="1" ht="36">
      <c r="A23" s="1758" t="s">
        <v>1939</v>
      </c>
      <c r="B23" s="1758"/>
      <c r="C23" s="1897" t="s">
        <v>1940</v>
      </c>
      <c r="D23" s="1758"/>
      <c r="E23" s="1758"/>
      <c r="F23" s="1899"/>
      <c r="G23" s="1899"/>
      <c r="H23" s="1899"/>
    </row>
    <row customHeight="1" ht="28.5">
      <c r="A24" s="1758" t="s">
        <v>1941</v>
      </c>
      <c r="B24" s="1758"/>
      <c r="C24" s="1897" t="s">
        <v>1942</v>
      </c>
      <c r="D24" s="1758"/>
      <c r="E24" s="1758"/>
      <c r="F24" s="1899"/>
      <c r="G24" s="1899"/>
      <c r="H24" s="1899"/>
    </row>
    <row customHeight="1" ht="36">
      <c r="A25" s="1758" t="s">
        <v>1943</v>
      </c>
      <c r="B25" s="1758"/>
      <c r="C25" s="1897" t="s">
        <v>1944</v>
      </c>
      <c r="D25" s="1758"/>
      <c r="E25" s="1758"/>
      <c r="F25" s="1899"/>
      <c r="G25" s="1899"/>
      <c r="H25" s="1899"/>
    </row>
    <row customHeight="1" ht="27">
      <c r="A26" s="1758" t="s">
        <v>1945</v>
      </c>
      <c r="B26" s="1758"/>
      <c r="C26" s="1897" t="s">
        <v>1946</v>
      </c>
      <c r="D26" s="1758"/>
      <c r="E26" s="1758"/>
      <c r="F26" s="1899"/>
      <c r="G26" s="1899"/>
      <c r="H26" s="1899"/>
    </row>
    <row customHeight="1" ht="36">
      <c r="A27" s="1758" t="s">
        <v>1947</v>
      </c>
      <c r="B27" s="1758"/>
      <c r="C27" s="1897" t="s">
        <v>1948</v>
      </c>
      <c r="D27" s="1758"/>
      <c r="E27" s="1758"/>
      <c r="F27" s="1899"/>
      <c r="G27" s="1899"/>
      <c r="H27" s="1899"/>
    </row>
    <row customHeight="1" ht="28.5">
      <c r="A28" s="1758" t="s">
        <v>1949</v>
      </c>
      <c r="B28" s="1758"/>
      <c r="C28" s="1897" t="s">
        <v>1950</v>
      </c>
      <c r="D28" s="1758"/>
      <c r="E28" s="1758"/>
      <c r="F28" s="1899"/>
      <c r="G28" s="1899"/>
      <c r="H28" s="1899"/>
    </row>
    <row customHeight="1" ht="126">
      <c r="A29" s="1758" t="s">
        <v>1951</v>
      </c>
      <c r="B29" s="1758" t="s">
        <v>1531</v>
      </c>
      <c r="C29" s="189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758" t="s">
        <v>1952</v>
      </c>
      <c r="E29" s="1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899"/>
      <c r="G29" s="1899"/>
      <c r="H29" s="1758" t="s">
        <v>1953</v>
      </c>
    </row>
    <row customHeight="1" ht="36">
      <c r="A30" s="1758" t="s">
        <v>1954</v>
      </c>
      <c r="B30" s="1758"/>
      <c r="C30" s="189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758" t="s">
        <v>1955</v>
      </c>
      <c r="E30" s="1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899"/>
      <c r="G30" s="1899"/>
      <c r="H30" s="1899"/>
    </row>
    <row customHeight="1" ht="54">
      <c r="A31" s="1758" t="s">
        <v>1956</v>
      </c>
      <c r="B31" s="1758"/>
      <c r="C31" s="189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758" t="s">
        <v>1957</v>
      </c>
      <c r="E31" s="1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899"/>
      <c r="G31" s="1899"/>
      <c r="H31" s="1899"/>
    </row>
    <row customHeight="1" ht="198">
      <c r="A32" s="1758" t="s">
        <v>1958</v>
      </c>
      <c r="B32" s="1758"/>
      <c r="C32" s="189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758" t="s">
        <v>1959</v>
      </c>
      <c r="E32" s="1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899"/>
      <c r="G32" s="1899"/>
      <c r="H32" s="1758" t="s">
        <v>1960</v>
      </c>
    </row>
    <row customHeight="1" ht="9">
      <c r="A33" s="1758"/>
      <c r="B33" s="1758"/>
      <c r="C33" s="1897"/>
      <c r="D33" s="1758"/>
      <c r="E33" s="1758"/>
      <c r="F33" s="1899"/>
      <c r="G33" s="1899"/>
      <c r="H33" s="1899"/>
    </row>
    <row customHeight="1" ht="9">
      <c r="A34" s="1758"/>
      <c r="B34" s="1758" t="s">
        <v>979</v>
      </c>
      <c r="C34" s="1897">
        <f>INDEX(TEMPLATE_NAME_FORM_LIST,B34,MATCH(TEMPLATE_SPHERE,TEMPLATE_SPHERE_LIST,0))</f>
        <v>0</v>
      </c>
      <c r="D34" s="1758"/>
      <c r="E34" s="1758"/>
      <c r="F34" s="1899"/>
      <c r="G34" s="1899"/>
      <c r="H34" s="189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C2E7DE1-0E88-D71C-74DD-C5262CE485C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1952" width="9.140625"/>
    <col min="3" max="7" style="41996" width="8.00390625" customWidth="1"/>
    <col min="8" max="12" style="41996" width="8.57421875" customWidth="1"/>
    <col min="13" max="14" style="41996" width="27.7109375" customWidth="1"/>
    <col min="15" max="19" style="41996" width="5.140625" customWidth="1"/>
    <col min="20" max="24" style="41996" width="27.7109375" customWidth="1"/>
    <col min="25" max="25" style="41997" width="1.8515625" customWidth="1"/>
    <col min="26" max="26" style="41952" width="27.7109375" customWidth="1"/>
    <col min="27" max="27" style="41998" width="27.7109375" customWidth="1"/>
    <col min="28" max="29" style="41952" width="27.7109375" customWidth="1"/>
    <col min="30" max="30" style="41952" width="3.8515625" customWidth="1"/>
    <col min="31" max="34" style="41952" width="9.140625"/>
  </cols>
  <sheetData>
    <row s="41954" customFormat="1" customHeight="1" ht="18">
      <c r="A1" s="1810"/>
      <c r="B1" s="1810"/>
      <c r="C1" s="1810" t="s">
        <v>1961</v>
      </c>
      <c r="D1" s="1810"/>
      <c r="E1" s="1810"/>
      <c r="F1" s="1810"/>
      <c r="G1" s="1810"/>
      <c r="H1" s="1810" t="s">
        <v>1962</v>
      </c>
      <c r="I1" s="1810"/>
      <c r="J1" s="1810"/>
      <c r="K1" s="1810"/>
      <c r="L1" s="1810"/>
      <c r="M1" s="1810" t="s">
        <v>1963</v>
      </c>
      <c r="N1" s="1810" t="s">
        <v>1964</v>
      </c>
      <c r="O1" s="3399" t="s">
        <v>1965</v>
      </c>
      <c r="P1" s="3399"/>
      <c r="Q1" s="3399"/>
      <c r="R1" s="3399"/>
      <c r="S1" s="3399"/>
      <c r="T1" s="3399" t="s">
        <v>1963</v>
      </c>
      <c r="U1" s="3399"/>
      <c r="V1" s="3399"/>
      <c r="W1" s="3399"/>
      <c r="X1" s="3399"/>
      <c r="Y1" s="1912"/>
      <c r="Z1" s="3399" t="s">
        <v>1966</v>
      </c>
      <c r="AA1" s="3399"/>
      <c r="AB1" s="3399"/>
      <c r="AC1" s="3399"/>
      <c r="AD1" s="3399"/>
    </row>
    <row customHeight="1" ht="18">
      <c r="A2" s="1758"/>
      <c r="B2" s="1758"/>
      <c r="C2" s="1753" t="s">
        <v>714</v>
      </c>
      <c r="D2" s="1753" t="s">
        <v>760</v>
      </c>
      <c r="E2" s="1753" t="s">
        <v>815</v>
      </c>
      <c r="F2" s="1753" t="s">
        <v>801</v>
      </c>
      <c r="G2" s="1753" t="s">
        <v>1580</v>
      </c>
      <c r="H2" s="1755"/>
      <c r="I2" s="1755"/>
      <c r="J2" s="1755"/>
      <c r="K2" s="1755"/>
      <c r="L2" s="1755"/>
      <c r="M2" s="1755"/>
      <c r="N2" s="1755"/>
      <c r="O2" s="1753" t="s">
        <v>714</v>
      </c>
      <c r="P2" s="1753" t="s">
        <v>760</v>
      </c>
      <c r="Q2" s="1753" t="s">
        <v>801</v>
      </c>
      <c r="R2" s="1753" t="s">
        <v>815</v>
      </c>
      <c r="S2" s="1753" t="s">
        <v>1580</v>
      </c>
      <c r="T2" s="1753" t="s">
        <v>714</v>
      </c>
      <c r="U2" s="1753" t="s">
        <v>760</v>
      </c>
      <c r="V2" s="1753" t="s">
        <v>801</v>
      </c>
      <c r="W2" s="1753" t="s">
        <v>815</v>
      </c>
      <c r="X2" s="1753" t="s">
        <v>1580</v>
      </c>
      <c r="Y2" s="1753"/>
      <c r="Z2" s="1753" t="s">
        <v>714</v>
      </c>
      <c r="AA2" s="1762" t="s">
        <v>760</v>
      </c>
      <c r="AB2" s="1753" t="s">
        <v>801</v>
      </c>
      <c r="AC2" s="1753" t="s">
        <v>815</v>
      </c>
      <c r="AD2" s="1753" t="s">
        <v>1580</v>
      </c>
    </row>
    <row customHeight="1" ht="162">
      <c r="A3" s="1757" t="s">
        <v>23</v>
      </c>
      <c r="B3" s="1757"/>
      <c r="C3" s="3403" t="s">
        <v>1967</v>
      </c>
      <c r="D3" s="3404"/>
      <c r="E3" s="3404"/>
      <c r="F3" s="3405"/>
      <c r="G3" s="1755"/>
      <c r="H3" s="1755"/>
      <c r="I3" s="1755"/>
      <c r="J3" s="1755"/>
      <c r="K3" s="1755"/>
      <c r="L3" s="1755"/>
      <c r="M3" s="1755"/>
      <c r="N3" s="1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755"/>
      <c r="P3" s="1755"/>
      <c r="Q3" s="1755"/>
      <c r="R3" s="1755"/>
      <c r="S3" s="1755"/>
      <c r="T3" s="1755"/>
      <c r="U3" s="1755"/>
      <c r="V3" s="1755"/>
      <c r="W3" s="1755"/>
      <c r="X3" s="1755"/>
      <c r="Y3" s="1913"/>
      <c r="Z3" s="1758" t="s">
        <v>1968</v>
      </c>
      <c r="AA3" s="1755" t="s">
        <v>1969</v>
      </c>
      <c r="AB3" s="1758" t="s">
        <v>1970</v>
      </c>
      <c r="AC3" s="1758" t="s">
        <v>1971</v>
      </c>
      <c r="AD3" s="1758"/>
      <c r="AG3" s="1758"/>
      <c r="AH3" s="1758"/>
    </row>
    <row customHeight="1" ht="9">
      <c r="A4" s="1757"/>
      <c r="B4" s="1757"/>
      <c r="C4" s="1755"/>
      <c r="D4" s="1755"/>
      <c r="E4" s="1755"/>
      <c r="F4" s="1755"/>
      <c r="G4" s="1755"/>
      <c r="H4" s="1755"/>
      <c r="I4" s="1755"/>
      <c r="J4" s="1755"/>
      <c r="K4" s="1755"/>
      <c r="L4" s="1755"/>
      <c r="M4" s="1755"/>
      <c r="N4" s="1755"/>
      <c r="O4" s="1755"/>
      <c r="P4" s="1755"/>
      <c r="Q4" s="1755"/>
      <c r="R4" s="1755"/>
      <c r="S4" s="1755"/>
      <c r="T4" s="1755"/>
      <c r="U4" s="1755"/>
      <c r="V4" s="1755"/>
      <c r="W4" s="1755"/>
      <c r="X4" s="1755"/>
      <c r="Y4" s="1913"/>
      <c r="Z4" s="1758"/>
      <c r="AA4" s="1761"/>
      <c r="AB4" s="1758"/>
      <c r="AC4" s="1758"/>
      <c r="AD4" s="1758"/>
    </row>
    <row customHeight="1" ht="9">
      <c r="A5" s="1757"/>
      <c r="B5" s="1757"/>
      <c r="C5" s="1755"/>
      <c r="D5" s="1755"/>
      <c r="E5" s="1755"/>
      <c r="F5" s="1755"/>
      <c r="G5" s="1755"/>
      <c r="H5" s="1755"/>
      <c r="I5" s="1755"/>
      <c r="J5" s="1755"/>
      <c r="K5" s="1755"/>
      <c r="L5" s="1755"/>
      <c r="M5" s="1755"/>
      <c r="N5" s="1755"/>
      <c r="O5" s="1755"/>
      <c r="P5" s="1755"/>
      <c r="Q5" s="1755"/>
      <c r="R5" s="1755"/>
      <c r="S5" s="1755"/>
      <c r="T5" s="1755"/>
      <c r="U5" s="1755"/>
      <c r="V5" s="1755"/>
      <c r="W5" s="1755"/>
      <c r="X5" s="1755"/>
      <c r="Y5" s="1913"/>
      <c r="Z5" s="1758"/>
      <c r="AA5" s="1761"/>
      <c r="AB5" s="1758"/>
      <c r="AC5" s="1758"/>
      <c r="AD5" s="1758"/>
    </row>
    <row customHeight="1" ht="9">
      <c r="A6" s="1757"/>
      <c r="B6" s="1757"/>
      <c r="C6" s="1755"/>
      <c r="D6" s="1755"/>
      <c r="E6" s="1755"/>
      <c r="F6" s="1755"/>
      <c r="G6" s="1755"/>
      <c r="H6" s="1755"/>
      <c r="I6" s="1755"/>
      <c r="J6" s="1755"/>
      <c r="K6" s="1755"/>
      <c r="L6" s="1755"/>
      <c r="M6" s="1755"/>
      <c r="N6" s="1755"/>
      <c r="O6" s="1755"/>
      <c r="P6" s="1755"/>
      <c r="Q6" s="1755"/>
      <c r="R6" s="1755"/>
      <c r="S6" s="1755"/>
      <c r="T6" s="1755"/>
      <c r="U6" s="1755"/>
      <c r="V6" s="1755"/>
      <c r="W6" s="1755"/>
      <c r="X6" s="1755"/>
      <c r="Y6" s="1913"/>
      <c r="Z6" s="1758"/>
      <c r="AA6" s="1761"/>
      <c r="AB6" s="1758"/>
      <c r="AC6" s="1758"/>
      <c r="AD6" s="1758"/>
    </row>
    <row customHeight="1" ht="9">
      <c r="A7" s="1757"/>
      <c r="B7" s="1757"/>
      <c r="C7" s="1755"/>
      <c r="D7" s="1755"/>
      <c r="E7" s="1755"/>
      <c r="F7" s="1755"/>
      <c r="G7" s="1755"/>
      <c r="H7" s="1755"/>
      <c r="I7" s="1755"/>
      <c r="J7" s="1755"/>
      <c r="K7" s="1755"/>
      <c r="L7" s="1755"/>
      <c r="M7" s="1755"/>
      <c r="N7" s="1755"/>
      <c r="O7" s="1755"/>
      <c r="P7" s="1755"/>
      <c r="Q7" s="1755"/>
      <c r="R7" s="1755"/>
      <c r="S7" s="1755"/>
      <c r="T7" s="1755"/>
      <c r="U7" s="1755"/>
      <c r="V7" s="1755"/>
      <c r="W7" s="1755"/>
      <c r="X7" s="1755"/>
      <c r="Y7" s="1913"/>
      <c r="Z7" s="1758"/>
      <c r="AA7" s="1761"/>
      <c r="AB7" s="1758"/>
      <c r="AC7" s="1758"/>
      <c r="AD7" s="1758"/>
    </row>
    <row customHeight="1" ht="9">
      <c r="A8" s="1757"/>
      <c r="B8" s="1757"/>
      <c r="C8" s="1755"/>
      <c r="D8" s="1755"/>
      <c r="E8" s="1755"/>
      <c r="F8" s="1755"/>
      <c r="G8" s="1755"/>
      <c r="H8" s="1755"/>
      <c r="I8" s="1755"/>
      <c r="J8" s="1755"/>
      <c r="K8" s="1755"/>
      <c r="L8" s="1755"/>
      <c r="M8" s="1755"/>
      <c r="N8" s="1755"/>
      <c r="O8" s="1755"/>
      <c r="P8" s="1755"/>
      <c r="Q8" s="1755"/>
      <c r="R8" s="1755"/>
      <c r="S8" s="1755"/>
      <c r="T8" s="1755"/>
      <c r="U8" s="1755"/>
      <c r="V8" s="1755"/>
      <c r="W8" s="1755"/>
      <c r="X8" s="1755"/>
      <c r="Y8" s="1913"/>
      <c r="Z8" s="1758"/>
      <c r="AA8" s="1761"/>
      <c r="AB8" s="1758"/>
      <c r="AC8" s="1758"/>
      <c r="AD8" s="1758"/>
    </row>
    <row customHeight="1" ht="9">
      <c r="A9" s="1757"/>
      <c r="B9" s="1757"/>
      <c r="C9" s="1755"/>
      <c r="D9" s="1755"/>
      <c r="E9" s="1755"/>
      <c r="F9" s="1755"/>
      <c r="G9" s="1755"/>
      <c r="H9" s="1755"/>
      <c r="I9" s="1755"/>
      <c r="J9" s="1755"/>
      <c r="K9" s="1755"/>
      <c r="L9" s="1755"/>
      <c r="M9" s="1755"/>
      <c r="N9" s="1755"/>
      <c r="O9" s="1755"/>
      <c r="P9" s="1755"/>
      <c r="Q9" s="1755"/>
      <c r="R9" s="1755"/>
      <c r="S9" s="1755"/>
      <c r="T9" s="1755"/>
      <c r="U9" s="1755"/>
      <c r="V9" s="1755"/>
      <c r="W9" s="1755"/>
      <c r="X9" s="1755"/>
      <c r="Y9" s="1913"/>
      <c r="Z9" s="1758"/>
      <c r="AA9" s="1761"/>
      <c r="AB9" s="1758"/>
      <c r="AC9" s="1758"/>
      <c r="AD9" s="1758"/>
    </row>
    <row customHeight="1" ht="9">
      <c r="A10" s="1811"/>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row>
    <row customHeight="1" ht="45">
      <c r="A11" s="3400" t="s">
        <v>29</v>
      </c>
      <c r="B11" s="1811">
        <v>1</v>
      </c>
      <c r="C11" s="3406" t="s">
        <v>1518</v>
      </c>
      <c r="D11" s="3406" t="s">
        <v>1514</v>
      </c>
      <c r="E11" s="3406" t="s">
        <v>1612</v>
      </c>
      <c r="F11" s="3406" t="s">
        <v>1972</v>
      </c>
      <c r="G11" s="3406"/>
      <c r="H11" s="1810" t="s">
        <v>1973</v>
      </c>
      <c r="I11" s="1810"/>
      <c r="J11" s="1810"/>
      <c r="K11" s="1810"/>
      <c r="L11" s="1810"/>
      <c r="M11" s="1756" t="str">
        <f>IF(TEMPLATE_SPHERE="HEAT",T11,U11)</f>
        <v>Количество поданных заявок</v>
      </c>
      <c r="N11" s="175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755"/>
      <c r="P11" s="1755"/>
      <c r="Q11" s="1755"/>
      <c r="R11" s="1755"/>
      <c r="S11" s="1755"/>
      <c r="T11" s="1755" t="s">
        <v>1974</v>
      </c>
      <c r="U11" s="1755" t="s">
        <v>1975</v>
      </c>
      <c r="V11" s="1755"/>
      <c r="W11" s="1755"/>
      <c r="X11" s="1755"/>
      <c r="Y11" s="1913"/>
      <c r="Z11" s="1758" t="s">
        <v>1976</v>
      </c>
      <c r="AA11" s="1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758"/>
      <c r="AC11" s="1758"/>
      <c r="AD11" s="1758"/>
    </row>
    <row customHeight="1" ht="45">
      <c r="A12" s="3400"/>
      <c r="B12" s="1811">
        <v>2</v>
      </c>
      <c r="C12" s="3407"/>
      <c r="D12" s="3407"/>
      <c r="E12" s="3407"/>
      <c r="F12" s="3407"/>
      <c r="G12" s="3407"/>
      <c r="H12" s="1810" t="s">
        <v>1977</v>
      </c>
      <c r="I12" s="1810"/>
      <c r="J12" s="1810"/>
      <c r="K12" s="1810"/>
      <c r="L12" s="1810"/>
      <c r="M12" s="1756" t="str">
        <f>IF(TEMPLATE_SPHERE="HEAT",T12,U12)</f>
        <v>Количество рассмотренных заявок</v>
      </c>
      <c r="N12" s="175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755"/>
      <c r="P12" s="1755"/>
      <c r="Q12" s="1755"/>
      <c r="R12" s="1755"/>
      <c r="S12" s="1755"/>
      <c r="T12" s="1755" t="s">
        <v>1978</v>
      </c>
      <c r="U12" s="1755" t="s">
        <v>1979</v>
      </c>
      <c r="V12" s="1755"/>
      <c r="W12" s="1755"/>
      <c r="X12" s="1755"/>
      <c r="Y12" s="1913"/>
      <c r="Z12" s="1758" t="s">
        <v>1980</v>
      </c>
      <c r="AA12" s="1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758"/>
      <c r="AC12" s="1758"/>
      <c r="AD12" s="1758"/>
    </row>
    <row customHeight="1" ht="72">
      <c r="A13" s="3400"/>
      <c r="B13" s="1811">
        <v>3</v>
      </c>
      <c r="C13" s="3407"/>
      <c r="D13" s="3407"/>
      <c r="E13" s="3407"/>
      <c r="F13" s="3407"/>
      <c r="G13" s="3407"/>
      <c r="H13" s="3399" t="s">
        <v>1981</v>
      </c>
      <c r="I13" s="1810"/>
      <c r="J13" s="1810"/>
      <c r="K13" s="1810"/>
      <c r="L13" s="1810"/>
      <c r="M13" s="1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756" t="str">
        <f>IF(TEMPLATE_SPHERE="HEAT",Z13,AA13)</f>
        <v>Указывается количество заявок с решением об отказе в течение отчетного квартала.</v>
      </c>
      <c r="O13" s="1755"/>
      <c r="P13" s="1756"/>
      <c r="Q13" s="1756"/>
      <c r="R13" s="1756"/>
      <c r="S13" s="1755"/>
      <c r="T13" s="1755" t="s">
        <v>1982</v>
      </c>
      <c r="U13" s="1756" t="s">
        <v>1983</v>
      </c>
      <c r="V13" s="1756"/>
      <c r="W13" s="1756"/>
      <c r="X13" s="1755"/>
      <c r="Y13" s="1913"/>
      <c r="Z13" s="1758" t="s">
        <v>1984</v>
      </c>
      <c r="AA13" s="1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758"/>
      <c r="AC13" s="1758"/>
      <c r="AD13" s="1758"/>
    </row>
    <row customHeight="1" ht="45">
      <c r="A14" s="3400"/>
      <c r="B14" s="1811">
        <v>4</v>
      </c>
      <c r="C14" s="3407"/>
      <c r="D14" s="3407"/>
      <c r="E14" s="3407"/>
      <c r="F14" s="3407"/>
      <c r="G14" s="3407"/>
      <c r="H14" s="3399"/>
      <c r="I14" s="1813"/>
      <c r="J14" s="1813"/>
      <c r="K14" s="1813"/>
      <c r="L14" s="1813"/>
      <c r="M14" s="1759" t="str">
        <f>IF(TEMPLATE_SPHERE="HEAT",T14,U14)</f>
        <v>Причины отказа в заключении договора о подключении (технологическом присоединении) к системе теплоснабжения</v>
      </c>
      <c r="N14" s="17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755"/>
      <c r="P14" s="1756"/>
      <c r="Q14" s="1756"/>
      <c r="R14" s="1756"/>
      <c r="S14" s="1755"/>
      <c r="T14" s="1755" t="s">
        <v>1985</v>
      </c>
      <c r="U14" s="1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756"/>
      <c r="W14" s="1756"/>
      <c r="X14" s="1755"/>
      <c r="Y14" s="1913"/>
      <c r="Z14" s="1758" t="s">
        <v>1986</v>
      </c>
      <c r="AA14" s="1761" t="s">
        <v>1986</v>
      </c>
      <c r="AB14" s="1758"/>
      <c r="AC14" s="1758"/>
      <c r="AD14" s="1758"/>
    </row>
    <row customHeight="1" ht="108">
      <c r="A15" s="3400"/>
      <c r="B15" s="1811">
        <v>5</v>
      </c>
      <c r="C15" s="3407"/>
      <c r="D15" s="3407"/>
      <c r="E15" s="3407"/>
      <c r="F15" s="3407"/>
      <c r="G15" s="3407"/>
      <c r="H15" s="3401" t="s">
        <v>1987</v>
      </c>
      <c r="I15" s="1812"/>
      <c r="J15" s="1812"/>
      <c r="K15" s="1812"/>
      <c r="L15" s="1812"/>
      <c r="M15" s="1761" t="str">
        <f>IF(TEMPLATE_SPHERE="HEAT",T15,U15)</f>
        <v>Резерв мощности источников тепловой энергии, входящих в систему теплоснабжения, в течение одного квартала, в том числе:</v>
      </c>
      <c r="N15" s="176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755"/>
      <c r="P15" s="1756"/>
      <c r="Q15" s="1756"/>
      <c r="R15" s="1756"/>
      <c r="S15" s="1755"/>
      <c r="T15" s="1755" t="s">
        <v>1988</v>
      </c>
      <c r="U15" s="1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756"/>
      <c r="W15" s="1756"/>
      <c r="X15" s="1755"/>
      <c r="Y15" s="1913"/>
      <c r="Z15" s="1758" t="s">
        <v>1989</v>
      </c>
      <c r="AA15" s="1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758"/>
      <c r="AC15" s="1758"/>
      <c r="AD15" s="1758"/>
    </row>
    <row customHeight="1" ht="108">
      <c r="A16" s="1811"/>
      <c r="B16" s="1811">
        <v>6</v>
      </c>
      <c r="C16" s="3408"/>
      <c r="D16" s="3408"/>
      <c r="E16" s="3408"/>
      <c r="F16" s="3408"/>
      <c r="G16" s="3408"/>
      <c r="H16" s="3402"/>
      <c r="I16" s="1875"/>
      <c r="J16" s="1875"/>
      <c r="K16" s="1875"/>
      <c r="L16" s="1875"/>
      <c r="M16" s="1804"/>
      <c r="N16" s="176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755"/>
      <c r="P16" s="1756"/>
      <c r="Q16" s="1756"/>
      <c r="R16" s="1756"/>
      <c r="S16" s="1755"/>
      <c r="T16" s="1755"/>
      <c r="U16" s="1756"/>
      <c r="V16" s="1756"/>
      <c r="W16" s="1756"/>
      <c r="X16" s="1755"/>
      <c r="Y16" s="1913"/>
      <c r="Z16" s="1758" t="s">
        <v>1989</v>
      </c>
      <c r="AA16" s="1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758"/>
      <c r="AC16" s="1758"/>
      <c r="AD16" s="1758"/>
    </row>
    <row customHeight="1" ht="9">
      <c r="A17" s="1811"/>
      <c r="B17" s="1811"/>
      <c r="C17" s="1811">
        <v>22</v>
      </c>
      <c r="D17" s="1811">
        <v>21</v>
      </c>
      <c r="E17" s="1811">
        <v>42</v>
      </c>
      <c r="F17" s="1811">
        <v>63</v>
      </c>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row>
    <row customHeight="1" ht="27">
      <c r="A18" s="1757" t="s">
        <v>1615</v>
      </c>
      <c r="B18" s="1811">
        <v>1</v>
      </c>
      <c r="C18" s="1755" t="s">
        <v>1973</v>
      </c>
      <c r="D18" s="1880" t="s">
        <v>1973</v>
      </c>
      <c r="E18" s="1755" t="s">
        <v>1973</v>
      </c>
      <c r="F18" s="1755" t="s">
        <v>1973</v>
      </c>
      <c r="G18" s="1755"/>
      <c r="H18" s="1915"/>
      <c r="I18" s="1918">
        <f>INDEX(TEMPLATE_NUMBER_POINT_FHD,B18,MATCH(TEMPLATE_SPHERE,TEMPLATE_SPHERE_LIST_FOR_NOTE,0))</f>
        <v>1</v>
      </c>
      <c r="J18" s="1918" t="str">
        <f>INDEX(TEMPLATE_DATA_POINT_FHD,B18,MATCH(TEMPLATE_SPHERE,TEMPLATE_SPHERE_LIST_FOR_NOTE,0))</f>
        <v>Выручка от регулируемого вида деятельности с распределением по видам деятельности</v>
      </c>
      <c r="K18" s="191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756">
        <f>IF(I18=0,"",I18)</f>
        <v>1</v>
      </c>
      <c r="M18" s="1756" t="str">
        <f>IF(J18=0,"",J18)</f>
        <v>Выручка от регулируемого вида деятельности с распределением по видам деятельности</v>
      </c>
      <c r="N18" s="1756" t="str">
        <f>IF(K18=0,"",K18)</f>
        <v>Указывается выручка от регулируемого вида деятельности с распределением по видам деятельности.</v>
      </c>
      <c r="O18" s="1870">
        <v>1</v>
      </c>
      <c r="P18" s="1870">
        <v>1</v>
      </c>
      <c r="Q18" s="1870">
        <v>1</v>
      </c>
      <c r="R18" s="1870">
        <v>1</v>
      </c>
      <c r="S18" s="1870"/>
      <c r="T18" s="1877" t="s">
        <v>1990</v>
      </c>
      <c r="U18" s="1758" t="s">
        <v>1991</v>
      </c>
      <c r="V18" s="1758" t="s">
        <v>1992</v>
      </c>
      <c r="W18" s="1758" t="s">
        <v>1993</v>
      </c>
      <c r="X18" s="1755"/>
      <c r="Y18" s="1913"/>
      <c r="Z18" s="1758" t="s">
        <v>1994</v>
      </c>
      <c r="AA18" s="1761" t="s">
        <v>1995</v>
      </c>
      <c r="AB18" s="1761" t="s">
        <v>1995</v>
      </c>
      <c r="AC18" s="1761" t="s">
        <v>1995</v>
      </c>
      <c r="AD18" s="1758"/>
    </row>
    <row customHeight="1" ht="36">
      <c r="A19" s="1757"/>
      <c r="B19" s="1811">
        <v>2</v>
      </c>
      <c r="C19" s="1755" t="s">
        <v>1977</v>
      </c>
      <c r="D19" s="1880" t="s">
        <v>1977</v>
      </c>
      <c r="E19" s="1755" t="s">
        <v>1977</v>
      </c>
      <c r="F19" s="1755" t="s">
        <v>1977</v>
      </c>
      <c r="G19" s="1755"/>
      <c r="H19" s="1915"/>
      <c r="I19" s="1918">
        <f>INDEX(TEMPLATE_NUMBER_POINT_FHD,B19,MATCH(TEMPLATE_SPHERE,TEMPLATE_SPHERE_LIST_FOR_NOTE,0))</f>
        <v>2</v>
      </c>
      <c r="J19" s="191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918" t="str">
        <f>INDEX(TEMPLATE_NOTE_POINT_FHD,B19,MATCH(TEMPLATE_SPHERE,TEMPLATE_SPHERE_LIST_FOR_NOTE,0))</f>
        <v>Указывается суммарная себестоимость производимых товаров.</v>
      </c>
      <c r="L19" s="1756">
        <f>IF(I19=0,"",I19)</f>
        <v>2</v>
      </c>
      <c r="M19" s="1756" t="str">
        <f>IF(J19=0,"",J19)</f>
        <v>Себестоимость производимых товаров (оказываемых услуг) по регулируемому виду деятельности, включая:</v>
      </c>
      <c r="N19" s="1756" t="str">
        <f>IF(K19=0,"",K19)</f>
        <v>Указывается суммарная себестоимость производимых товаров.</v>
      </c>
      <c r="O19" s="1870">
        <v>2</v>
      </c>
      <c r="P19" s="1870">
        <v>2</v>
      </c>
      <c r="Q19" s="1870">
        <v>2</v>
      </c>
      <c r="R19" s="1870">
        <v>2</v>
      </c>
      <c r="S19" s="1870"/>
      <c r="T19" s="1877" t="s">
        <v>1996</v>
      </c>
      <c r="U19" s="1758" t="s">
        <v>1997</v>
      </c>
      <c r="V19" s="1758" t="s">
        <v>1998</v>
      </c>
      <c r="W19" s="1758" t="s">
        <v>1999</v>
      </c>
      <c r="X19" s="1755"/>
      <c r="Y19" s="1913"/>
      <c r="Z19" s="1758" t="s">
        <v>2000</v>
      </c>
      <c r="AA19" s="1761" t="s">
        <v>2000</v>
      </c>
      <c r="AB19" s="1761" t="s">
        <v>2000</v>
      </c>
      <c r="AC19" s="1761" t="s">
        <v>2000</v>
      </c>
      <c r="AD19" s="1758"/>
    </row>
    <row customHeight="1" ht="27">
      <c r="A20" s="1757"/>
      <c r="B20" s="1811">
        <v>3</v>
      </c>
      <c r="C20" s="1755">
        <v>1</v>
      </c>
      <c r="D20" s="1880"/>
      <c r="E20" s="1755"/>
      <c r="F20" s="1755"/>
      <c r="G20" s="1755"/>
      <c r="H20" s="1915"/>
      <c r="I20" s="1918" t="str">
        <f>INDEX(TEMPLATE_NUMBER_POINT_FHD,B20,MATCH(TEMPLATE_SPHERE,TEMPLATE_SPHERE_LIST_FOR_NOTE,0))</f>
        <v>2.1</v>
      </c>
      <c r="J20" s="1918" t="str">
        <f>INDEX(TEMPLATE_DATA_POINT_FHD,B20,MATCH(TEMPLATE_SPHERE,TEMPLATE_SPHERE_LIST_FOR_NOTE,0))</f>
        <v>Расходы на приобретаемую тепловую энергию (мощность), теплоноситель</v>
      </c>
      <c r="K20" s="1918">
        <f>INDEX(TEMPLATE_NOTE_POINT_FHD,B20,MATCH(TEMPLATE_SPHERE,TEMPLATE_SPHERE_LIST_FOR_NOTE,0))</f>
        <v>0</v>
      </c>
      <c r="L20" s="1756" t="str">
        <f>IF(I20=0,"",I20)</f>
        <v>2.1</v>
      </c>
      <c r="M20" s="1756" t="str">
        <f>IF(J20=0,"",J20)</f>
        <v>Расходы на приобретаемую тепловую энергию (мощность), теплоноситель</v>
      </c>
      <c r="N20" s="1756" t="str">
        <f>IF(K20=0,"",K20)</f>
        <v/>
      </c>
      <c r="O20" s="1870" t="s">
        <v>614</v>
      </c>
      <c r="P20" s="1870" t="s">
        <v>614</v>
      </c>
      <c r="Q20" s="1870" t="s">
        <v>614</v>
      </c>
      <c r="R20" s="1870" t="s">
        <v>614</v>
      </c>
      <c r="S20" s="1870"/>
      <c r="T20" s="1877" t="s">
        <v>2001</v>
      </c>
      <c r="U20" s="1758" t="s">
        <v>2002</v>
      </c>
      <c r="V20" s="1758" t="s">
        <v>2003</v>
      </c>
      <c r="W20" s="1758" t="s">
        <v>2004</v>
      </c>
      <c r="X20" s="1755"/>
      <c r="Y20" s="1913"/>
      <c r="Z20" s="1758"/>
      <c r="AA20" s="1761"/>
      <c r="AB20" s="1758"/>
      <c r="AC20" s="1758"/>
      <c r="AD20" s="1758"/>
    </row>
    <row customHeight="1" ht="36">
      <c r="A21" s="1757"/>
      <c r="B21" s="1811">
        <v>4</v>
      </c>
      <c r="C21" s="1755">
        <v>2</v>
      </c>
      <c r="D21" s="1880"/>
      <c r="E21" s="1755"/>
      <c r="F21" s="1755"/>
      <c r="G21" s="1755"/>
      <c r="H21" s="1915"/>
      <c r="I21" s="1918" t="str">
        <f>INDEX(TEMPLATE_NUMBER_POINT_FHD,B21,MATCH(TEMPLATE_SPHERE,TEMPLATE_SPHERE_LIST_FOR_NOTE,0))</f>
        <v>2.2</v>
      </c>
      <c r="J21" s="191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918" t="str">
        <f>INDEX(TEMPLATE_NOTE_POINT_FHD,B21,MATCH(TEMPLATE_SPHERE,TEMPLATE_SPHERE_LIST_FOR_NOTE,0))</f>
        <v>Указываются суммарные расходы на приобретение топлива всех видов.</v>
      </c>
      <c r="L21" s="1756" t="str">
        <f>IF(I21=0,"",I21)</f>
        <v>2.2</v>
      </c>
      <c r="M21" s="175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756" t="str">
        <f>IF(K21=0,"",K21)</f>
        <v>Указываются суммарные расходы на приобретение топлива всех видов.</v>
      </c>
      <c r="O21" s="1870" t="s">
        <v>298</v>
      </c>
      <c r="P21" s="1870"/>
      <c r="Q21" s="1870"/>
      <c r="R21" s="1870"/>
      <c r="S21" s="1870"/>
      <c r="T21" s="1877" t="s">
        <v>2005</v>
      </c>
      <c r="U21" s="1758"/>
      <c r="V21" s="1758"/>
      <c r="W21" s="1758"/>
      <c r="X21" s="1755"/>
      <c r="Y21" s="1913"/>
      <c r="Z21" s="1758" t="s">
        <v>2006</v>
      </c>
      <c r="AA21" s="1761"/>
      <c r="AB21" s="1758"/>
      <c r="AC21" s="1758"/>
      <c r="AD21" s="1758"/>
    </row>
    <row customHeight="1" ht="36">
      <c r="A22" s="1757"/>
      <c r="B22" s="1811">
        <v>5</v>
      </c>
      <c r="C22" s="1755">
        <v>3</v>
      </c>
      <c r="D22" s="1880"/>
      <c r="E22" s="1755"/>
      <c r="F22" s="1755"/>
      <c r="G22" s="1803"/>
      <c r="H22" s="1871"/>
      <c r="I22" s="1918">
        <f>INDEX(TEMPLATE_NUMBER_POINT_FHD,B22,MATCH(TEMPLATE_SPHERE,TEMPLATE_SPHERE_LIST_FOR_NOTE,0))</f>
        <v>0</v>
      </c>
      <c r="J22" s="1918">
        <f>INDEX(TEMPLATE_DATA_POINT_FHD,B22,MATCH(TEMPLATE_SPHERE,TEMPLATE_SPHERE_LIST_FOR_NOTE,0))</f>
        <v>0</v>
      </c>
      <c r="K22" s="1918">
        <f>INDEX(TEMPLATE_NOTE_POINT_FHD,B22,MATCH(TEMPLATE_SPHERE,TEMPLATE_SPHERE_LIST_FOR_NOTE,0))</f>
        <v>0</v>
      </c>
      <c r="L22" s="1756" t="str">
        <f>IF(I22=0,"",I22)</f>
        <v/>
      </c>
      <c r="M22" s="1756" t="str">
        <f>IF(J22=0,"",J22)</f>
        <v/>
      </c>
      <c r="N22" s="1756" t="str">
        <f>IF(K22=0,"",K22)</f>
        <v/>
      </c>
      <c r="O22" s="1870"/>
      <c r="P22" s="1870"/>
      <c r="Q22" s="1870" t="s">
        <v>298</v>
      </c>
      <c r="R22" s="1870"/>
      <c r="S22" s="1870"/>
      <c r="T22" s="1877"/>
      <c r="U22" s="1758"/>
      <c r="V22" s="1758" t="s">
        <v>2007</v>
      </c>
      <c r="W22" s="1758"/>
      <c r="X22" s="1755"/>
      <c r="Y22" s="1913"/>
      <c r="Z22" s="1758"/>
      <c r="AA22" s="1761"/>
      <c r="AB22" s="1758"/>
      <c r="AC22" s="1758"/>
      <c r="AD22" s="1758"/>
    </row>
    <row customHeight="1" ht="27">
      <c r="A23" s="1757"/>
      <c r="B23" s="1811">
        <v>6</v>
      </c>
      <c r="C23" s="1755">
        <v>4</v>
      </c>
      <c r="D23" s="1880"/>
      <c r="E23" s="1755"/>
      <c r="F23" s="1755"/>
      <c r="G23" s="1803"/>
      <c r="H23" s="1871"/>
      <c r="I23" s="1918">
        <f>INDEX(TEMPLATE_NUMBER_POINT_FHD,B23,MATCH(TEMPLATE_SPHERE,TEMPLATE_SPHERE_LIST_FOR_NOTE,0))</f>
        <v>0</v>
      </c>
      <c r="J23" s="1918">
        <f>INDEX(TEMPLATE_DATA_POINT_FHD,B23,MATCH(TEMPLATE_SPHERE,TEMPLATE_SPHERE_LIST_FOR_NOTE,0))</f>
        <v>0</v>
      </c>
      <c r="K23" s="1918">
        <f>INDEX(TEMPLATE_NOTE_POINT_FHD,B23,MATCH(TEMPLATE_SPHERE,TEMPLATE_SPHERE_LIST_FOR_NOTE,0))</f>
        <v>0</v>
      </c>
      <c r="L23" s="1756" t="str">
        <f>IF(I23=0,"",I23)</f>
        <v/>
      </c>
      <c r="M23" s="1756" t="str">
        <f>IF(J23=0,"",J23)</f>
        <v/>
      </c>
      <c r="N23" s="1756" t="str">
        <f>IF(K23=0,"",K23)</f>
        <v/>
      </c>
      <c r="O23" s="1870"/>
      <c r="P23" s="1870"/>
      <c r="Q23" s="1870" t="s">
        <v>301</v>
      </c>
      <c r="R23" s="1870"/>
      <c r="S23" s="1870"/>
      <c r="T23" s="1877"/>
      <c r="U23" s="1758"/>
      <c r="V23" s="1758" t="s">
        <v>2008</v>
      </c>
      <c r="W23" s="1758"/>
      <c r="X23" s="1755"/>
      <c r="Y23" s="1913"/>
      <c r="Z23" s="1758"/>
      <c r="AA23" s="1761"/>
      <c r="AB23" s="1758"/>
      <c r="AC23" s="1758"/>
      <c r="AD23" s="1758"/>
    </row>
    <row customHeight="1" ht="36">
      <c r="A24" s="1757"/>
      <c r="B24" s="1811">
        <v>7</v>
      </c>
      <c r="C24" s="1755">
        <v>5</v>
      </c>
      <c r="D24" s="1880"/>
      <c r="E24" s="1755"/>
      <c r="F24" s="1755"/>
      <c r="G24" s="1803"/>
      <c r="H24" s="1871"/>
      <c r="I24" s="1918">
        <f>INDEX(TEMPLATE_NUMBER_POINT_FHD,B24,MATCH(TEMPLATE_SPHERE,TEMPLATE_SPHERE_LIST_FOR_NOTE,0))</f>
        <v>0</v>
      </c>
      <c r="J24" s="1918">
        <f>INDEX(TEMPLATE_DATA_POINT_FHD,B24,MATCH(TEMPLATE_SPHERE,TEMPLATE_SPHERE_LIST_FOR_NOTE,0))</f>
        <v>0</v>
      </c>
      <c r="K24" s="1918">
        <f>INDEX(TEMPLATE_NOTE_POINT_FHD,B24,MATCH(TEMPLATE_SPHERE,TEMPLATE_SPHERE_LIST_FOR_NOTE,0))</f>
        <v>0</v>
      </c>
      <c r="L24" s="1756" t="str">
        <f>IF(I24=0,"",I24)</f>
        <v/>
      </c>
      <c r="M24" s="1756" t="str">
        <f>IF(J24=0,"",J24)</f>
        <v/>
      </c>
      <c r="N24" s="1756" t="str">
        <f>IF(K24=0,"",K24)</f>
        <v/>
      </c>
      <c r="O24" s="1870"/>
      <c r="P24" s="1870"/>
      <c r="Q24" s="1870" t="s">
        <v>634</v>
      </c>
      <c r="R24" s="1870"/>
      <c r="S24" s="1870"/>
      <c r="T24" s="1877"/>
      <c r="U24" s="1758"/>
      <c r="V24" s="1758" t="s">
        <v>2009</v>
      </c>
      <c r="W24" s="1758"/>
      <c r="X24" s="1755"/>
      <c r="Y24" s="1913"/>
      <c r="Z24" s="1758"/>
      <c r="AA24" s="1761"/>
      <c r="AB24" s="1758"/>
      <c r="AC24" s="1758"/>
      <c r="AD24" s="1758"/>
    </row>
    <row customHeight="1" ht="36">
      <c r="A25" s="1757"/>
      <c r="B25" s="1811">
        <v>8</v>
      </c>
      <c r="C25" s="1755">
        <v>6</v>
      </c>
      <c r="D25" s="1880"/>
      <c r="E25" s="1755"/>
      <c r="F25" s="1755"/>
      <c r="G25" s="1803"/>
      <c r="H25" s="1871"/>
      <c r="I25" s="1918" t="str">
        <f>INDEX(TEMPLATE_NUMBER_POINT_FHD,B25,MATCH(TEMPLATE_SPHERE,TEMPLATE_SPHERE_LIST_FOR_NOTE,0))</f>
        <v>2.3</v>
      </c>
      <c r="J25" s="191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918">
        <f>INDEX(TEMPLATE_NOTE_POINT_FHD,B25,MATCH(TEMPLATE_SPHERE,TEMPLATE_SPHERE_LIST_FOR_NOTE,0))</f>
        <v>0</v>
      </c>
      <c r="L25" s="1756" t="str">
        <f>IF(I25=0,"",I25)</f>
        <v>2.3</v>
      </c>
      <c r="M25" s="1756" t="str">
        <f>IF(J25=0,"",J25)</f>
        <v>Расходы на приобретаемую электрическую энергию (мощность), используемую в технологическом процессе</v>
      </c>
      <c r="N25" s="1756" t="str">
        <f>IF(K25=0,"",K25)</f>
        <v/>
      </c>
      <c r="O25" s="1870" t="s">
        <v>301</v>
      </c>
      <c r="P25" s="1870" t="s">
        <v>298</v>
      </c>
      <c r="Q25" s="1870" t="s">
        <v>641</v>
      </c>
      <c r="R25" s="1870" t="s">
        <v>298</v>
      </c>
      <c r="S25" s="1870"/>
      <c r="T25" s="1877" t="s">
        <v>2010</v>
      </c>
      <c r="U25" s="1758" t="s">
        <v>2010</v>
      </c>
      <c r="V25" s="1758" t="s">
        <v>2010</v>
      </c>
      <c r="W25" s="1758" t="s">
        <v>2010</v>
      </c>
      <c r="X25" s="1755"/>
      <c r="Y25" s="1913"/>
      <c r="Z25" s="1758"/>
      <c r="AA25" s="1761"/>
      <c r="AB25" s="1758"/>
      <c r="AC25" s="1758"/>
      <c r="AD25" s="1758"/>
    </row>
    <row customHeight="1" ht="18">
      <c r="A26" s="1757"/>
      <c r="B26" s="1811">
        <v>9</v>
      </c>
      <c r="C26" s="1755" t="s">
        <v>813</v>
      </c>
      <c r="D26" s="1880"/>
      <c r="E26" s="1755"/>
      <c r="F26" s="1755"/>
      <c r="G26" s="1803"/>
      <c r="H26" s="1871"/>
      <c r="I26" s="1918" t="str">
        <f>INDEX(TEMPLATE_NUMBER_POINT_FHD,B26,MATCH(TEMPLATE_SPHERE,TEMPLATE_SPHERE_LIST_FOR_NOTE,0))</f>
        <v>2.3.1</v>
      </c>
      <c r="J26" s="1918" t="str">
        <f>INDEX(TEMPLATE_DATA_POINT_FHD,B26,MATCH(TEMPLATE_SPHERE,TEMPLATE_SPHERE_LIST_FOR_NOTE,0))</f>
        <v>Средневзвешенная стоимость 1 кВт.ч (с учетом мощности)</v>
      </c>
      <c r="K26" s="1918">
        <f>INDEX(TEMPLATE_NOTE_POINT_FHD,B26,MATCH(TEMPLATE_SPHERE,TEMPLATE_SPHERE_LIST_FOR_NOTE,0))</f>
        <v>0</v>
      </c>
      <c r="L26" s="1756" t="str">
        <f>IF(I26=0,"",I26)</f>
        <v>2.3.1</v>
      </c>
      <c r="M26" s="1756" t="str">
        <f>IF(J26=0,"",J26)</f>
        <v>Средневзвешенная стоимость 1 кВт.ч (с учетом мощности)</v>
      </c>
      <c r="N26" s="1756" t="str">
        <f>IF(K26=0,"",K26)</f>
        <v/>
      </c>
      <c r="O26" s="1870" t="s">
        <v>630</v>
      </c>
      <c r="P26" s="1870" t="s">
        <v>624</v>
      </c>
      <c r="Q26" s="1870" t="s">
        <v>2011</v>
      </c>
      <c r="R26" s="1870" t="s">
        <v>624</v>
      </c>
      <c r="S26" s="1870"/>
      <c r="T26" s="1877" t="s">
        <v>2012</v>
      </c>
      <c r="U26" s="1877" t="s">
        <v>2012</v>
      </c>
      <c r="V26" s="1877" t="s">
        <v>2012</v>
      </c>
      <c r="W26" s="1877" t="s">
        <v>2012</v>
      </c>
      <c r="X26" s="1755"/>
      <c r="Y26" s="1913"/>
      <c r="Z26" s="1758"/>
      <c r="AA26" s="1761"/>
      <c r="AB26" s="1758"/>
      <c r="AC26" s="1758"/>
      <c r="AD26" s="1758"/>
    </row>
    <row customHeight="1" ht="18">
      <c r="A27" s="1757"/>
      <c r="B27" s="1811">
        <v>10</v>
      </c>
      <c r="C27" s="1755" t="s">
        <v>2013</v>
      </c>
      <c r="D27" s="1880"/>
      <c r="E27" s="1755"/>
      <c r="F27" s="1755"/>
      <c r="G27" s="1803"/>
      <c r="H27" s="1871"/>
      <c r="I27" s="1918" t="str">
        <f>INDEX(TEMPLATE_NUMBER_POINT_FHD,B27,MATCH(TEMPLATE_SPHERE,TEMPLATE_SPHERE_LIST_FOR_NOTE,0))</f>
        <v>2.3.2</v>
      </c>
      <c r="J27" s="1918" t="str">
        <f>INDEX(TEMPLATE_DATA_POINT_FHD,B27,MATCH(TEMPLATE_SPHERE,TEMPLATE_SPHERE_LIST_FOR_NOTE,0))</f>
        <v>Объём приобретения электрической энергии</v>
      </c>
      <c r="K27" s="1918">
        <f>INDEX(TEMPLATE_NOTE_POINT_FHD,B27,MATCH(TEMPLATE_SPHERE,TEMPLATE_SPHERE_LIST_FOR_NOTE,0))</f>
        <v>0</v>
      </c>
      <c r="L27" s="1756" t="str">
        <f>IF(I27=0,"",I27)</f>
        <v>2.3.2</v>
      </c>
      <c r="M27" s="1756" t="str">
        <f>IF(J27=0,"",J27)</f>
        <v>Объём приобретения электрической энергии</v>
      </c>
      <c r="N27" s="1756" t="str">
        <f>IF(K27=0,"",K27)</f>
        <v/>
      </c>
      <c r="O27" s="1870" t="s">
        <v>632</v>
      </c>
      <c r="P27" s="1870" t="s">
        <v>626</v>
      </c>
      <c r="Q27" s="1870" t="s">
        <v>2014</v>
      </c>
      <c r="R27" s="1870" t="s">
        <v>626</v>
      </c>
      <c r="S27" s="1870"/>
      <c r="T27" s="1877" t="s">
        <v>2015</v>
      </c>
      <c r="U27" s="1877" t="s">
        <v>2015</v>
      </c>
      <c r="V27" s="1877" t="s">
        <v>2015</v>
      </c>
      <c r="W27" s="1877" t="s">
        <v>2015</v>
      </c>
      <c r="X27" s="1755"/>
      <c r="Y27" s="1913"/>
      <c r="Z27" s="1758"/>
      <c r="AA27" s="1761"/>
      <c r="AB27" s="1758"/>
      <c r="AC27" s="1758"/>
      <c r="AD27" s="1758"/>
    </row>
    <row customHeight="1" ht="27">
      <c r="A28" s="1757"/>
      <c r="B28" s="1811">
        <v>11</v>
      </c>
      <c r="C28" s="1755">
        <v>7</v>
      </c>
      <c r="D28" s="1880"/>
      <c r="E28" s="1755"/>
      <c r="F28" s="1755"/>
      <c r="G28" s="1803"/>
      <c r="H28" s="1871"/>
      <c r="I28" s="1918" t="str">
        <f>INDEX(TEMPLATE_NUMBER_POINT_FHD,B28,MATCH(TEMPLATE_SPHERE,TEMPLATE_SPHERE_LIST_FOR_NOTE,0))</f>
        <v>2.4</v>
      </c>
      <c r="J28" s="1918" t="str">
        <f>INDEX(TEMPLATE_DATA_POINT_FHD,B28,MATCH(TEMPLATE_SPHERE,TEMPLATE_SPHERE_LIST_FOR_NOTE,0))</f>
        <v>Расходы на приобретение холодной воды, используемой в технологическом процессе</v>
      </c>
      <c r="K28" s="1918">
        <f>INDEX(TEMPLATE_NOTE_POINT_FHD,B28,MATCH(TEMPLATE_SPHERE,TEMPLATE_SPHERE_LIST_FOR_NOTE,0))</f>
        <v>0</v>
      </c>
      <c r="L28" s="1756" t="str">
        <f>IF(I28=0,"",I28)</f>
        <v>2.4</v>
      </c>
      <c r="M28" s="1756" t="str">
        <f>IF(J28=0,"",J28)</f>
        <v>Расходы на приобретение холодной воды, используемой в технологическом процессе</v>
      </c>
      <c r="N28" s="1756" t="str">
        <f>IF(K28=0,"",K28)</f>
        <v/>
      </c>
      <c r="O28" s="1870" t="s">
        <v>634</v>
      </c>
      <c r="P28" s="1870"/>
      <c r="Q28" s="1870"/>
      <c r="R28" s="1870"/>
      <c r="S28" s="1870"/>
      <c r="T28" s="1877" t="s">
        <v>2016</v>
      </c>
      <c r="U28" s="1758"/>
      <c r="V28" s="1758"/>
      <c r="W28" s="1758"/>
      <c r="X28" s="1755"/>
      <c r="Y28" s="1913"/>
      <c r="Z28" s="1758"/>
      <c r="AA28" s="1761"/>
      <c r="AB28" s="1758"/>
      <c r="AC28" s="1758"/>
      <c r="AD28" s="1758"/>
    </row>
    <row customHeight="1" ht="27">
      <c r="A29" s="1757"/>
      <c r="B29" s="1811">
        <v>12</v>
      </c>
      <c r="C29" s="1755">
        <v>8</v>
      </c>
      <c r="D29" s="1880"/>
      <c r="E29" s="1755"/>
      <c r="F29" s="1755"/>
      <c r="G29" s="1803"/>
      <c r="H29" s="1871"/>
      <c r="I29" s="1918" t="str">
        <f>INDEX(TEMPLATE_NUMBER_POINT_FHD,B29,MATCH(TEMPLATE_SPHERE,TEMPLATE_SPHERE_LIST_FOR_NOTE,0))</f>
        <v>2.5</v>
      </c>
      <c r="J29" s="1918" t="str">
        <f>INDEX(TEMPLATE_DATA_POINT_FHD,B29,MATCH(TEMPLATE_SPHERE,TEMPLATE_SPHERE_LIST_FOR_NOTE,0))</f>
        <v>Расходы на химические реагенты, используемые в технологическом процессе</v>
      </c>
      <c r="K29" s="1918">
        <f>INDEX(TEMPLATE_NOTE_POINT_FHD,B29,MATCH(TEMPLATE_SPHERE,TEMPLATE_SPHERE_LIST_FOR_NOTE,0))</f>
        <v>0</v>
      </c>
      <c r="L29" s="1756" t="str">
        <f>IF(I29=0,"",I29)</f>
        <v>2.5</v>
      </c>
      <c r="M29" s="1756" t="str">
        <f>IF(J29=0,"",J29)</f>
        <v>Расходы на химические реагенты, используемые в технологическом процессе</v>
      </c>
      <c r="N29" s="1756" t="str">
        <f>IF(K29=0,"",K29)</f>
        <v/>
      </c>
      <c r="O29" s="1870" t="s">
        <v>641</v>
      </c>
      <c r="P29" s="1870" t="s">
        <v>301</v>
      </c>
      <c r="Q29" s="1870"/>
      <c r="R29" s="1870" t="s">
        <v>301</v>
      </c>
      <c r="S29" s="1870"/>
      <c r="T29" s="1877" t="s">
        <v>2017</v>
      </c>
      <c r="U29" s="1758" t="s">
        <v>2017</v>
      </c>
      <c r="V29" s="1758"/>
      <c r="W29" s="1758" t="s">
        <v>2017</v>
      </c>
      <c r="X29" s="1755"/>
      <c r="Y29" s="1913"/>
      <c r="Z29" s="1758"/>
      <c r="AA29" s="1761"/>
      <c r="AB29" s="1758"/>
      <c r="AC29" s="1758"/>
      <c r="AD29" s="1758"/>
    </row>
    <row customHeight="1" ht="54">
      <c r="A30" s="1757"/>
      <c r="B30" s="1811">
        <v>13</v>
      </c>
      <c r="C30" s="1755">
        <v>9</v>
      </c>
      <c r="D30" s="1880"/>
      <c r="E30" s="1755"/>
      <c r="F30" s="1755"/>
      <c r="G30" s="1803"/>
      <c r="H30" s="1871"/>
      <c r="I30" s="1918" t="str">
        <f>INDEX(TEMPLATE_NUMBER_POINT_FHD,B30,MATCH(TEMPLATE_SPHERE,TEMPLATE_SPHERE_LIST_FOR_NOTE,0))</f>
        <v>2.6</v>
      </c>
      <c r="J30" s="191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918">
        <f>INDEX(TEMPLATE_NOTE_POINT_FHD,B30,MATCH(TEMPLATE_SPHERE,TEMPLATE_SPHERE_LIST_FOR_NOTE,0))</f>
        <v>0</v>
      </c>
      <c r="L30" s="1756" t="str">
        <f>IF(I30=0,"",I30)</f>
        <v>2.6</v>
      </c>
      <c r="M30" s="17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56" t="str">
        <f>IF(K30=0,"",K30)</f>
        <v/>
      </c>
      <c r="O30" s="1870" t="s">
        <v>643</v>
      </c>
      <c r="P30" s="1870" t="s">
        <v>634</v>
      </c>
      <c r="Q30" s="1870" t="s">
        <v>643</v>
      </c>
      <c r="R30" s="1870" t="s">
        <v>634</v>
      </c>
      <c r="S30" s="1870"/>
      <c r="T30" s="1877" t="s">
        <v>2018</v>
      </c>
      <c r="U30" s="1758" t="s">
        <v>2018</v>
      </c>
      <c r="V30" s="1758" t="s">
        <v>2018</v>
      </c>
      <c r="W30" s="1758" t="s">
        <v>2018</v>
      </c>
      <c r="X30" s="1755"/>
      <c r="Y30" s="1913"/>
      <c r="Z30" s="1758"/>
      <c r="AA30" s="1761" t="s">
        <v>2019</v>
      </c>
      <c r="AB30" s="1761" t="s">
        <v>2019</v>
      </c>
      <c r="AC30" s="1761" t="s">
        <v>2019</v>
      </c>
      <c r="AD30" s="1758"/>
    </row>
    <row customHeight="1" ht="18">
      <c r="A31" s="1757"/>
      <c r="B31" s="1811">
        <v>14</v>
      </c>
      <c r="C31" s="1755" t="s">
        <v>2020</v>
      </c>
      <c r="D31" s="1880"/>
      <c r="E31" s="1755"/>
      <c r="F31" s="1755"/>
      <c r="G31" s="1803"/>
      <c r="H31" s="1871"/>
      <c r="I31" s="1918" t="str">
        <f>INDEX(TEMPLATE_NUMBER_POINT_FHD,B31,MATCH(TEMPLATE_SPHERE,TEMPLATE_SPHERE_LIST_FOR_NOTE,0))</f>
        <v>2.6.1</v>
      </c>
      <c r="J31" s="1918" t="str">
        <f>INDEX(TEMPLATE_DATA_POINT_FHD,B31,MATCH(TEMPLATE_SPHERE,TEMPLATE_SPHERE_LIST_FOR_NOTE,0))</f>
        <v>Расходы на оплату труда основного производственного персонала</v>
      </c>
      <c r="K31" s="1918">
        <f>INDEX(TEMPLATE_NOTE_POINT_FHD,B31,MATCH(TEMPLATE_SPHERE,TEMPLATE_SPHERE_LIST_FOR_NOTE,0))</f>
        <v>0</v>
      </c>
      <c r="L31" s="1756" t="str">
        <f>IF(I31=0,"",I31)</f>
        <v>2.6.1</v>
      </c>
      <c r="M31" s="1756" t="str">
        <f>IF(J31=0,"",J31)</f>
        <v>Расходы на оплату труда основного производственного персонала</v>
      </c>
      <c r="N31" s="1756" t="str">
        <f>IF(K31=0,"",K31)</f>
        <v/>
      </c>
      <c r="O31" s="1870" t="s">
        <v>2021</v>
      </c>
      <c r="P31" s="1870" t="s">
        <v>637</v>
      </c>
      <c r="Q31" s="1870" t="s">
        <v>2021</v>
      </c>
      <c r="R31" s="1870" t="s">
        <v>637</v>
      </c>
      <c r="S31" s="1870"/>
      <c r="T31" s="1878" t="s">
        <v>2022</v>
      </c>
      <c r="U31" s="1758" t="s">
        <v>2022</v>
      </c>
      <c r="V31" s="1758" t="s">
        <v>2022</v>
      </c>
      <c r="W31" s="1758" t="s">
        <v>2022</v>
      </c>
      <c r="X31" s="1755"/>
      <c r="Y31" s="1913"/>
      <c r="Z31" s="1758"/>
      <c r="AA31" s="1761"/>
      <c r="AB31" s="1761"/>
      <c r="AC31" s="1761"/>
      <c r="AD31" s="1758"/>
    </row>
    <row customHeight="1" ht="36">
      <c r="A32" s="1757"/>
      <c r="B32" s="1811">
        <v>15</v>
      </c>
      <c r="C32" s="1755" t="s">
        <v>2023</v>
      </c>
      <c r="D32" s="1880"/>
      <c r="E32" s="1755"/>
      <c r="F32" s="1755"/>
      <c r="G32" s="1803"/>
      <c r="H32" s="1871"/>
      <c r="I32" s="1918" t="str">
        <f>INDEX(TEMPLATE_NUMBER_POINT_FHD,B32,MATCH(TEMPLATE_SPHERE,TEMPLATE_SPHERE_LIST_FOR_NOTE,0))</f>
        <v>2.6.2</v>
      </c>
      <c r="J32" s="191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918">
        <f>INDEX(TEMPLATE_NOTE_POINT_FHD,B32,MATCH(TEMPLATE_SPHERE,TEMPLATE_SPHERE_LIST_FOR_NOTE,0))</f>
        <v>0</v>
      </c>
      <c r="L32" s="1756" t="str">
        <f>IF(I32=0,"",I32)</f>
        <v>2.6.2</v>
      </c>
      <c r="M32" s="1756" t="str">
        <f>IF(J32=0,"",J32)</f>
        <v>Страховые взносы на обязательное социальное страхование, выплачиваемые из фонда оплаты труда основного производственного персонала</v>
      </c>
      <c r="N32" s="1756" t="str">
        <f>IF(K32=0,"",K32)</f>
        <v/>
      </c>
      <c r="O32" s="1870" t="s">
        <v>2024</v>
      </c>
      <c r="P32" s="1870" t="s">
        <v>639</v>
      </c>
      <c r="Q32" s="1870" t="s">
        <v>2024</v>
      </c>
      <c r="R32" s="1870" t="s">
        <v>639</v>
      </c>
      <c r="S32" s="1870"/>
      <c r="T32" s="1879" t="s">
        <v>2025</v>
      </c>
      <c r="U32" s="1758" t="s">
        <v>2025</v>
      </c>
      <c r="V32" s="1758" t="s">
        <v>2025</v>
      </c>
      <c r="W32" s="1758" t="s">
        <v>2025</v>
      </c>
      <c r="X32" s="1755"/>
      <c r="Y32" s="1913"/>
      <c r="Z32" s="1758"/>
      <c r="AA32" s="1761"/>
      <c r="AB32" s="1761"/>
      <c r="AC32" s="1761"/>
      <c r="AD32" s="1758"/>
    </row>
    <row customHeight="1" ht="45">
      <c r="A33" s="1757"/>
      <c r="B33" s="1811">
        <v>16</v>
      </c>
      <c r="C33" s="1755">
        <v>10</v>
      </c>
      <c r="D33" s="1880"/>
      <c r="E33" s="1755"/>
      <c r="F33" s="1755"/>
      <c r="G33" s="1803"/>
      <c r="H33" s="1871"/>
      <c r="I33" s="1918" t="str">
        <f>INDEX(TEMPLATE_NUMBER_POINT_FHD,B33,MATCH(TEMPLATE_SPHERE,TEMPLATE_SPHERE_LIST_FOR_NOTE,0))</f>
        <v>2.7</v>
      </c>
      <c r="J33" s="191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918">
        <f>INDEX(TEMPLATE_NOTE_POINT_FHD,B33,MATCH(TEMPLATE_SPHERE,TEMPLATE_SPHERE_LIST_FOR_NOTE,0))</f>
        <v>0</v>
      </c>
      <c r="L33" s="1756" t="str">
        <f>IF(I33=0,"",I33)</f>
        <v>2.7</v>
      </c>
      <c r="M33" s="17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756" t="str">
        <f>IF(K33=0,"",K33)</f>
        <v/>
      </c>
      <c r="O33" s="1870" t="s">
        <v>645</v>
      </c>
      <c r="P33" s="1870" t="s">
        <v>641</v>
      </c>
      <c r="Q33" s="1870" t="s">
        <v>645</v>
      </c>
      <c r="R33" s="1870" t="s">
        <v>641</v>
      </c>
      <c r="S33" s="1870"/>
      <c r="T33" s="1878" t="s">
        <v>2026</v>
      </c>
      <c r="U33" s="1758" t="s">
        <v>2026</v>
      </c>
      <c r="V33" s="1758" t="s">
        <v>2026</v>
      </c>
      <c r="W33" s="1758" t="s">
        <v>2027</v>
      </c>
      <c r="X33" s="1755"/>
      <c r="Y33" s="1913"/>
      <c r="Z33" s="1758"/>
      <c r="AA33" s="1761" t="s">
        <v>2028</v>
      </c>
      <c r="AB33" s="1761" t="s">
        <v>2028</v>
      </c>
      <c r="AC33" s="1761" t="s">
        <v>2028</v>
      </c>
      <c r="AD33" s="1758"/>
    </row>
    <row customHeight="1" ht="27">
      <c r="A34" s="1757"/>
      <c r="B34" s="1811">
        <v>17</v>
      </c>
      <c r="C34" s="1755" t="s">
        <v>2029</v>
      </c>
      <c r="D34" s="1880"/>
      <c r="E34" s="1755"/>
      <c r="F34" s="1755"/>
      <c r="G34" s="1803"/>
      <c r="H34" s="1871"/>
      <c r="I34" s="1918" t="str">
        <f>INDEX(TEMPLATE_NUMBER_POINT_FHD,B34,MATCH(TEMPLATE_SPHERE,TEMPLATE_SPHERE_LIST_FOR_NOTE,0))</f>
        <v>2.7.1</v>
      </c>
      <c r="J34" s="1918" t="str">
        <f>INDEX(TEMPLATE_DATA_POINT_FHD,B34,MATCH(TEMPLATE_SPHERE,TEMPLATE_SPHERE_LIST_FOR_NOTE,0))</f>
        <v>Расходы на оплату труда административно-управленческого персонала</v>
      </c>
      <c r="K34" s="1918">
        <f>INDEX(TEMPLATE_NOTE_POINT_FHD,B34,MATCH(TEMPLATE_SPHERE,TEMPLATE_SPHERE_LIST_FOR_NOTE,0))</f>
        <v>0</v>
      </c>
      <c r="L34" s="1756" t="str">
        <f>IF(I34=0,"",I34)</f>
        <v>2.7.1</v>
      </c>
      <c r="M34" s="1756" t="str">
        <f>IF(J34=0,"",J34)</f>
        <v>Расходы на оплату труда административно-управленческого персонала</v>
      </c>
      <c r="N34" s="1756" t="str">
        <f>IF(K34=0,"",K34)</f>
        <v/>
      </c>
      <c r="O34" s="1870" t="s">
        <v>2030</v>
      </c>
      <c r="P34" s="1870" t="s">
        <v>2011</v>
      </c>
      <c r="Q34" s="1870" t="s">
        <v>2030</v>
      </c>
      <c r="R34" s="1870" t="s">
        <v>2011</v>
      </c>
      <c r="S34" s="1870"/>
      <c r="T34" s="1879" t="s">
        <v>2031</v>
      </c>
      <c r="U34" s="1758" t="s">
        <v>2031</v>
      </c>
      <c r="V34" s="1758" t="s">
        <v>2031</v>
      </c>
      <c r="W34" s="1758" t="s">
        <v>2032</v>
      </c>
      <c r="X34" s="1755"/>
      <c r="Y34" s="1913"/>
      <c r="Z34" s="1758"/>
      <c r="AA34" s="1761"/>
      <c r="AB34" s="1758"/>
      <c r="AC34" s="1758"/>
      <c r="AD34" s="1758"/>
    </row>
    <row customHeight="1" ht="45">
      <c r="A35" s="1757"/>
      <c r="B35" s="1811">
        <v>18</v>
      </c>
      <c r="C35" s="1755" t="s">
        <v>2033</v>
      </c>
      <c r="D35" s="1880"/>
      <c r="E35" s="1755"/>
      <c r="F35" s="1755"/>
      <c r="G35" s="1803"/>
      <c r="H35" s="1871"/>
      <c r="I35" s="1918" t="str">
        <f>INDEX(TEMPLATE_NUMBER_POINT_FHD,B35,MATCH(TEMPLATE_SPHERE,TEMPLATE_SPHERE_LIST_FOR_NOTE,0))</f>
        <v>2.7.2</v>
      </c>
      <c r="J35" s="191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918">
        <f>INDEX(TEMPLATE_NOTE_POINT_FHD,B35,MATCH(TEMPLATE_SPHERE,TEMPLATE_SPHERE_LIST_FOR_NOTE,0))</f>
        <v>0</v>
      </c>
      <c r="L35" s="1756" t="str">
        <f>IF(I35=0,"",I35)</f>
        <v>2.7.2</v>
      </c>
      <c r="M35" s="17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756" t="str">
        <f>IF(K35=0,"",K35)</f>
        <v/>
      </c>
      <c r="O35" s="1870" t="s">
        <v>2034</v>
      </c>
      <c r="P35" s="1870" t="s">
        <v>2014</v>
      </c>
      <c r="Q35" s="1870" t="s">
        <v>2034</v>
      </c>
      <c r="R35" s="1870" t="s">
        <v>2014</v>
      </c>
      <c r="S35" s="1870"/>
      <c r="T35" s="1877" t="s">
        <v>2035</v>
      </c>
      <c r="U35" s="1758" t="s">
        <v>2035</v>
      </c>
      <c r="V35" s="1758" t="s">
        <v>2035</v>
      </c>
      <c r="W35" s="1758" t="s">
        <v>2035</v>
      </c>
      <c r="X35" s="1755"/>
      <c r="Y35" s="1913"/>
      <c r="Z35" s="1758"/>
      <c r="AA35" s="1761"/>
      <c r="AB35" s="1758"/>
      <c r="AC35" s="1758"/>
      <c r="AD35" s="1758"/>
    </row>
    <row customHeight="1" ht="18">
      <c r="A36" s="1757"/>
      <c r="B36" s="1811">
        <v>19</v>
      </c>
      <c r="C36" s="1755">
        <v>11</v>
      </c>
      <c r="D36" s="1880"/>
      <c r="E36" s="1755"/>
      <c r="F36" s="1755"/>
      <c r="G36" s="1803"/>
      <c r="H36" s="1871"/>
      <c r="I36" s="1918" t="str">
        <f>INDEX(TEMPLATE_NUMBER_POINT_FHD,B36,MATCH(TEMPLATE_SPHERE,TEMPLATE_SPHERE_LIST_FOR_NOTE,0))</f>
        <v>2.8</v>
      </c>
      <c r="J36" s="1918" t="str">
        <f>INDEX(TEMPLATE_DATA_POINT_FHD,B36,MATCH(TEMPLATE_SPHERE,TEMPLATE_SPHERE_LIST_FOR_NOTE,0))</f>
        <v>Расходы на амортизацию основных средств и нематериальных активов</v>
      </c>
      <c r="K36" s="1918">
        <f>INDEX(TEMPLATE_NOTE_POINT_FHD,B36,MATCH(TEMPLATE_SPHERE,TEMPLATE_SPHERE_LIST_FOR_NOTE,0))</f>
        <v>0</v>
      </c>
      <c r="L36" s="1756" t="str">
        <f>IF(I36=0,"",I36)</f>
        <v>2.8</v>
      </c>
      <c r="M36" s="1756" t="str">
        <f>IF(J36=0,"",J36)</f>
        <v>Расходы на амортизацию основных средств и нематериальных активов</v>
      </c>
      <c r="N36" s="1756" t="str">
        <f>IF(K36=0,"",K36)</f>
        <v/>
      </c>
      <c r="O36" s="1870" t="s">
        <v>647</v>
      </c>
      <c r="P36" s="1870" t="s">
        <v>643</v>
      </c>
      <c r="Q36" s="1870" t="s">
        <v>647</v>
      </c>
      <c r="R36" s="1870" t="s">
        <v>643</v>
      </c>
      <c r="S36" s="1870"/>
      <c r="T36" s="1877" t="s">
        <v>2036</v>
      </c>
      <c r="U36" s="1758" t="s">
        <v>2036</v>
      </c>
      <c r="V36" s="1758" t="s">
        <v>2036</v>
      </c>
      <c r="W36" s="1758" t="s">
        <v>2036</v>
      </c>
      <c r="X36" s="1755"/>
      <c r="Y36" s="1913"/>
      <c r="Z36" s="1758"/>
      <c r="AA36" s="1761"/>
      <c r="AB36" s="1758"/>
      <c r="AC36" s="1758"/>
      <c r="AD36" s="1758"/>
    </row>
    <row customHeight="1" ht="18">
      <c r="A37" s="1757"/>
      <c r="B37" s="1811">
        <v>20</v>
      </c>
      <c r="C37" s="1755" t="s">
        <v>2037</v>
      </c>
      <c r="D37" s="1880"/>
      <c r="E37" s="1755"/>
      <c r="F37" s="1755"/>
      <c r="G37" s="1803"/>
      <c r="H37" s="1871"/>
      <c r="I37" s="1918" t="str">
        <f>INDEX(TEMPLATE_NUMBER_POINT_FHD,B37,MATCH(TEMPLATE_SPHERE,TEMPLATE_SPHERE_LIST_FOR_NOTE,0))</f>
        <v>2.8.1</v>
      </c>
      <c r="J37" s="1918" t="str">
        <f>INDEX(TEMPLATE_DATA_POINT_FHD,B37,MATCH(TEMPLATE_SPHERE,TEMPLATE_SPHERE_LIST_FOR_NOTE,0))</f>
        <v>Расходы на амортизацию основных средств</v>
      </c>
      <c r="K37" s="1918">
        <f>INDEX(TEMPLATE_NOTE_POINT_FHD,B37,MATCH(TEMPLATE_SPHERE,TEMPLATE_SPHERE_LIST_FOR_NOTE,0))</f>
        <v>0</v>
      </c>
      <c r="L37" s="1756" t="str">
        <f>IF(I37=0,"",I37)</f>
        <v>2.8.1</v>
      </c>
      <c r="M37" s="1756" t="str">
        <f>IF(J37=0,"",J37)</f>
        <v>Расходы на амортизацию основных средств</v>
      </c>
      <c r="N37" s="1756" t="str">
        <f>IF(K37=0,"",K37)</f>
        <v/>
      </c>
      <c r="O37" s="1870" t="s">
        <v>2038</v>
      </c>
      <c r="P37" s="1870" t="s">
        <v>2021</v>
      </c>
      <c r="Q37" s="1870" t="s">
        <v>2038</v>
      </c>
      <c r="R37" s="1870" t="s">
        <v>2021</v>
      </c>
      <c r="S37" s="1870"/>
      <c r="T37" s="1877" t="s">
        <v>2039</v>
      </c>
      <c r="U37" s="1758" t="s">
        <v>2039</v>
      </c>
      <c r="V37" s="1758" t="s">
        <v>2039</v>
      </c>
      <c r="W37" s="1758" t="s">
        <v>2039</v>
      </c>
      <c r="X37" s="1755"/>
      <c r="Y37" s="1913"/>
      <c r="Z37" s="1758"/>
      <c r="AA37" s="1761"/>
      <c r="AB37" s="1758"/>
      <c r="AC37" s="1758"/>
      <c r="AD37" s="1758"/>
    </row>
    <row customHeight="1" ht="18">
      <c r="A38" s="1757"/>
      <c r="B38" s="1811">
        <v>21</v>
      </c>
      <c r="C38" s="1755" t="s">
        <v>2040</v>
      </c>
      <c r="D38" s="1880"/>
      <c r="E38" s="1755"/>
      <c r="F38" s="1755"/>
      <c r="G38" s="1803"/>
      <c r="H38" s="1871"/>
      <c r="I38" s="1918" t="str">
        <f>INDEX(TEMPLATE_NUMBER_POINT_FHD,B38,MATCH(TEMPLATE_SPHERE,TEMPLATE_SPHERE_LIST_FOR_NOTE,0))</f>
        <v>2.8.2</v>
      </c>
      <c r="J38" s="1918" t="str">
        <f>INDEX(TEMPLATE_DATA_POINT_FHD,B38,MATCH(TEMPLATE_SPHERE,TEMPLATE_SPHERE_LIST_FOR_NOTE,0))</f>
        <v>Расходы на амортизацию нематериальных активов</v>
      </c>
      <c r="K38" s="1918">
        <f>INDEX(TEMPLATE_NOTE_POINT_FHD,B38,MATCH(TEMPLATE_SPHERE,TEMPLATE_SPHERE_LIST_FOR_NOTE,0))</f>
        <v>0</v>
      </c>
      <c r="L38" s="1756" t="str">
        <f>IF(I38=0,"",I38)</f>
        <v>2.8.2</v>
      </c>
      <c r="M38" s="1756" t="str">
        <f>IF(J38=0,"",J38)</f>
        <v>Расходы на амортизацию нематериальных активов</v>
      </c>
      <c r="N38" s="1756" t="str">
        <f>IF(K38=0,"",K38)</f>
        <v/>
      </c>
      <c r="O38" s="1870" t="s">
        <v>2041</v>
      </c>
      <c r="P38" s="1870" t="s">
        <v>2024</v>
      </c>
      <c r="Q38" s="1870" t="s">
        <v>2041</v>
      </c>
      <c r="R38" s="1870" t="s">
        <v>2024</v>
      </c>
      <c r="S38" s="1870"/>
      <c r="T38" s="1877" t="s">
        <v>2042</v>
      </c>
      <c r="U38" s="1758" t="s">
        <v>2042</v>
      </c>
      <c r="V38" s="1758" t="s">
        <v>2042</v>
      </c>
      <c r="W38" s="1758" t="s">
        <v>2042</v>
      </c>
      <c r="X38" s="1755"/>
      <c r="Y38" s="1913"/>
      <c r="Z38" s="1758"/>
      <c r="AA38" s="1761"/>
      <c r="AB38" s="1758"/>
      <c r="AC38" s="1758"/>
      <c r="AD38" s="1758"/>
    </row>
    <row customHeight="1" ht="36">
      <c r="A39" s="1757"/>
      <c r="B39" s="1811">
        <v>22</v>
      </c>
      <c r="C39" s="1755">
        <v>12</v>
      </c>
      <c r="D39" s="1880"/>
      <c r="E39" s="1755"/>
      <c r="F39" s="1755"/>
      <c r="G39" s="1803"/>
      <c r="H39" s="1871"/>
      <c r="I39" s="1918" t="str">
        <f>INDEX(TEMPLATE_NUMBER_POINT_FHD,B39,MATCH(TEMPLATE_SPHERE,TEMPLATE_SPHERE_LIST_FOR_NOTE,0))</f>
        <v>2.9</v>
      </c>
      <c r="J39" s="1918" t="str">
        <f>INDEX(TEMPLATE_DATA_POINT_FHD,B39,MATCH(TEMPLATE_SPHERE,TEMPLATE_SPHERE_LIST_FOR_NOTE,0))</f>
        <v>Расходы на аренду имущества, используемого для осуществления регулируемого вида деятельности</v>
      </c>
      <c r="K39" s="1918">
        <f>INDEX(TEMPLATE_NOTE_POINT_FHD,B39,MATCH(TEMPLATE_SPHERE,TEMPLATE_SPHERE_LIST_FOR_NOTE,0))</f>
        <v>0</v>
      </c>
      <c r="L39" s="1756" t="str">
        <f>IF(I39=0,"",I39)</f>
        <v>2.9</v>
      </c>
      <c r="M39" s="1756" t="str">
        <f>IF(J39=0,"",J39)</f>
        <v>Расходы на аренду имущества, используемого для осуществления регулируемого вида деятельности</v>
      </c>
      <c r="N39" s="1756" t="str">
        <f>IF(K39=0,"",K39)</f>
        <v/>
      </c>
      <c r="O39" s="1870" t="s">
        <v>651</v>
      </c>
      <c r="P39" s="1870" t="s">
        <v>645</v>
      </c>
      <c r="Q39" s="1870" t="s">
        <v>651</v>
      </c>
      <c r="R39" s="1870" t="s">
        <v>645</v>
      </c>
      <c r="S39" s="1870"/>
      <c r="T39" s="1877" t="s">
        <v>2043</v>
      </c>
      <c r="U39" s="1758" t="s">
        <v>2044</v>
      </c>
      <c r="V39" s="1758" t="s">
        <v>2045</v>
      </c>
      <c r="W39" s="1758" t="s">
        <v>2046</v>
      </c>
      <c r="X39" s="1755"/>
      <c r="Y39" s="1913"/>
      <c r="Z39" s="1758"/>
      <c r="AA39" s="1761"/>
      <c r="AB39" s="1758"/>
      <c r="AC39" s="1758"/>
      <c r="AD39" s="1758"/>
    </row>
    <row customHeight="1" ht="18">
      <c r="A40" s="1757"/>
      <c r="B40" s="1811">
        <v>23</v>
      </c>
      <c r="C40" s="1755">
        <v>13</v>
      </c>
      <c r="D40" s="1880"/>
      <c r="E40" s="1755"/>
      <c r="F40" s="1755"/>
      <c r="G40" s="1755"/>
      <c r="H40" s="1806"/>
      <c r="I40" s="1918" t="str">
        <f>INDEX(TEMPLATE_NUMBER_POINT_FHD,B40,MATCH(TEMPLATE_SPHERE,TEMPLATE_SPHERE_LIST_FOR_NOTE,0))</f>
        <v>2.10</v>
      </c>
      <c r="J40" s="1918" t="str">
        <f>INDEX(TEMPLATE_DATA_POINT_FHD,B40,MATCH(TEMPLATE_SPHERE,TEMPLATE_SPHERE_LIST_FOR_NOTE,0))</f>
        <v>Общепроизводственные расходы, в том числе:</v>
      </c>
      <c r="K40" s="1918" t="str">
        <f>INDEX(TEMPLATE_NOTE_POINT_FHD,B40,MATCH(TEMPLATE_SPHERE,TEMPLATE_SPHERE_LIST_FOR_NOTE,0))</f>
        <v>Указывается общая сумма общепроизводственных расходов.</v>
      </c>
      <c r="L40" s="1756" t="str">
        <f>IF(I40=0,"",I40)</f>
        <v>2.10</v>
      </c>
      <c r="M40" s="1756" t="str">
        <f>IF(J40=0,"",J40)</f>
        <v>Общепроизводственные расходы, в том числе:</v>
      </c>
      <c r="N40" s="1756" t="str">
        <f>IF(K40=0,"",K40)</f>
        <v>Указывается общая сумма общепроизводственных расходов.</v>
      </c>
      <c r="O40" s="1870" t="s">
        <v>2047</v>
      </c>
      <c r="P40" s="1870" t="s">
        <v>647</v>
      </c>
      <c r="Q40" s="1870" t="s">
        <v>2047</v>
      </c>
      <c r="R40" s="1870" t="s">
        <v>647</v>
      </c>
      <c r="S40" s="1870"/>
      <c r="T40" s="1755" t="s">
        <v>2048</v>
      </c>
      <c r="U40" s="1755" t="s">
        <v>2048</v>
      </c>
      <c r="V40" s="1755" t="s">
        <v>2048</v>
      </c>
      <c r="W40" s="1755" t="s">
        <v>2048</v>
      </c>
      <c r="X40" s="1755"/>
      <c r="Y40" s="1913"/>
      <c r="Z40" s="1758" t="s">
        <v>2049</v>
      </c>
      <c r="AA40" s="1761" t="s">
        <v>2049</v>
      </c>
      <c r="AB40" s="1761" t="s">
        <v>2049</v>
      </c>
      <c r="AC40" s="1761" t="s">
        <v>2049</v>
      </c>
      <c r="AD40" s="1758"/>
    </row>
    <row customHeight="1" ht="27">
      <c r="A41" s="1757"/>
      <c r="B41" s="1811">
        <v>24</v>
      </c>
      <c r="C41" s="1755" t="s">
        <v>2050</v>
      </c>
      <c r="D41" s="1880"/>
      <c r="E41" s="1755"/>
      <c r="F41" s="1755"/>
      <c r="G41" s="1755"/>
      <c r="H41" s="1803"/>
      <c r="I41" s="1918" t="str">
        <f>INDEX(TEMPLATE_NUMBER_POINT_FHD,B41,MATCH(TEMPLATE_SPHERE,TEMPLATE_SPHERE_LIST_FOR_NOTE,0))</f>
        <v>2.10.1</v>
      </c>
      <c r="J41" s="1918" t="str">
        <f>INDEX(TEMPLATE_DATA_POINT_FHD,B41,MATCH(TEMPLATE_SPHERE,TEMPLATE_SPHERE_LIST_FOR_NOTE,0))</f>
        <v>Расходы на текущий ремонт</v>
      </c>
      <c r="K41" s="1918" t="str">
        <f>INDEX(TEMPLATE_NOTE_POINT_FHD,B41,MATCH(TEMPLATE_SPHERE,TEMPLATE_SPHERE_LIST_FOR_NOTE,0))</f>
        <v>Указываются расходы на текущий ремонт, отнесенные к общепроизводственным расходам.</v>
      </c>
      <c r="L41" s="1756" t="str">
        <f>IF(I41=0,"",I41)</f>
        <v>2.10.1</v>
      </c>
      <c r="M41" s="1756" t="str">
        <f>IF(J41=0,"",J41)</f>
        <v>Расходы на текущий ремонт</v>
      </c>
      <c r="N41" s="1756" t="str">
        <f>IF(K41=0,"",K41)</f>
        <v>Указываются расходы на текущий ремонт, отнесенные к общепроизводственным расходам.</v>
      </c>
      <c r="O41" s="1870" t="s">
        <v>2051</v>
      </c>
      <c r="P41" s="1870" t="s">
        <v>2038</v>
      </c>
      <c r="Q41" s="1870" t="s">
        <v>2051</v>
      </c>
      <c r="R41" s="1870" t="s">
        <v>2038</v>
      </c>
      <c r="S41" s="1870"/>
      <c r="T41" s="1755" t="s">
        <v>2052</v>
      </c>
      <c r="U41" s="1755" t="s">
        <v>2052</v>
      </c>
      <c r="V41" s="1755" t="s">
        <v>2052</v>
      </c>
      <c r="W41" s="1755" t="s">
        <v>2052</v>
      </c>
      <c r="X41" s="1755"/>
      <c r="Y41" s="1913"/>
      <c r="Z41" s="1758" t="s">
        <v>2053</v>
      </c>
      <c r="AA41" s="1758" t="s">
        <v>2053</v>
      </c>
      <c r="AB41" s="1758" t="s">
        <v>2053</v>
      </c>
      <c r="AC41" s="1758" t="s">
        <v>2053</v>
      </c>
      <c r="AD41" s="1758"/>
    </row>
    <row customHeight="1" ht="27">
      <c r="A42" s="1757"/>
      <c r="B42" s="1811">
        <v>25</v>
      </c>
      <c r="C42" s="1755" t="s">
        <v>2054</v>
      </c>
      <c r="D42" s="1880"/>
      <c r="E42" s="1755"/>
      <c r="F42" s="1755"/>
      <c r="G42" s="1755"/>
      <c r="H42" s="1803"/>
      <c r="I42" s="1918" t="str">
        <f>INDEX(TEMPLATE_NUMBER_POINT_FHD,B42,MATCH(TEMPLATE_SPHERE,TEMPLATE_SPHERE_LIST_FOR_NOTE,0))</f>
        <v>2.10.2</v>
      </c>
      <c r="J42" s="1918" t="str">
        <f>INDEX(TEMPLATE_DATA_POINT_FHD,B42,MATCH(TEMPLATE_SPHERE,TEMPLATE_SPHERE_LIST_FOR_NOTE,0))</f>
        <v>Расходы на капитальный ремонт</v>
      </c>
      <c r="K42" s="1918" t="str">
        <f>INDEX(TEMPLATE_NOTE_POINT_FHD,B42,MATCH(TEMPLATE_SPHERE,TEMPLATE_SPHERE_LIST_FOR_NOTE,0))</f>
        <v>Указываются расходы на капитальный ремонт, отнесенные к общепроизводственным расходам.</v>
      </c>
      <c r="L42" s="1756" t="str">
        <f>IF(I42=0,"",I42)</f>
        <v>2.10.2</v>
      </c>
      <c r="M42" s="1756" t="str">
        <f>IF(J42=0,"",J42)</f>
        <v>Расходы на капитальный ремонт</v>
      </c>
      <c r="N42" s="1756" t="str">
        <f>IF(K42=0,"",K42)</f>
        <v>Указываются расходы на капитальный ремонт, отнесенные к общепроизводственным расходам.</v>
      </c>
      <c r="O42" s="1870" t="s">
        <v>2055</v>
      </c>
      <c r="P42" s="1870" t="s">
        <v>2041</v>
      </c>
      <c r="Q42" s="1870" t="s">
        <v>2055</v>
      </c>
      <c r="R42" s="1870" t="s">
        <v>2041</v>
      </c>
      <c r="S42" s="1870"/>
      <c r="T42" s="1755" t="s">
        <v>2056</v>
      </c>
      <c r="U42" s="1755" t="s">
        <v>2056</v>
      </c>
      <c r="V42" s="1755" t="s">
        <v>2056</v>
      </c>
      <c r="W42" s="1755" t="s">
        <v>2056</v>
      </c>
      <c r="X42" s="1755"/>
      <c r="Y42" s="1913"/>
      <c r="Z42" s="1758" t="s">
        <v>2057</v>
      </c>
      <c r="AA42" s="1758" t="s">
        <v>2057</v>
      </c>
      <c r="AB42" s="1758" t="s">
        <v>2057</v>
      </c>
      <c r="AC42" s="1758" t="s">
        <v>2057</v>
      </c>
      <c r="AD42" s="1758"/>
    </row>
    <row customHeight="1" ht="18">
      <c r="A43" s="1757"/>
      <c r="B43" s="1811">
        <v>26</v>
      </c>
      <c r="C43" s="1755">
        <v>14</v>
      </c>
      <c r="D43" s="1880"/>
      <c r="E43" s="1755"/>
      <c r="F43" s="1755"/>
      <c r="G43" s="1755"/>
      <c r="H43" s="1803"/>
      <c r="I43" s="1918" t="str">
        <f>INDEX(TEMPLATE_NUMBER_POINT_FHD,B43,MATCH(TEMPLATE_SPHERE,TEMPLATE_SPHERE_LIST_FOR_NOTE,0))</f>
        <v>2.11</v>
      </c>
      <c r="J43" s="1918" t="str">
        <f>INDEX(TEMPLATE_DATA_POINT_FHD,B43,MATCH(TEMPLATE_SPHERE,TEMPLATE_SPHERE_LIST_FOR_NOTE,0))</f>
        <v>Общехозяйственные расходы, в том числе:</v>
      </c>
      <c r="K43" s="1918" t="str">
        <f>INDEX(TEMPLATE_NOTE_POINT_FHD,B43,MATCH(TEMPLATE_SPHERE,TEMPLATE_SPHERE_LIST_FOR_NOTE,0))</f>
        <v>Указывается общая сумма общехозяйственных расходов.</v>
      </c>
      <c r="L43" s="1756" t="str">
        <f>IF(I43=0,"",I43)</f>
        <v>2.11</v>
      </c>
      <c r="M43" s="1756" t="str">
        <f>IF(J43=0,"",J43)</f>
        <v>Общехозяйственные расходы, в том числе:</v>
      </c>
      <c r="N43" s="1756" t="str">
        <f>IF(K43=0,"",K43)</f>
        <v>Указывается общая сумма общехозяйственных расходов.</v>
      </c>
      <c r="O43" s="1870" t="s">
        <v>2058</v>
      </c>
      <c r="P43" s="1870" t="s">
        <v>651</v>
      </c>
      <c r="Q43" s="1870" t="s">
        <v>2058</v>
      </c>
      <c r="R43" s="1870" t="s">
        <v>651</v>
      </c>
      <c r="S43" s="1870"/>
      <c r="T43" s="1755" t="s">
        <v>2059</v>
      </c>
      <c r="U43" s="1755" t="s">
        <v>2059</v>
      </c>
      <c r="V43" s="1755" t="s">
        <v>2059</v>
      </c>
      <c r="W43" s="1755" t="s">
        <v>2059</v>
      </c>
      <c r="X43" s="1755"/>
      <c r="Y43" s="1913"/>
      <c r="Z43" s="1758" t="s">
        <v>2060</v>
      </c>
      <c r="AA43" s="1758" t="s">
        <v>2060</v>
      </c>
      <c r="AB43" s="1758" t="s">
        <v>2060</v>
      </c>
      <c r="AC43" s="1758" t="s">
        <v>2060</v>
      </c>
      <c r="AD43" s="1758"/>
    </row>
    <row customHeight="1" ht="27">
      <c r="A44" s="1757"/>
      <c r="B44" s="1811">
        <v>27</v>
      </c>
      <c r="C44" s="1755" t="s">
        <v>2061</v>
      </c>
      <c r="D44" s="1880"/>
      <c r="E44" s="1755"/>
      <c r="F44" s="1755"/>
      <c r="G44" s="1755"/>
      <c r="H44" s="1803"/>
      <c r="I44" s="1918" t="str">
        <f>INDEX(TEMPLATE_NUMBER_POINT_FHD,B44,MATCH(TEMPLATE_SPHERE,TEMPLATE_SPHERE_LIST_FOR_NOTE,0))</f>
        <v>2.11.1</v>
      </c>
      <c r="J44" s="1918" t="str">
        <f>INDEX(TEMPLATE_DATA_POINT_FHD,B44,MATCH(TEMPLATE_SPHERE,TEMPLATE_SPHERE_LIST_FOR_NOTE,0))</f>
        <v>Расходы на текущий ремонт</v>
      </c>
      <c r="K44" s="1918" t="str">
        <f>INDEX(TEMPLATE_NOTE_POINT_FHD,B44,MATCH(TEMPLATE_SPHERE,TEMPLATE_SPHERE_LIST_FOR_NOTE,0))</f>
        <v>Указываются расходы на текущий ремонт, отнесенные к общехозяйственным расходам.</v>
      </c>
      <c r="L44" s="1756" t="str">
        <f>IF(I44=0,"",I44)</f>
        <v>2.11.1</v>
      </c>
      <c r="M44" s="1756" t="str">
        <f>IF(J44=0,"",J44)</f>
        <v>Расходы на текущий ремонт</v>
      </c>
      <c r="N44" s="1756" t="str">
        <f>IF(K44=0,"",K44)</f>
        <v>Указываются расходы на текущий ремонт, отнесенные к общехозяйственным расходам.</v>
      </c>
      <c r="O44" s="1870" t="s">
        <v>2062</v>
      </c>
      <c r="P44" s="1870" t="s">
        <v>2063</v>
      </c>
      <c r="Q44" s="1870" t="s">
        <v>2062</v>
      </c>
      <c r="R44" s="1870" t="s">
        <v>2063</v>
      </c>
      <c r="S44" s="1870"/>
      <c r="T44" s="1755" t="s">
        <v>2052</v>
      </c>
      <c r="U44" s="1755" t="s">
        <v>2052</v>
      </c>
      <c r="V44" s="1755" t="s">
        <v>2052</v>
      </c>
      <c r="W44" s="1755" t="s">
        <v>2052</v>
      </c>
      <c r="X44" s="1755"/>
      <c r="Y44" s="1913"/>
      <c r="Z44" s="1758" t="s">
        <v>2064</v>
      </c>
      <c r="AA44" s="1758" t="s">
        <v>2064</v>
      </c>
      <c r="AB44" s="1758" t="s">
        <v>2064</v>
      </c>
      <c r="AC44" s="1758" t="s">
        <v>2064</v>
      </c>
      <c r="AD44" s="1758"/>
    </row>
    <row customHeight="1" ht="27">
      <c r="A45" s="1757"/>
      <c r="B45" s="1811">
        <v>28</v>
      </c>
      <c r="C45" s="1755" t="s">
        <v>2065</v>
      </c>
      <c r="D45" s="1880"/>
      <c r="E45" s="1755"/>
      <c r="F45" s="1755"/>
      <c r="G45" s="1755"/>
      <c r="H45" s="1803"/>
      <c r="I45" s="1918" t="str">
        <f>INDEX(TEMPLATE_NUMBER_POINT_FHD,B45,MATCH(TEMPLATE_SPHERE,TEMPLATE_SPHERE_LIST_FOR_NOTE,0))</f>
        <v>2.11.2</v>
      </c>
      <c r="J45" s="1918" t="str">
        <f>INDEX(TEMPLATE_DATA_POINT_FHD,B45,MATCH(TEMPLATE_SPHERE,TEMPLATE_SPHERE_LIST_FOR_NOTE,0))</f>
        <v>Расходы на капитальный ремонт</v>
      </c>
      <c r="K45" s="1918" t="str">
        <f>INDEX(TEMPLATE_NOTE_POINT_FHD,B45,MATCH(TEMPLATE_SPHERE,TEMPLATE_SPHERE_LIST_FOR_NOTE,0))</f>
        <v>Указываются расходы на капитальный ремонт, отнесенные к общехозяйственным расходам.</v>
      </c>
      <c r="L45" s="1756" t="str">
        <f>IF(I45=0,"",I45)</f>
        <v>2.11.2</v>
      </c>
      <c r="M45" s="1756" t="str">
        <f>IF(J45=0,"",J45)</f>
        <v>Расходы на капитальный ремонт</v>
      </c>
      <c r="N45" s="1756" t="str">
        <f>IF(K45=0,"",K45)</f>
        <v>Указываются расходы на капитальный ремонт, отнесенные к общехозяйственным расходам.</v>
      </c>
      <c r="O45" s="1870" t="s">
        <v>2066</v>
      </c>
      <c r="P45" s="1870" t="s">
        <v>2067</v>
      </c>
      <c r="Q45" s="1870" t="s">
        <v>2066</v>
      </c>
      <c r="R45" s="1870" t="s">
        <v>2067</v>
      </c>
      <c r="S45" s="1870"/>
      <c r="T45" s="1755" t="s">
        <v>2056</v>
      </c>
      <c r="U45" s="1755" t="s">
        <v>2056</v>
      </c>
      <c r="V45" s="1755" t="s">
        <v>2056</v>
      </c>
      <c r="W45" s="1755" t="s">
        <v>2056</v>
      </c>
      <c r="X45" s="1755"/>
      <c r="Y45" s="1913"/>
      <c r="Z45" s="1758" t="s">
        <v>2068</v>
      </c>
      <c r="AA45" s="1758" t="s">
        <v>2068</v>
      </c>
      <c r="AB45" s="1758" t="s">
        <v>2068</v>
      </c>
      <c r="AC45" s="1758" t="s">
        <v>2068</v>
      </c>
      <c r="AD45" s="1758"/>
    </row>
    <row customHeight="1" ht="54">
      <c r="A46" s="1757"/>
      <c r="B46" s="1811">
        <v>29</v>
      </c>
      <c r="C46" s="1755">
        <v>15</v>
      </c>
      <c r="D46" s="1880"/>
      <c r="E46" s="1755"/>
      <c r="F46" s="1755"/>
      <c r="G46" s="1755"/>
      <c r="H46" s="1803"/>
      <c r="I46" s="1918" t="str">
        <f>INDEX(TEMPLATE_NUMBER_POINT_FHD,B46,MATCH(TEMPLATE_SPHERE,TEMPLATE_SPHERE_LIST_FOR_NOTE,0))</f>
        <v>2.12</v>
      </c>
      <c r="J46" s="1918" t="str">
        <f>INDEX(TEMPLATE_DATA_POINT_FHD,B46,MATCH(TEMPLATE_SPHERE,TEMPLATE_SPHERE_LIST_FOR_NOTE,0))</f>
        <v>Расходы на капитальный и текущий ремонт основных средств</v>
      </c>
      <c r="K46" s="191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56" t="str">
        <f>IF(I46=0,"",I46)</f>
        <v>2.12</v>
      </c>
      <c r="M46" s="1756" t="str">
        <f>IF(J46=0,"",J46)</f>
        <v>Расходы на капитальный и текущий ремонт основных средств</v>
      </c>
      <c r="N46" s="175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70" t="s">
        <v>2069</v>
      </c>
      <c r="P46" s="1870" t="s">
        <v>2047</v>
      </c>
      <c r="Q46" s="1870" t="s">
        <v>2069</v>
      </c>
      <c r="R46" s="1870" t="s">
        <v>2047</v>
      </c>
      <c r="S46" s="1870"/>
      <c r="T46" s="1755" t="s">
        <v>2070</v>
      </c>
      <c r="U46" s="1755" t="s">
        <v>2070</v>
      </c>
      <c r="V46" s="1755" t="s">
        <v>2070</v>
      </c>
      <c r="W46" s="1755" t="s">
        <v>2070</v>
      </c>
      <c r="X46" s="1755"/>
      <c r="Y46" s="1913"/>
      <c r="Z46" s="1758" t="s">
        <v>2071</v>
      </c>
      <c r="AA46" s="1758" t="s">
        <v>2072</v>
      </c>
      <c r="AB46" s="1758" t="s">
        <v>2072</v>
      </c>
      <c r="AC46" s="1758" t="s">
        <v>2072</v>
      </c>
      <c r="AD46" s="1758"/>
    </row>
    <row customHeight="1" ht="54">
      <c r="A47" s="1757"/>
      <c r="B47" s="1811">
        <v>30</v>
      </c>
      <c r="C47" s="1755" t="s">
        <v>2073</v>
      </c>
      <c r="D47" s="1880"/>
      <c r="E47" s="1755"/>
      <c r="F47" s="1755"/>
      <c r="G47" s="1755"/>
      <c r="H47" s="1803"/>
      <c r="I47" s="1918" t="str">
        <f>INDEX(TEMPLATE_NUMBER_POINT_FHD,B47,MATCH(TEMPLATE_SPHERE,TEMPLATE_SPHERE_LIST_FOR_NOTE,0))</f>
        <v>2.12.1</v>
      </c>
      <c r="J47" s="191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918">
        <f>INDEX(TEMPLATE_NOTE_POINT_FHD,B47,MATCH(TEMPLATE_SPHERE,TEMPLATE_SPHERE_LIST_FOR_NOTE,0))</f>
        <v>0</v>
      </c>
      <c r="L47" s="1756" t="str">
        <f>IF(I47=0,"",I47)</f>
        <v>2.12.1</v>
      </c>
      <c r="M47" s="17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56" t="str">
        <f>IF(K47=0,"",K47)</f>
        <v/>
      </c>
      <c r="O47" s="1870" t="s">
        <v>2074</v>
      </c>
      <c r="P47" s="1870" t="s">
        <v>2051</v>
      </c>
      <c r="Q47" s="1870" t="s">
        <v>2074</v>
      </c>
      <c r="R47" s="1870" t="s">
        <v>2051</v>
      </c>
      <c r="S47" s="1870"/>
      <c r="T47" s="1755" t="s">
        <v>2075</v>
      </c>
      <c r="U47" s="1755" t="s">
        <v>2075</v>
      </c>
      <c r="V47" s="1755" t="s">
        <v>2075</v>
      </c>
      <c r="W47" s="1755" t="s">
        <v>2075</v>
      </c>
      <c r="X47" s="1755"/>
      <c r="Y47" s="1913"/>
      <c r="Z47" s="1758"/>
      <c r="AA47" s="1761"/>
      <c r="AB47" s="1761"/>
      <c r="AC47" s="1761"/>
      <c r="AD47" s="1758"/>
    </row>
    <row customHeight="1" ht="54">
      <c r="A48" s="1757"/>
      <c r="B48" s="1811">
        <v>31</v>
      </c>
      <c r="C48" s="1755">
        <v>16</v>
      </c>
      <c r="D48" s="1880"/>
      <c r="E48" s="1755"/>
      <c r="F48" s="1755"/>
      <c r="G48" s="1755"/>
      <c r="H48" s="1803"/>
      <c r="I48" s="1918">
        <f>INDEX(TEMPLATE_NUMBER_POINT_FHD,B48,MATCH(TEMPLATE_SPHERE,TEMPLATE_SPHERE_LIST_FOR_NOTE,0))</f>
        <v>0</v>
      </c>
      <c r="J48" s="1918">
        <f>INDEX(TEMPLATE_DATA_POINT_FHD,B48,MATCH(TEMPLATE_SPHERE,TEMPLATE_SPHERE_LIST_FOR_NOTE,0))</f>
        <v>0</v>
      </c>
      <c r="K48" s="1918">
        <f>INDEX(TEMPLATE_NOTE_POINT_FHD,B48,MATCH(TEMPLATE_SPHERE,TEMPLATE_SPHERE_LIST_FOR_NOTE,0))</f>
        <v>0</v>
      </c>
      <c r="L48" s="1756" t="str">
        <f>IF(I48=0,"",I48)</f>
        <v/>
      </c>
      <c r="M48" s="1756" t="str">
        <f>IF(J48=0,"",J48)</f>
        <v/>
      </c>
      <c r="N48" s="1756" t="str">
        <f>IF(K48=0,"",K48)</f>
        <v/>
      </c>
      <c r="O48" s="1870"/>
      <c r="P48" s="1870" t="s">
        <v>2058</v>
      </c>
      <c r="Q48" s="1870" t="s">
        <v>2076</v>
      </c>
      <c r="R48" s="1870" t="s">
        <v>2058</v>
      </c>
      <c r="S48" s="1870"/>
      <c r="T48" s="1755"/>
      <c r="U48" s="1755" t="s">
        <v>2077</v>
      </c>
      <c r="V48" s="1755" t="s">
        <v>2078</v>
      </c>
      <c r="W48" s="1755" t="s">
        <v>2078</v>
      </c>
      <c r="X48" s="1755"/>
      <c r="Y48" s="1913"/>
      <c r="Z48" s="1758"/>
      <c r="AA48" s="1761" t="s">
        <v>2072</v>
      </c>
      <c r="AB48" s="1761" t="s">
        <v>2072</v>
      </c>
      <c r="AC48" s="1761" t="s">
        <v>2072</v>
      </c>
      <c r="AD48" s="1758"/>
    </row>
    <row customHeight="1" ht="54">
      <c r="A49" s="1757"/>
      <c r="B49" s="1811">
        <v>32</v>
      </c>
      <c r="C49" s="1755" t="s">
        <v>2079</v>
      </c>
      <c r="D49" s="1880"/>
      <c r="E49" s="1755"/>
      <c r="F49" s="1755"/>
      <c r="G49" s="1755"/>
      <c r="H49" s="1803"/>
      <c r="I49" s="1918">
        <f>INDEX(TEMPLATE_NUMBER_POINT_FHD,B49,MATCH(TEMPLATE_SPHERE,TEMPLATE_SPHERE_LIST_FOR_NOTE,0))</f>
        <v>0</v>
      </c>
      <c r="J49" s="1918">
        <f>INDEX(TEMPLATE_DATA_POINT_FHD,B49,MATCH(TEMPLATE_SPHERE,TEMPLATE_SPHERE_LIST_FOR_NOTE,0))</f>
        <v>0</v>
      </c>
      <c r="K49" s="1918">
        <f>INDEX(TEMPLATE_NOTE_POINT_FHD,B49,MATCH(TEMPLATE_SPHERE,TEMPLATE_SPHERE_LIST_FOR_NOTE,0))</f>
        <v>0</v>
      </c>
      <c r="L49" s="1756" t="str">
        <f>IF(I49=0,"",I49)</f>
        <v/>
      </c>
      <c r="M49" s="1756" t="str">
        <f>IF(J49=0,"",J49)</f>
        <v/>
      </c>
      <c r="N49" s="1756" t="str">
        <f>IF(K49=0,"",K49)</f>
        <v/>
      </c>
      <c r="O49" s="1870"/>
      <c r="P49" s="1870" t="s">
        <v>2062</v>
      </c>
      <c r="Q49" s="1870" t="s">
        <v>2080</v>
      </c>
      <c r="R49" s="1870" t="s">
        <v>2062</v>
      </c>
      <c r="S49" s="1870"/>
      <c r="T49" s="1755"/>
      <c r="U49" s="1755" t="s">
        <v>2075</v>
      </c>
      <c r="V49" s="1755" t="s">
        <v>2075</v>
      </c>
      <c r="W49" s="1755" t="s">
        <v>2075</v>
      </c>
      <c r="X49" s="1755"/>
      <c r="Y49" s="1913"/>
      <c r="Z49" s="1758"/>
      <c r="AA49" s="1761"/>
      <c r="AB49" s="1761"/>
      <c r="AC49" s="1761"/>
      <c r="AD49" s="1758"/>
    </row>
    <row customHeight="1" ht="126">
      <c r="A50" s="1757"/>
      <c r="B50" s="1811">
        <v>33</v>
      </c>
      <c r="C50" s="1755">
        <v>17</v>
      </c>
      <c r="D50" s="1880"/>
      <c r="E50" s="1755"/>
      <c r="F50" s="1755"/>
      <c r="G50" s="1755"/>
      <c r="H50" s="1803"/>
      <c r="I50" s="1918" t="str">
        <f>INDEX(TEMPLATE_NUMBER_POINT_FHD,B50,MATCH(TEMPLATE_SPHERE,TEMPLATE_SPHERE_LIST_FOR_NOTE,0))</f>
        <v>2.13</v>
      </c>
      <c r="J50" s="191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91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756" t="str">
        <f>IF(I50=0,"",I50)</f>
        <v>2.13</v>
      </c>
      <c r="M50" s="175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75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870" t="s">
        <v>2076</v>
      </c>
      <c r="P50" s="1870" t="s">
        <v>2069</v>
      </c>
      <c r="Q50" s="1870" t="s">
        <v>2081</v>
      </c>
      <c r="R50" s="1870" t="s">
        <v>2069</v>
      </c>
      <c r="S50" s="1870"/>
      <c r="T50" s="1755" t="s">
        <v>2082</v>
      </c>
      <c r="U50" s="1755" t="s">
        <v>2083</v>
      </c>
      <c r="V50" s="1755" t="s">
        <v>2084</v>
      </c>
      <c r="W50" s="1755" t="s">
        <v>2085</v>
      </c>
      <c r="X50" s="1755"/>
      <c r="Y50" s="1913"/>
      <c r="Z50" s="1758" t="s">
        <v>2086</v>
      </c>
      <c r="AA50" s="1761" t="s">
        <v>2087</v>
      </c>
      <c r="AB50" s="1761" t="s">
        <v>2087</v>
      </c>
      <c r="AC50" s="1761" t="s">
        <v>2087</v>
      </c>
      <c r="AD50" s="1758"/>
    </row>
    <row customHeight="1" ht="27">
      <c r="A51" s="1757"/>
      <c r="B51" s="1811">
        <v>34</v>
      </c>
      <c r="C51" s="1755" t="s">
        <v>2088</v>
      </c>
      <c r="D51" s="1880"/>
      <c r="E51" s="1755"/>
      <c r="F51" s="1755"/>
      <c r="G51" s="1755"/>
      <c r="H51" s="1803"/>
      <c r="I51" s="1918" t="str">
        <f>INDEX(TEMPLATE_NUMBER_POINT_FHD,B51,MATCH(TEMPLATE_SPHERE,TEMPLATE_SPHERE_LIST_FOR_NOTE,0))</f>
        <v>3</v>
      </c>
      <c r="J51" s="191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918">
        <f>INDEX(TEMPLATE_NOTE_POINT_FHD,B51,MATCH(TEMPLATE_SPHERE,TEMPLATE_SPHERE_LIST_FOR_NOTE,0))</f>
        <v>0</v>
      </c>
      <c r="L51" s="1756" t="str">
        <f>IF(I51=0,"",I51)</f>
        <v>3</v>
      </c>
      <c r="M51" s="1756" t="str">
        <f>IF(J51=0,"",J51)</f>
        <v>Валовая прибыль (убытки) от реализации товаров и оказания услуг по регулируемому виду деятельности</v>
      </c>
      <c r="N51" s="1756" t="str">
        <f>IF(K51=0,"",K51)</f>
        <v/>
      </c>
      <c r="O51" s="1870" t="s">
        <v>86</v>
      </c>
      <c r="P51" s="1870"/>
      <c r="Q51" s="1870"/>
      <c r="R51" s="1870"/>
      <c r="S51" s="1870"/>
      <c r="T51" s="1755" t="s">
        <v>2089</v>
      </c>
      <c r="U51" s="1755"/>
      <c r="V51" s="1755"/>
      <c r="W51" s="1755"/>
      <c r="X51" s="1755"/>
      <c r="Y51" s="1913"/>
      <c r="Z51" s="1758"/>
      <c r="AA51" s="1761"/>
      <c r="AB51" s="1761"/>
      <c r="AC51" s="1761"/>
      <c r="AD51" s="1758"/>
    </row>
    <row customHeight="1" ht="36">
      <c r="A52" s="1757"/>
      <c r="B52" s="1811">
        <v>35</v>
      </c>
      <c r="C52" s="1755" t="s">
        <v>1981</v>
      </c>
      <c r="D52" s="1880" t="s">
        <v>1981</v>
      </c>
      <c r="E52" s="1755" t="s">
        <v>1981</v>
      </c>
      <c r="F52" s="1755" t="s">
        <v>1981</v>
      </c>
      <c r="G52" s="1755"/>
      <c r="H52" s="1803"/>
      <c r="I52" s="1918" t="str">
        <f>INDEX(TEMPLATE_NUMBER_POINT_FHD,B52,MATCH(TEMPLATE_SPHERE,TEMPLATE_SPHERE_LIST_FOR_NOTE,0))</f>
        <v>4</v>
      </c>
      <c r="J52" s="1918" t="str">
        <f>INDEX(TEMPLATE_DATA_POINT_FHD,B52,MATCH(TEMPLATE_SPHERE,TEMPLATE_SPHERE_LIST_FOR_NOTE,0))</f>
        <v>Чистая прибыль, полученная от регулируемого вида деятельности, в том числе:</v>
      </c>
      <c r="K52" s="1918" t="str">
        <f>INDEX(TEMPLATE_NOTE_POINT_FHD,B52,MATCH(TEMPLATE_SPHERE,TEMPLATE_SPHERE_LIST_FOR_NOTE,0))</f>
        <v>Указывается общая сумма чистой прибыли, полученной от регулируемого вида деятельности.</v>
      </c>
      <c r="L52" s="1756" t="str">
        <f>IF(I52=0,"",I52)</f>
        <v>4</v>
      </c>
      <c r="M52" s="1756" t="str">
        <f>IF(J52=0,"",J52)</f>
        <v>Чистая прибыль, полученная от регулируемого вида деятельности, в том числе:</v>
      </c>
      <c r="N52" s="1756" t="str">
        <f>IF(K52=0,"",K52)</f>
        <v>Указывается общая сумма чистой прибыли, полученной от регулируемого вида деятельности.</v>
      </c>
      <c r="O52" s="1870" t="s">
        <v>87</v>
      </c>
      <c r="P52" s="1870" t="s">
        <v>86</v>
      </c>
      <c r="Q52" s="1870" t="s">
        <v>86</v>
      </c>
      <c r="R52" s="1870" t="s">
        <v>86</v>
      </c>
      <c r="S52" s="1870"/>
      <c r="T52" s="1755" t="s">
        <v>2090</v>
      </c>
      <c r="U52" s="1755" t="s">
        <v>2091</v>
      </c>
      <c r="V52" s="1755" t="s">
        <v>2092</v>
      </c>
      <c r="W52" s="1755" t="s">
        <v>2093</v>
      </c>
      <c r="X52" s="1755"/>
      <c r="Y52" s="1913"/>
      <c r="Z52" s="1758" t="s">
        <v>655</v>
      </c>
      <c r="AA52" s="1761" t="s">
        <v>655</v>
      </c>
      <c r="AB52" s="1761" t="s">
        <v>655</v>
      </c>
      <c r="AC52" s="1761" t="s">
        <v>655</v>
      </c>
      <c r="AD52" s="1758"/>
    </row>
    <row customHeight="1" ht="36">
      <c r="A53" s="1757"/>
      <c r="B53" s="1811">
        <v>36</v>
      </c>
      <c r="C53" s="1755">
        <v>1</v>
      </c>
      <c r="D53" s="1880"/>
      <c r="E53" s="1755"/>
      <c r="F53" s="1755"/>
      <c r="G53" s="1755"/>
      <c r="H53" s="1803"/>
      <c r="I53" s="1918" t="str">
        <f>INDEX(TEMPLATE_NUMBER_POINT_FHD,B53,MATCH(TEMPLATE_SPHERE,TEMPLATE_SPHERE_LIST_FOR_NOTE,0))</f>
        <v>4.1</v>
      </c>
      <c r="J53" s="191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918">
        <f>INDEX(TEMPLATE_NOTE_POINT_FHD,B53,MATCH(TEMPLATE_SPHERE,TEMPLATE_SPHERE_LIST_FOR_NOTE,0))</f>
        <v>0</v>
      </c>
      <c r="L53" s="1756" t="str">
        <f>IF(I53=0,"",I53)</f>
        <v>4.1</v>
      </c>
      <c r="M53" s="17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756" t="str">
        <f>IF(K53=0,"",K53)</f>
        <v/>
      </c>
      <c r="O53" s="1870" t="s">
        <v>659</v>
      </c>
      <c r="P53" s="1870" t="s">
        <v>315</v>
      </c>
      <c r="Q53" s="1870" t="s">
        <v>315</v>
      </c>
      <c r="R53" s="1870" t="s">
        <v>315</v>
      </c>
      <c r="S53" s="1870"/>
      <c r="T53" s="1755" t="s">
        <v>2094</v>
      </c>
      <c r="U53" s="1755" t="s">
        <v>2094</v>
      </c>
      <c r="V53" s="1755" t="s">
        <v>2094</v>
      </c>
      <c r="W53" s="1755" t="s">
        <v>2094</v>
      </c>
      <c r="X53" s="1755"/>
      <c r="Y53" s="1913"/>
      <c r="Z53" s="1758"/>
      <c r="AA53" s="1761"/>
      <c r="AB53" s="1758"/>
      <c r="AC53" s="1758"/>
      <c r="AD53" s="1758"/>
    </row>
    <row customHeight="1" ht="18">
      <c r="A54" s="1757"/>
      <c r="B54" s="1811">
        <v>37</v>
      </c>
      <c r="C54" s="1755" t="s">
        <v>1987</v>
      </c>
      <c r="D54" s="1880" t="s">
        <v>1987</v>
      </c>
      <c r="E54" s="1755" t="s">
        <v>1987</v>
      </c>
      <c r="F54" s="1755" t="s">
        <v>1987</v>
      </c>
      <c r="G54" s="1755"/>
      <c r="H54" s="1803"/>
      <c r="I54" s="1918" t="str">
        <f>INDEX(TEMPLATE_NUMBER_POINT_FHD,B54,MATCH(TEMPLATE_SPHERE,TEMPLATE_SPHERE_LIST_FOR_NOTE,0))</f>
        <v>5</v>
      </c>
      <c r="J54" s="1918" t="str">
        <f>INDEX(TEMPLATE_DATA_POINT_FHD,B54,MATCH(TEMPLATE_SPHERE,TEMPLATE_SPHERE_LIST_FOR_NOTE,0))</f>
        <v>Изменение стоимости основных фондов, в том числе:</v>
      </c>
      <c r="K54" s="1918" t="str">
        <f>INDEX(TEMPLATE_NOTE_POINT_FHD,B54,MATCH(TEMPLATE_SPHERE,TEMPLATE_SPHERE_LIST_FOR_NOTE,0))</f>
        <v>Указывается общее изменение стоимости основных фондов.</v>
      </c>
      <c r="L54" s="1756" t="str">
        <f>IF(I54=0,"",I54)</f>
        <v>5</v>
      </c>
      <c r="M54" s="1756" t="str">
        <f>IF(J54=0,"",J54)</f>
        <v>Изменение стоимости основных фондов, в том числе:</v>
      </c>
      <c r="N54" s="1756" t="str">
        <f>IF(K54=0,"",K54)</f>
        <v>Указывается общее изменение стоимости основных фондов.</v>
      </c>
      <c r="O54" s="1870" t="s">
        <v>104</v>
      </c>
      <c r="P54" s="1870" t="s">
        <v>87</v>
      </c>
      <c r="Q54" s="1870" t="s">
        <v>87</v>
      </c>
      <c r="R54" s="1870" t="s">
        <v>87</v>
      </c>
      <c r="S54" s="1870"/>
      <c r="T54" s="1755" t="s">
        <v>657</v>
      </c>
      <c r="U54" s="1755" t="s">
        <v>657</v>
      </c>
      <c r="V54" s="1755" t="s">
        <v>657</v>
      </c>
      <c r="W54" s="1755" t="s">
        <v>657</v>
      </c>
      <c r="X54" s="1755"/>
      <c r="Y54" s="1913"/>
      <c r="Z54" s="1758" t="s">
        <v>658</v>
      </c>
      <c r="AA54" s="1758" t="s">
        <v>658</v>
      </c>
      <c r="AB54" s="1758" t="s">
        <v>658</v>
      </c>
      <c r="AC54" s="1758" t="s">
        <v>658</v>
      </c>
      <c r="AD54" s="1758"/>
    </row>
    <row customHeight="1" ht="36">
      <c r="A55" s="1757"/>
      <c r="B55" s="1811">
        <v>38</v>
      </c>
      <c r="C55" s="1755">
        <v>1</v>
      </c>
      <c r="D55" s="1880"/>
      <c r="E55" s="1755"/>
      <c r="F55" s="1755"/>
      <c r="G55" s="1755"/>
      <c r="H55" s="1803"/>
      <c r="I55" s="1918" t="str">
        <f>INDEX(TEMPLATE_NUMBER_POINT_FHD,B55,MATCH(TEMPLATE_SPHERE,TEMPLATE_SPHERE_LIST_FOR_NOTE,0))</f>
        <v>5.1</v>
      </c>
      <c r="J55" s="1918" t="str">
        <f>INDEX(TEMPLATE_DATA_POINT_FHD,B55,MATCH(TEMPLATE_SPHERE,TEMPLATE_SPHERE_LIST_FOR_NOTE,0))</f>
        <v>Изменение стоимости основных фондов за счет:</v>
      </c>
      <c r="K55" s="191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56" t="str">
        <f>IF(I55=0,"",I55)</f>
        <v>5.1</v>
      </c>
      <c r="M55" s="1756" t="str">
        <f>IF(J55=0,"",J55)</f>
        <v>Изменение стоимости основных фондов за счет:</v>
      </c>
      <c r="N55" s="1756" t="str">
        <f>IF(K55=0,"",K55)</f>
        <v>Указываются общее изменение стоимости основных фондов за счет их ввода в эксплуатацию и вывода из эксплуатации.</v>
      </c>
      <c r="O55" s="1870" t="s">
        <v>304</v>
      </c>
      <c r="P55" s="1870" t="s">
        <v>659</v>
      </c>
      <c r="Q55" s="1870" t="s">
        <v>659</v>
      </c>
      <c r="R55" s="1870" t="s">
        <v>659</v>
      </c>
      <c r="S55" s="1870"/>
      <c r="T55" s="1755" t="s">
        <v>2095</v>
      </c>
      <c r="U55" s="1755" t="s">
        <v>2096</v>
      </c>
      <c r="V55" s="1755" t="s">
        <v>2096</v>
      </c>
      <c r="W55" s="1755" t="s">
        <v>2096</v>
      </c>
      <c r="X55" s="1755"/>
      <c r="Y55" s="1913"/>
      <c r="Z55" s="1758" t="s">
        <v>2097</v>
      </c>
      <c r="AA55" s="1758" t="s">
        <v>2097</v>
      </c>
      <c r="AB55" s="1758" t="s">
        <v>2097</v>
      </c>
      <c r="AC55" s="1758" t="s">
        <v>2097</v>
      </c>
      <c r="AD55" s="1758"/>
    </row>
    <row customHeight="1" ht="27">
      <c r="A56" s="1757"/>
      <c r="B56" s="1811">
        <v>39</v>
      </c>
      <c r="C56" s="1755" t="s">
        <v>994</v>
      </c>
      <c r="D56" s="1880"/>
      <c r="E56" s="1755"/>
      <c r="F56" s="1755"/>
      <c r="G56" s="1755"/>
      <c r="H56" s="1803"/>
      <c r="I56" s="1918" t="str">
        <f>INDEX(TEMPLATE_NUMBER_POINT_FHD,B56,MATCH(TEMPLATE_SPHERE,TEMPLATE_SPHERE_LIST_FOR_NOTE,0))</f>
        <v>5.1.1</v>
      </c>
      <c r="J56" s="1918" t="str">
        <f>INDEX(TEMPLATE_DATA_POINT_FHD,B56,MATCH(TEMPLATE_SPHERE,TEMPLATE_SPHERE_LIST_FOR_NOTE,0))</f>
        <v>Изменения стоимости основных фондов за счет их ввода в эксплуатацию</v>
      </c>
      <c r="K56" s="1918" t="str">
        <f>INDEX(TEMPLATE_NOTE_POINT_FHD,B56,MATCH(TEMPLATE_SPHERE,TEMPLATE_SPHERE_LIST_FOR_NOTE,0))</f>
        <v>Указываются изменение стоимости основных фондов за счет их ввода в эксплуатацию.</v>
      </c>
      <c r="L56" s="1756" t="str">
        <f>IF(I56=0,"",I56)</f>
        <v>5.1.1</v>
      </c>
      <c r="M56" s="1756" t="str">
        <f>IF(J56=0,"",J56)</f>
        <v>Изменения стоимости основных фондов за счет их ввода в эксплуатацию</v>
      </c>
      <c r="N56" s="1756" t="str">
        <f>IF(K56=0,"",K56)</f>
        <v>Указываются изменение стоимости основных фондов за счет их ввода в эксплуатацию.</v>
      </c>
      <c r="O56" s="1870" t="s">
        <v>1114</v>
      </c>
      <c r="P56" s="1870" t="s">
        <v>662</v>
      </c>
      <c r="Q56" s="1870" t="s">
        <v>662</v>
      </c>
      <c r="R56" s="1870" t="s">
        <v>662</v>
      </c>
      <c r="S56" s="1870"/>
      <c r="T56" s="1755" t="s">
        <v>2098</v>
      </c>
      <c r="U56" s="1755" t="s">
        <v>2099</v>
      </c>
      <c r="V56" s="1755" t="s">
        <v>2099</v>
      </c>
      <c r="W56" s="1755" t="s">
        <v>2099</v>
      </c>
      <c r="X56" s="1755"/>
      <c r="Y56" s="1913"/>
      <c r="Z56" s="1758" t="s">
        <v>664</v>
      </c>
      <c r="AA56" s="1758" t="s">
        <v>664</v>
      </c>
      <c r="AB56" s="1758" t="s">
        <v>664</v>
      </c>
      <c r="AC56" s="1758" t="s">
        <v>664</v>
      </c>
      <c r="AD56" s="1758"/>
    </row>
    <row customHeight="1" ht="27">
      <c r="A57" s="1757"/>
      <c r="B57" s="1811">
        <v>40</v>
      </c>
      <c r="C57" s="1755" t="s">
        <v>996</v>
      </c>
      <c r="D57" s="1880"/>
      <c r="E57" s="1755"/>
      <c r="F57" s="1755"/>
      <c r="G57" s="1755"/>
      <c r="H57" s="1803"/>
      <c r="I57" s="1918" t="str">
        <f>INDEX(TEMPLATE_NUMBER_POINT_FHD,B57,MATCH(TEMPLATE_SPHERE,TEMPLATE_SPHERE_LIST_FOR_NOTE,0))</f>
        <v>5.1.2</v>
      </c>
      <c r="J57" s="1918" t="str">
        <f>INDEX(TEMPLATE_DATA_POINT_FHD,B57,MATCH(TEMPLATE_SPHERE,TEMPLATE_SPHERE_LIST_FOR_NOTE,0))</f>
        <v>Изменения стоимости основных фондов за счет их вывода в эксплуатацию</v>
      </c>
      <c r="K57" s="1918" t="str">
        <f>INDEX(TEMPLATE_NOTE_POINT_FHD,B57,MATCH(TEMPLATE_SPHERE,TEMPLATE_SPHERE_LIST_FOR_NOTE,0))</f>
        <v>Указываются изменение стоимости основных фондов за счет их вывода из эксплуатации.</v>
      </c>
      <c r="L57" s="1756" t="str">
        <f>IF(I57=0,"",I57)</f>
        <v>5.1.2</v>
      </c>
      <c r="M57" s="1756" t="str">
        <f>IF(J57=0,"",J57)</f>
        <v>Изменения стоимости основных фондов за счет их вывода в эксплуатацию</v>
      </c>
      <c r="N57" s="1756" t="str">
        <f>IF(K57=0,"",K57)</f>
        <v>Указываются изменение стоимости основных фондов за счет их вывода из эксплуатации.</v>
      </c>
      <c r="O57" s="1870" t="s">
        <v>2100</v>
      </c>
      <c r="P57" s="1870" t="s">
        <v>665</v>
      </c>
      <c r="Q57" s="1870" t="s">
        <v>665</v>
      </c>
      <c r="R57" s="1870" t="s">
        <v>665</v>
      </c>
      <c r="S57" s="1870"/>
      <c r="T57" s="1755" t="s">
        <v>2101</v>
      </c>
      <c r="U57" s="1755" t="s">
        <v>2102</v>
      </c>
      <c r="V57" s="1755" t="s">
        <v>2102</v>
      </c>
      <c r="W57" s="1755" t="s">
        <v>2102</v>
      </c>
      <c r="X57" s="1755"/>
      <c r="Y57" s="1913"/>
      <c r="Z57" s="1758" t="s">
        <v>667</v>
      </c>
      <c r="AA57" s="1758" t="s">
        <v>667</v>
      </c>
      <c r="AB57" s="1758" t="s">
        <v>667</v>
      </c>
      <c r="AC57" s="1758" t="s">
        <v>667</v>
      </c>
      <c r="AD57" s="1758"/>
    </row>
    <row customHeight="1" ht="18">
      <c r="A58" s="1757"/>
      <c r="B58" s="1811">
        <v>41</v>
      </c>
      <c r="C58" s="1755">
        <v>2</v>
      </c>
      <c r="D58" s="1880"/>
      <c r="E58" s="1755"/>
      <c r="F58" s="1755"/>
      <c r="G58" s="1755"/>
      <c r="H58" s="1803"/>
      <c r="I58" s="1918" t="str">
        <f>INDEX(TEMPLATE_NUMBER_POINT_FHD,B58,MATCH(TEMPLATE_SPHERE,TEMPLATE_SPHERE_LIST_FOR_NOTE,0))</f>
        <v>5.2</v>
      </c>
      <c r="J58" s="1918" t="str">
        <f>INDEX(TEMPLATE_DATA_POINT_FHD,B58,MATCH(TEMPLATE_SPHERE,TEMPLATE_SPHERE_LIST_FOR_NOTE,0))</f>
        <v>Изменение стоимости основных фондов за счет их переоценки</v>
      </c>
      <c r="K58" s="1918">
        <f>INDEX(TEMPLATE_NOTE_POINT_FHD,B58,MATCH(TEMPLATE_SPHERE,TEMPLATE_SPHERE_LIST_FOR_NOTE,0))</f>
        <v>0</v>
      </c>
      <c r="L58" s="1756" t="str">
        <f>IF(I58=0,"",I58)</f>
        <v>5.2</v>
      </c>
      <c r="M58" s="1756" t="str">
        <f>IF(J58=0,"",J58)</f>
        <v>Изменение стоимости основных фондов за счет их переоценки</v>
      </c>
      <c r="N58" s="1756" t="str">
        <f>IF(K58=0,"",K58)</f>
        <v/>
      </c>
      <c r="O58" s="1870" t="s">
        <v>788</v>
      </c>
      <c r="P58" s="1870" t="s">
        <v>702</v>
      </c>
      <c r="Q58" s="1870" t="s">
        <v>702</v>
      </c>
      <c r="R58" s="1870" t="s">
        <v>702</v>
      </c>
      <c r="S58" s="1870"/>
      <c r="T58" s="1755" t="s">
        <v>2103</v>
      </c>
      <c r="U58" s="1755" t="s">
        <v>2103</v>
      </c>
      <c r="V58" s="1755" t="s">
        <v>2103</v>
      </c>
      <c r="W58" s="1755" t="s">
        <v>2103</v>
      </c>
      <c r="X58" s="1755"/>
      <c r="Y58" s="1913"/>
      <c r="Z58" s="1758"/>
      <c r="AA58" s="1761"/>
      <c r="AB58" s="1758"/>
      <c r="AC58" s="1758"/>
      <c r="AD58" s="1758"/>
    </row>
    <row customHeight="1" ht="36">
      <c r="A59" s="1757"/>
      <c r="B59" s="1811">
        <v>42</v>
      </c>
      <c r="C59" s="1755">
        <v>3</v>
      </c>
      <c r="D59" s="1880" t="s">
        <v>2088</v>
      </c>
      <c r="E59" s="1755" t="s">
        <v>2088</v>
      </c>
      <c r="F59" s="1755" t="s">
        <v>2088</v>
      </c>
      <c r="G59" s="1755"/>
      <c r="H59" s="1803"/>
      <c r="I59" s="1918">
        <f>INDEX(TEMPLATE_NUMBER_POINT_FHD,B59,MATCH(TEMPLATE_SPHERE,TEMPLATE_SPHERE_LIST_FOR_NOTE,0))</f>
        <v>0</v>
      </c>
      <c r="J59" s="1918">
        <f>INDEX(TEMPLATE_DATA_POINT_FHD,B59,MATCH(TEMPLATE_SPHERE,TEMPLATE_SPHERE_LIST_FOR_NOTE,0))</f>
        <v>0</v>
      </c>
      <c r="K59" s="1918">
        <f>INDEX(TEMPLATE_NOTE_POINT_FHD,B59,MATCH(TEMPLATE_SPHERE,TEMPLATE_SPHERE_LIST_FOR_NOTE,0))</f>
        <v>0</v>
      </c>
      <c r="L59" s="1756" t="str">
        <f>IF(I59=0,"",I59)</f>
        <v/>
      </c>
      <c r="M59" s="1756" t="str">
        <f>IF(J59=0,"",J59)</f>
        <v/>
      </c>
      <c r="N59" s="1756" t="str">
        <f>IF(K59=0,"",K59)</f>
        <v/>
      </c>
      <c r="O59" s="1870"/>
      <c r="P59" s="1870" t="s">
        <v>104</v>
      </c>
      <c r="Q59" s="1870" t="s">
        <v>104</v>
      </c>
      <c r="R59" s="1870" t="s">
        <v>104</v>
      </c>
      <c r="S59" s="1870"/>
      <c r="T59" s="1755"/>
      <c r="U59" s="1755" t="s">
        <v>2104</v>
      </c>
      <c r="V59" s="1755" t="s">
        <v>2105</v>
      </c>
      <c r="W59" s="1755" t="s">
        <v>2106</v>
      </c>
      <c r="X59" s="1755"/>
      <c r="Y59" s="1913"/>
      <c r="Z59" s="1758"/>
      <c r="AA59" s="1761"/>
      <c r="AB59" s="1758"/>
      <c r="AC59" s="1758"/>
      <c r="AD59" s="1758"/>
    </row>
    <row customHeight="1" ht="81">
      <c r="A60" s="1757"/>
      <c r="B60" s="1811">
        <v>43</v>
      </c>
      <c r="C60" s="1755" t="s">
        <v>2107</v>
      </c>
      <c r="D60" s="1880" t="s">
        <v>2107</v>
      </c>
      <c r="E60" s="1755" t="s">
        <v>2107</v>
      </c>
      <c r="F60" s="1755" t="s">
        <v>2107</v>
      </c>
      <c r="G60" s="1755"/>
      <c r="H60" s="1803"/>
      <c r="I60" s="1918" t="str">
        <f>INDEX(TEMPLATE_NUMBER_POINT_FHD,B60,MATCH(TEMPLATE_SPHERE,TEMPLATE_SPHERE_LIST_FOR_NOTE,0))</f>
        <v>6</v>
      </c>
      <c r="J60" s="1918" t="str">
        <f>INDEX(TEMPLATE_DATA_POINT_FHD,B60,MATCH(TEMPLATE_SPHERE,TEMPLATE_SPHERE_LIST_FOR_NOTE,0))</f>
        <v>Годовая бухгалтерская (финансовая) отчетность, включая бухгалтерский баланс и приложения к нему</v>
      </c>
      <c r="K60" s="191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756" t="str">
        <f>IF(I60=0,"",I60)</f>
        <v>6</v>
      </c>
      <c r="M60" s="1756" t="str">
        <f>IF(J60=0,"",J60)</f>
        <v>Годовая бухгалтерская (финансовая) отчетность, включая бухгалтерский баланс и приложения к нему</v>
      </c>
      <c r="N60" s="175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870" t="s">
        <v>88</v>
      </c>
      <c r="P60" s="1870" t="s">
        <v>88</v>
      </c>
      <c r="Q60" s="1870" t="s">
        <v>88</v>
      </c>
      <c r="R60" s="1870" t="s">
        <v>88</v>
      </c>
      <c r="S60" s="1870"/>
      <c r="T60" s="1755" t="s">
        <v>671</v>
      </c>
      <c r="U60" s="1755" t="s">
        <v>671</v>
      </c>
      <c r="V60" s="1755" t="s">
        <v>671</v>
      </c>
      <c r="W60" s="1755" t="s">
        <v>671</v>
      </c>
      <c r="X60" s="1755"/>
      <c r="Y60" s="1913"/>
      <c r="Z60" s="1758" t="s">
        <v>2108</v>
      </c>
      <c r="AA60" s="1761" t="s">
        <v>2109</v>
      </c>
      <c r="AB60" s="1758" t="s">
        <v>2110</v>
      </c>
      <c r="AC60" s="1758" t="s">
        <v>2109</v>
      </c>
      <c r="AD60" s="1758"/>
    </row>
    <row customHeight="1" ht="9">
      <c r="A61" s="1757"/>
      <c r="B61" s="1811">
        <v>44</v>
      </c>
      <c r="C61" s="1755"/>
      <c r="D61" s="1880" t="s">
        <v>2111</v>
      </c>
      <c r="E61" s="1755"/>
      <c r="F61" s="1755"/>
      <c r="G61" s="1755"/>
      <c r="H61" s="1803"/>
      <c r="I61" s="1918">
        <f>INDEX(TEMPLATE_NUMBER_POINT_FHD,B61,MATCH(TEMPLATE_SPHERE,TEMPLATE_SPHERE_LIST_FOR_NOTE,0))</f>
        <v>0</v>
      </c>
      <c r="J61" s="1918">
        <f>INDEX(TEMPLATE_DATA_POINT_FHD,B61,MATCH(TEMPLATE_SPHERE,TEMPLATE_SPHERE_LIST_FOR_NOTE,0))</f>
        <v>0</v>
      </c>
      <c r="K61" s="1918">
        <f>INDEX(TEMPLATE_NOTE_POINT_FHD,B61,MATCH(TEMPLATE_SPHERE,TEMPLATE_SPHERE_LIST_FOR_NOTE,0))</f>
        <v>0</v>
      </c>
      <c r="L61" s="1756" t="str">
        <f>IF(I61=0,"",I61)</f>
        <v/>
      </c>
      <c r="M61" s="1756" t="str">
        <f>IF(J61=0,"",J61)</f>
        <v/>
      </c>
      <c r="N61" s="1756" t="str">
        <f>IF(K61=0,"",K61)</f>
        <v/>
      </c>
      <c r="O61" s="1870"/>
      <c r="P61" s="1870" t="s">
        <v>89</v>
      </c>
      <c r="Q61" s="1870"/>
      <c r="R61" s="1870"/>
      <c r="S61" s="1870"/>
      <c r="T61" s="1755"/>
      <c r="U61" s="1755" t="s">
        <v>2112</v>
      </c>
      <c r="V61" s="1755"/>
      <c r="W61" s="1755"/>
      <c r="X61" s="1755"/>
      <c r="Y61" s="1913"/>
      <c r="Z61" s="1758"/>
      <c r="AA61" s="1761"/>
      <c r="AB61" s="1758"/>
      <c r="AC61" s="1758"/>
      <c r="AD61" s="1758"/>
    </row>
    <row customHeight="1" ht="9">
      <c r="A62" s="1757"/>
      <c r="B62" s="1811">
        <v>45</v>
      </c>
      <c r="C62" s="1755"/>
      <c r="D62" s="1880" t="s">
        <v>2113</v>
      </c>
      <c r="E62" s="1755"/>
      <c r="F62" s="1755"/>
      <c r="G62" s="1755"/>
      <c r="H62" s="1803"/>
      <c r="I62" s="1918">
        <f>INDEX(TEMPLATE_NUMBER_POINT_FHD,B62,MATCH(TEMPLATE_SPHERE,TEMPLATE_SPHERE_LIST_FOR_NOTE,0))</f>
        <v>0</v>
      </c>
      <c r="J62" s="1918">
        <f>INDEX(TEMPLATE_DATA_POINT_FHD,B62,MATCH(TEMPLATE_SPHERE,TEMPLATE_SPHERE_LIST_FOR_NOTE,0))</f>
        <v>0</v>
      </c>
      <c r="K62" s="1918">
        <f>INDEX(TEMPLATE_NOTE_POINT_FHD,B62,MATCH(TEMPLATE_SPHERE,TEMPLATE_SPHERE_LIST_FOR_NOTE,0))</f>
        <v>0</v>
      </c>
      <c r="L62" s="1756" t="str">
        <f>IF(I62=0,"",I62)</f>
        <v/>
      </c>
      <c r="M62" s="1756" t="str">
        <f>IF(J62=0,"",J62)</f>
        <v/>
      </c>
      <c r="N62" s="1756" t="str">
        <f>IF(K62=0,"",K62)</f>
        <v/>
      </c>
      <c r="O62" s="1870"/>
      <c r="P62" s="1870" t="s">
        <v>105</v>
      </c>
      <c r="Q62" s="1870"/>
      <c r="R62" s="1870"/>
      <c r="S62" s="1870"/>
      <c r="T62" s="1755"/>
      <c r="U62" s="1755" t="s">
        <v>2114</v>
      </c>
      <c r="V62" s="1755"/>
      <c r="W62" s="1755"/>
      <c r="X62" s="1755"/>
      <c r="Y62" s="1913"/>
      <c r="Z62" s="1758"/>
      <c r="AA62" s="1761"/>
      <c r="AB62" s="1758"/>
      <c r="AC62" s="1758"/>
      <c r="AD62" s="1758"/>
    </row>
    <row customHeight="1" ht="18">
      <c r="A63" s="1757"/>
      <c r="B63" s="1811">
        <v>46</v>
      </c>
      <c r="C63" s="1755"/>
      <c r="D63" s="1880" t="s">
        <v>2115</v>
      </c>
      <c r="E63" s="1755"/>
      <c r="F63" s="1755"/>
      <c r="G63" s="1755"/>
      <c r="H63" s="1803"/>
      <c r="I63" s="1918">
        <f>INDEX(TEMPLATE_NUMBER_POINT_FHD,B63,MATCH(TEMPLATE_SPHERE,TEMPLATE_SPHERE_LIST_FOR_NOTE,0))</f>
        <v>0</v>
      </c>
      <c r="J63" s="1918">
        <f>INDEX(TEMPLATE_DATA_POINT_FHD,B63,MATCH(TEMPLATE_SPHERE,TEMPLATE_SPHERE_LIST_FOR_NOTE,0))</f>
        <v>0</v>
      </c>
      <c r="K63" s="1918">
        <f>INDEX(TEMPLATE_NOTE_POINT_FHD,B63,MATCH(TEMPLATE_SPHERE,TEMPLATE_SPHERE_LIST_FOR_NOTE,0))</f>
        <v>0</v>
      </c>
      <c r="L63" s="1756" t="str">
        <f>IF(I63=0,"",I63)</f>
        <v/>
      </c>
      <c r="M63" s="1756" t="str">
        <f>IF(J63=0,"",J63)</f>
        <v/>
      </c>
      <c r="N63" s="1756" t="str">
        <f>IF(K63=0,"",K63)</f>
        <v/>
      </c>
      <c r="O63" s="1870"/>
      <c r="P63" s="1870" t="s">
        <v>141</v>
      </c>
      <c r="Q63" s="1870"/>
      <c r="R63" s="1870"/>
      <c r="S63" s="1870"/>
      <c r="T63" s="1755"/>
      <c r="U63" s="1755" t="s">
        <v>2116</v>
      </c>
      <c r="V63" s="1755"/>
      <c r="W63" s="1755"/>
      <c r="X63" s="1755"/>
      <c r="Y63" s="1913"/>
      <c r="Z63" s="1758"/>
      <c r="AA63" s="1761"/>
      <c r="AB63" s="1758"/>
      <c r="AC63" s="1758"/>
      <c r="AD63" s="1758"/>
    </row>
    <row customHeight="1" ht="18">
      <c r="A64" s="1757"/>
      <c r="B64" s="1811">
        <v>47</v>
      </c>
      <c r="C64" s="1755"/>
      <c r="D64" s="1880" t="s">
        <v>2117</v>
      </c>
      <c r="E64" s="1755"/>
      <c r="F64" s="1755"/>
      <c r="G64" s="1755"/>
      <c r="H64" s="1803"/>
      <c r="I64" s="1918">
        <f>INDEX(TEMPLATE_NUMBER_POINT_FHD,B64,MATCH(TEMPLATE_SPHERE,TEMPLATE_SPHERE_LIST_FOR_NOTE,0))</f>
        <v>0</v>
      </c>
      <c r="J64" s="1918">
        <f>INDEX(TEMPLATE_DATA_POINT_FHD,B64,MATCH(TEMPLATE_SPHERE,TEMPLATE_SPHERE_LIST_FOR_NOTE,0))</f>
        <v>0</v>
      </c>
      <c r="K64" s="1918">
        <f>INDEX(TEMPLATE_NOTE_POINT_FHD,B64,MATCH(TEMPLATE_SPHERE,TEMPLATE_SPHERE_LIST_FOR_NOTE,0))</f>
        <v>0</v>
      </c>
      <c r="L64" s="1756" t="str">
        <f>IF(I64=0,"",I64)</f>
        <v/>
      </c>
      <c r="M64" s="1756" t="str">
        <f>IF(J64=0,"",J64)</f>
        <v/>
      </c>
      <c r="N64" s="1756" t="str">
        <f>IF(K64=0,"",K64)</f>
        <v/>
      </c>
      <c r="O64" s="1870"/>
      <c r="P64" s="1870" t="s">
        <v>142</v>
      </c>
      <c r="Q64" s="1870"/>
      <c r="R64" s="1870"/>
      <c r="S64" s="1870"/>
      <c r="T64" s="1755"/>
      <c r="U64" s="1755" t="s">
        <v>2118</v>
      </c>
      <c r="V64" s="1755"/>
      <c r="W64" s="1755"/>
      <c r="X64" s="1755"/>
      <c r="Y64" s="1913"/>
      <c r="Z64" s="1758"/>
      <c r="AA64" s="1761" t="s">
        <v>2119</v>
      </c>
      <c r="AB64" s="1758"/>
      <c r="AC64" s="1758"/>
      <c r="AD64" s="1758"/>
    </row>
    <row customHeight="1" ht="18">
      <c r="A65" s="1757"/>
      <c r="B65" s="1811">
        <v>48</v>
      </c>
      <c r="C65" s="1755"/>
      <c r="D65" s="1880"/>
      <c r="E65" s="1755"/>
      <c r="F65" s="1755"/>
      <c r="G65" s="1755"/>
      <c r="H65" s="1803"/>
      <c r="I65" s="1918">
        <f>INDEX(TEMPLATE_NUMBER_POINT_FHD,B65,MATCH(TEMPLATE_SPHERE,TEMPLATE_SPHERE_LIST_FOR_NOTE,0))</f>
        <v>0</v>
      </c>
      <c r="J65" s="1918">
        <f>INDEX(TEMPLATE_DATA_POINT_FHD,B65,MATCH(TEMPLATE_SPHERE,TEMPLATE_SPHERE_LIST_FOR_NOTE,0))</f>
        <v>0</v>
      </c>
      <c r="K65" s="1918">
        <f>INDEX(TEMPLATE_NOTE_POINT_FHD,B65,MATCH(TEMPLATE_SPHERE,TEMPLATE_SPHERE_LIST_FOR_NOTE,0))</f>
        <v>0</v>
      </c>
      <c r="L65" s="1756" t="str">
        <f>IF(I65=0,"",I65)</f>
        <v/>
      </c>
      <c r="M65" s="1756" t="str">
        <f>IF(J65=0,"",J65)</f>
        <v/>
      </c>
      <c r="N65" s="1756" t="str">
        <f>IF(K65=0,"",K65)</f>
        <v/>
      </c>
      <c r="O65" s="1870"/>
      <c r="P65" s="1870" t="s">
        <v>2029</v>
      </c>
      <c r="Q65" s="1870"/>
      <c r="R65" s="1870"/>
      <c r="S65" s="1870"/>
      <c r="T65" s="1755"/>
      <c r="U65" s="1755" t="s">
        <v>2120</v>
      </c>
      <c r="V65" s="1755"/>
      <c r="W65" s="1755"/>
      <c r="X65" s="1755"/>
      <c r="Y65" s="1913"/>
      <c r="Z65" s="1758"/>
      <c r="AA65" s="1761"/>
      <c r="AB65" s="1758"/>
      <c r="AC65" s="1758"/>
      <c r="AD65" s="1758"/>
    </row>
    <row customHeight="1" ht="18">
      <c r="A66" s="1757"/>
      <c r="B66" s="1811">
        <v>49</v>
      </c>
      <c r="C66" s="1755"/>
      <c r="D66" s="1880"/>
      <c r="E66" s="1755"/>
      <c r="F66" s="1755"/>
      <c r="G66" s="1755"/>
      <c r="H66" s="1803"/>
      <c r="I66" s="1918">
        <f>INDEX(TEMPLATE_NUMBER_POINT_FHD,B66,MATCH(TEMPLATE_SPHERE,TEMPLATE_SPHERE_LIST_FOR_NOTE,0))</f>
        <v>0</v>
      </c>
      <c r="J66" s="1918">
        <f>INDEX(TEMPLATE_DATA_POINT_FHD,B66,MATCH(TEMPLATE_SPHERE,TEMPLATE_SPHERE_LIST_FOR_NOTE,0))</f>
        <v>0</v>
      </c>
      <c r="K66" s="1918">
        <f>INDEX(TEMPLATE_NOTE_POINT_FHD,B66,MATCH(TEMPLATE_SPHERE,TEMPLATE_SPHERE_LIST_FOR_NOTE,0))</f>
        <v>0</v>
      </c>
      <c r="L66" s="1756" t="str">
        <f>IF(I66=0,"",I66)</f>
        <v/>
      </c>
      <c r="M66" s="1756" t="str">
        <f>IF(J66=0,"",J66)</f>
        <v/>
      </c>
      <c r="N66" s="1756" t="str">
        <f>IF(K66=0,"",K66)</f>
        <v/>
      </c>
      <c r="O66" s="1870"/>
      <c r="P66" s="1870" t="s">
        <v>2033</v>
      </c>
      <c r="Q66" s="1870"/>
      <c r="R66" s="1870"/>
      <c r="S66" s="1870"/>
      <c r="T66" s="1755"/>
      <c r="U66" s="1755" t="s">
        <v>2121</v>
      </c>
      <c r="V66" s="1755"/>
      <c r="W66" s="1755"/>
      <c r="X66" s="1755"/>
      <c r="Y66" s="1913"/>
      <c r="Z66" s="1758"/>
      <c r="AA66" s="1761"/>
      <c r="AB66" s="1758"/>
      <c r="AC66" s="1758"/>
      <c r="AD66" s="1758"/>
    </row>
    <row customHeight="1" ht="27">
      <c r="A67" s="1757"/>
      <c r="B67" s="1811">
        <v>50</v>
      </c>
      <c r="C67" s="1755"/>
      <c r="D67" s="1880"/>
      <c r="E67" s="1755"/>
      <c r="F67" s="1755"/>
      <c r="G67" s="1755"/>
      <c r="H67" s="1803"/>
      <c r="I67" s="1918">
        <f>INDEX(TEMPLATE_NUMBER_POINT_FHD,B67,MATCH(TEMPLATE_SPHERE,TEMPLATE_SPHERE_LIST_FOR_NOTE,0))</f>
        <v>0</v>
      </c>
      <c r="J67" s="1918">
        <f>INDEX(TEMPLATE_DATA_POINT_FHD,B67,MATCH(TEMPLATE_SPHERE,TEMPLATE_SPHERE_LIST_FOR_NOTE,0))</f>
        <v>0</v>
      </c>
      <c r="K67" s="1918">
        <f>INDEX(TEMPLATE_NOTE_POINT_FHD,B67,MATCH(TEMPLATE_SPHERE,TEMPLATE_SPHERE_LIST_FOR_NOTE,0))</f>
        <v>0</v>
      </c>
      <c r="L67" s="1756" t="str">
        <f>IF(I67=0,"",I67)</f>
        <v/>
      </c>
      <c r="M67" s="1756" t="str">
        <f>IF(J67=0,"",J67)</f>
        <v/>
      </c>
      <c r="N67" s="1756" t="str">
        <f>IF(K67=0,"",K67)</f>
        <v/>
      </c>
      <c r="O67" s="1870"/>
      <c r="P67" s="1870" t="s">
        <v>2122</v>
      </c>
      <c r="Q67" s="1870"/>
      <c r="R67" s="1870"/>
      <c r="S67" s="1870"/>
      <c r="T67" s="1755"/>
      <c r="U67" s="1755" t="s">
        <v>2123</v>
      </c>
      <c r="V67" s="1755"/>
      <c r="W67" s="1755"/>
      <c r="X67" s="1755"/>
      <c r="Y67" s="1913"/>
      <c r="Z67" s="1758"/>
      <c r="AA67" s="1761"/>
      <c r="AB67" s="1758"/>
      <c r="AC67" s="1758"/>
      <c r="AD67" s="1758"/>
    </row>
    <row customHeight="1" ht="27">
      <c r="A68" s="1757"/>
      <c r="B68" s="1811">
        <v>51</v>
      </c>
      <c r="C68" s="1755"/>
      <c r="D68" s="1880"/>
      <c r="E68" s="1755"/>
      <c r="F68" s="1755"/>
      <c r="G68" s="1755"/>
      <c r="H68" s="1803"/>
      <c r="I68" s="1918">
        <f>INDEX(TEMPLATE_NUMBER_POINT_FHD,B68,MATCH(TEMPLATE_SPHERE,TEMPLATE_SPHERE_LIST_FOR_NOTE,0))</f>
        <v>0</v>
      </c>
      <c r="J68" s="1918">
        <f>INDEX(TEMPLATE_DATA_POINT_FHD,B68,MATCH(TEMPLATE_SPHERE,TEMPLATE_SPHERE_LIST_FOR_NOTE,0))</f>
        <v>0</v>
      </c>
      <c r="K68" s="1918">
        <f>INDEX(TEMPLATE_NOTE_POINT_FHD,B68,MATCH(TEMPLATE_SPHERE,TEMPLATE_SPHERE_LIST_FOR_NOTE,0))</f>
        <v>0</v>
      </c>
      <c r="L68" s="1756" t="str">
        <f>IF(I68=0,"",I68)</f>
        <v/>
      </c>
      <c r="M68" s="1756" t="str">
        <f>IF(J68=0,"",J68)</f>
        <v/>
      </c>
      <c r="N68" s="1756" t="str">
        <f>IF(K68=0,"",K68)</f>
        <v/>
      </c>
      <c r="O68" s="1870"/>
      <c r="P68" s="1870" t="s">
        <v>2124</v>
      </c>
      <c r="Q68" s="1870"/>
      <c r="R68" s="1870"/>
      <c r="S68" s="1870"/>
      <c r="T68" s="1755"/>
      <c r="U68" s="1755" t="s">
        <v>2125</v>
      </c>
      <c r="V68" s="1755"/>
      <c r="W68" s="1755"/>
      <c r="X68" s="1755"/>
      <c r="Y68" s="1913"/>
      <c r="Z68" s="1758"/>
      <c r="AA68" s="1761"/>
      <c r="AB68" s="1758"/>
      <c r="AC68" s="1758"/>
      <c r="AD68" s="1758"/>
    </row>
    <row customHeight="1" ht="9">
      <c r="A69" s="1757"/>
      <c r="B69" s="1811">
        <v>52</v>
      </c>
      <c r="C69" s="1755"/>
      <c r="D69" s="1880" t="s">
        <v>2126</v>
      </c>
      <c r="E69" s="1755"/>
      <c r="F69" s="1755"/>
      <c r="G69" s="1755"/>
      <c r="H69" s="1803"/>
      <c r="I69" s="1918">
        <f>INDEX(TEMPLATE_NUMBER_POINT_FHD,B69,MATCH(TEMPLATE_SPHERE,TEMPLATE_SPHERE_LIST_FOR_NOTE,0))</f>
        <v>0</v>
      </c>
      <c r="J69" s="1918">
        <f>INDEX(TEMPLATE_DATA_POINT_FHD,B69,MATCH(TEMPLATE_SPHERE,TEMPLATE_SPHERE_LIST_FOR_NOTE,0))</f>
        <v>0</v>
      </c>
      <c r="K69" s="1918">
        <f>INDEX(TEMPLATE_NOTE_POINT_FHD,B69,MATCH(TEMPLATE_SPHERE,TEMPLATE_SPHERE_LIST_FOR_NOTE,0))</f>
        <v>0</v>
      </c>
      <c r="L69" s="1756" t="str">
        <f>IF(I69=0,"",I69)</f>
        <v/>
      </c>
      <c r="M69" s="1756" t="str">
        <f>IF(J69=0,"",J69)</f>
        <v/>
      </c>
      <c r="N69" s="1756" t="str">
        <f>IF(K69=0,"",K69)</f>
        <v/>
      </c>
      <c r="O69" s="1870"/>
      <c r="P69" s="1870" t="s">
        <v>143</v>
      </c>
      <c r="Q69" s="1870"/>
      <c r="R69" s="1870"/>
      <c r="S69" s="1870"/>
      <c r="T69" s="1755"/>
      <c r="U69" s="1755" t="s">
        <v>2127</v>
      </c>
      <c r="V69" s="1755"/>
      <c r="W69" s="1755"/>
      <c r="X69" s="1755"/>
      <c r="Y69" s="1913"/>
      <c r="Z69" s="1758"/>
      <c r="AA69" s="1761"/>
      <c r="AB69" s="1758"/>
      <c r="AC69" s="1758"/>
      <c r="AD69" s="1758"/>
    </row>
    <row customHeight="1" ht="27">
      <c r="A70" s="1757"/>
      <c r="B70" s="1811">
        <v>53</v>
      </c>
      <c r="C70" s="1755"/>
      <c r="D70" s="1880"/>
      <c r="E70" s="1755" t="s">
        <v>2111</v>
      </c>
      <c r="F70" s="1755"/>
      <c r="G70" s="1755"/>
      <c r="H70" s="1803"/>
      <c r="I70" s="1918">
        <f>INDEX(TEMPLATE_NUMBER_POINT_FHD,B70,MATCH(TEMPLATE_SPHERE,TEMPLATE_SPHERE_LIST_FOR_NOTE,0))</f>
        <v>0</v>
      </c>
      <c r="J70" s="1918">
        <f>INDEX(TEMPLATE_DATA_POINT_FHD,B70,MATCH(TEMPLATE_SPHERE,TEMPLATE_SPHERE_LIST_FOR_NOTE,0))</f>
        <v>0</v>
      </c>
      <c r="K70" s="1918">
        <f>INDEX(TEMPLATE_NOTE_POINT_FHD,B70,MATCH(TEMPLATE_SPHERE,TEMPLATE_SPHERE_LIST_FOR_NOTE,0))</f>
        <v>0</v>
      </c>
      <c r="L70" s="1756" t="str">
        <f>IF(I70=0,"",I70)</f>
        <v/>
      </c>
      <c r="M70" s="1756" t="str">
        <f>IF(J70=0,"",J70)</f>
        <v/>
      </c>
      <c r="N70" s="1756" t="str">
        <f>IF(K70=0,"",K70)</f>
        <v/>
      </c>
      <c r="O70" s="1870"/>
      <c r="P70" s="1870"/>
      <c r="Q70" s="1870" t="s">
        <v>89</v>
      </c>
      <c r="R70" s="1870"/>
      <c r="S70" s="1870"/>
      <c r="T70" s="1755"/>
      <c r="U70" s="1755"/>
      <c r="V70" s="1755" t="s">
        <v>2128</v>
      </c>
      <c r="W70" s="1755"/>
      <c r="X70" s="1755"/>
      <c r="Y70" s="1913"/>
      <c r="Z70" s="1758"/>
      <c r="AA70" s="1761"/>
      <c r="AB70" s="1758"/>
      <c r="AC70" s="1758"/>
      <c r="AD70" s="1758"/>
    </row>
    <row customHeight="1" ht="36">
      <c r="A71" s="1757"/>
      <c r="B71" s="1811">
        <v>54</v>
      </c>
      <c r="C71" s="1755"/>
      <c r="D71" s="1880"/>
      <c r="E71" s="1755" t="s">
        <v>2113</v>
      </c>
      <c r="F71" s="1755"/>
      <c r="G71" s="1755"/>
      <c r="H71" s="1803"/>
      <c r="I71" s="1918">
        <f>INDEX(TEMPLATE_NUMBER_POINT_FHD,B71,MATCH(TEMPLATE_SPHERE,TEMPLATE_SPHERE_LIST_FOR_NOTE,0))</f>
        <v>0</v>
      </c>
      <c r="J71" s="1918">
        <f>INDEX(TEMPLATE_DATA_POINT_FHD,B71,MATCH(TEMPLATE_SPHERE,TEMPLATE_SPHERE_LIST_FOR_NOTE,0))</f>
        <v>0</v>
      </c>
      <c r="K71" s="1918">
        <f>INDEX(TEMPLATE_NOTE_POINT_FHD,B71,MATCH(TEMPLATE_SPHERE,TEMPLATE_SPHERE_LIST_FOR_NOTE,0))</f>
        <v>0</v>
      </c>
      <c r="L71" s="1756" t="str">
        <f>IF(I71=0,"",I71)</f>
        <v/>
      </c>
      <c r="M71" s="1756" t="str">
        <f>IF(J71=0,"",J71)</f>
        <v/>
      </c>
      <c r="N71" s="1756" t="str">
        <f>IF(K71=0,"",K71)</f>
        <v/>
      </c>
      <c r="O71" s="1870"/>
      <c r="P71" s="1870"/>
      <c r="Q71" s="1870" t="s">
        <v>105</v>
      </c>
      <c r="R71" s="1870"/>
      <c r="S71" s="1870"/>
      <c r="T71" s="1755"/>
      <c r="U71" s="1755"/>
      <c r="V71" s="1755" t="s">
        <v>2129</v>
      </c>
      <c r="W71" s="1755"/>
      <c r="X71" s="1755"/>
      <c r="Y71" s="1913"/>
      <c r="Z71" s="1758"/>
      <c r="AA71" s="1761"/>
      <c r="AB71" s="1758"/>
      <c r="AC71" s="1758"/>
      <c r="AD71" s="1758"/>
    </row>
    <row customHeight="1" ht="27">
      <c r="A72" s="1757"/>
      <c r="B72" s="1811">
        <v>55</v>
      </c>
      <c r="C72" s="1755"/>
      <c r="D72" s="1880"/>
      <c r="E72" s="1755" t="s">
        <v>2115</v>
      </c>
      <c r="F72" s="1755"/>
      <c r="G72" s="1755"/>
      <c r="H72" s="1803"/>
      <c r="I72" s="1918">
        <f>INDEX(TEMPLATE_NUMBER_POINT_FHD,B72,MATCH(TEMPLATE_SPHERE,TEMPLATE_SPHERE_LIST_FOR_NOTE,0))</f>
        <v>0</v>
      </c>
      <c r="J72" s="1918">
        <f>INDEX(TEMPLATE_DATA_POINT_FHD,B72,MATCH(TEMPLATE_SPHERE,TEMPLATE_SPHERE_LIST_FOR_NOTE,0))</f>
        <v>0</v>
      </c>
      <c r="K72" s="1918">
        <f>INDEX(TEMPLATE_NOTE_POINT_FHD,B72,MATCH(TEMPLATE_SPHERE,TEMPLATE_SPHERE_LIST_FOR_NOTE,0))</f>
        <v>0</v>
      </c>
      <c r="L72" s="1756" t="str">
        <f>IF(I72=0,"",I72)</f>
        <v/>
      </c>
      <c r="M72" s="1756" t="str">
        <f>IF(J72=0,"",J72)</f>
        <v/>
      </c>
      <c r="N72" s="1756" t="str">
        <f>IF(K72=0,"",K72)</f>
        <v/>
      </c>
      <c r="O72" s="1870"/>
      <c r="P72" s="1870"/>
      <c r="Q72" s="1870" t="s">
        <v>141</v>
      </c>
      <c r="R72" s="1870"/>
      <c r="S72" s="1870"/>
      <c r="T72" s="1755"/>
      <c r="U72" s="1755"/>
      <c r="V72" s="1755" t="s">
        <v>2130</v>
      </c>
      <c r="W72" s="1755"/>
      <c r="X72" s="1755"/>
      <c r="Y72" s="1913"/>
      <c r="Z72" s="1758"/>
      <c r="AA72" s="1761"/>
      <c r="AB72" s="1758"/>
      <c r="AC72" s="1758"/>
      <c r="AD72" s="1758"/>
    </row>
    <row customHeight="1" ht="36">
      <c r="A73" s="1757"/>
      <c r="B73" s="1811">
        <v>56</v>
      </c>
      <c r="C73" s="1755"/>
      <c r="D73" s="1880"/>
      <c r="E73" s="1755" t="s">
        <v>2117</v>
      </c>
      <c r="F73" s="1755"/>
      <c r="G73" s="1755"/>
      <c r="H73" s="1803"/>
      <c r="I73" s="1918">
        <f>INDEX(TEMPLATE_NUMBER_POINT_FHD,B73,MATCH(TEMPLATE_SPHERE,TEMPLATE_SPHERE_LIST_FOR_NOTE,0))</f>
        <v>0</v>
      </c>
      <c r="J73" s="1918">
        <f>INDEX(TEMPLATE_DATA_POINT_FHD,B73,MATCH(TEMPLATE_SPHERE,TEMPLATE_SPHERE_LIST_FOR_NOTE,0))</f>
        <v>0</v>
      </c>
      <c r="K73" s="1918">
        <f>INDEX(TEMPLATE_NOTE_POINT_FHD,B73,MATCH(TEMPLATE_SPHERE,TEMPLATE_SPHERE_LIST_FOR_NOTE,0))</f>
        <v>0</v>
      </c>
      <c r="L73" s="1756" t="str">
        <f>IF(I73=0,"",I73)</f>
        <v/>
      </c>
      <c r="M73" s="1756" t="str">
        <f>IF(J73=0,"",J73)</f>
        <v/>
      </c>
      <c r="N73" s="1756" t="str">
        <f>IF(K73=0,"",K73)</f>
        <v/>
      </c>
      <c r="O73" s="1870"/>
      <c r="P73" s="1870"/>
      <c r="Q73" s="1870" t="s">
        <v>142</v>
      </c>
      <c r="R73" s="1870"/>
      <c r="S73" s="1870"/>
      <c r="T73" s="1755"/>
      <c r="U73" s="1755"/>
      <c r="V73" s="1755" t="s">
        <v>2131</v>
      </c>
      <c r="W73" s="1755"/>
      <c r="X73" s="1755"/>
      <c r="Y73" s="1913"/>
      <c r="Z73" s="1758"/>
      <c r="AA73" s="1761"/>
      <c r="AB73" s="1758"/>
      <c r="AC73" s="1758"/>
      <c r="AD73" s="1758"/>
    </row>
    <row customHeight="1" ht="18">
      <c r="A74" s="1757"/>
      <c r="B74" s="1811">
        <v>57</v>
      </c>
      <c r="C74" s="1755"/>
      <c r="D74" s="1880"/>
      <c r="E74" s="1755" t="s">
        <v>2126</v>
      </c>
      <c r="F74" s="1755"/>
      <c r="G74" s="1755"/>
      <c r="H74" s="1803"/>
      <c r="I74" s="1918">
        <f>INDEX(TEMPLATE_NUMBER_POINT_FHD,B74,MATCH(TEMPLATE_SPHERE,TEMPLATE_SPHERE_LIST_FOR_NOTE,0))</f>
        <v>0</v>
      </c>
      <c r="J74" s="1918">
        <f>INDEX(TEMPLATE_DATA_POINT_FHD,B74,MATCH(TEMPLATE_SPHERE,TEMPLATE_SPHERE_LIST_FOR_NOTE,0))</f>
        <v>0</v>
      </c>
      <c r="K74" s="1918">
        <f>INDEX(TEMPLATE_NOTE_POINT_FHD,B74,MATCH(TEMPLATE_SPHERE,TEMPLATE_SPHERE_LIST_FOR_NOTE,0))</f>
        <v>0</v>
      </c>
      <c r="L74" s="1756" t="str">
        <f>IF(I74=0,"",I74)</f>
        <v/>
      </c>
      <c r="M74" s="1756" t="str">
        <f>IF(J74=0,"",J74)</f>
        <v/>
      </c>
      <c r="N74" s="1756" t="str">
        <f>IF(K74=0,"",K74)</f>
        <v/>
      </c>
      <c r="O74" s="1870"/>
      <c r="P74" s="1870"/>
      <c r="Q74" s="1870" t="s">
        <v>143</v>
      </c>
      <c r="R74" s="1870"/>
      <c r="S74" s="1870"/>
      <c r="T74" s="1755"/>
      <c r="U74" s="1755"/>
      <c r="V74" s="1755" t="s">
        <v>2132</v>
      </c>
      <c r="W74" s="1755"/>
      <c r="X74" s="1755"/>
      <c r="Y74" s="1913"/>
      <c r="Z74" s="1758"/>
      <c r="AA74" s="1761"/>
      <c r="AB74" s="1758"/>
      <c r="AC74" s="1758"/>
      <c r="AD74" s="1758"/>
    </row>
    <row customHeight="1" ht="18">
      <c r="A75" s="1757"/>
      <c r="B75" s="1811">
        <v>58</v>
      </c>
      <c r="C75" s="1755"/>
      <c r="D75" s="1880"/>
      <c r="E75" s="1755"/>
      <c r="F75" s="1755" t="s">
        <v>2111</v>
      </c>
      <c r="G75" s="1755"/>
      <c r="H75" s="1803"/>
      <c r="I75" s="1918">
        <f>INDEX(TEMPLATE_NUMBER_POINT_FHD,B75,MATCH(TEMPLATE_SPHERE,TEMPLATE_SPHERE_LIST_FOR_NOTE,0))</f>
        <v>0</v>
      </c>
      <c r="J75" s="1918">
        <f>INDEX(TEMPLATE_DATA_POINT_FHD,B75,MATCH(TEMPLATE_SPHERE,TEMPLATE_SPHERE_LIST_FOR_NOTE,0))</f>
        <v>0</v>
      </c>
      <c r="K75" s="1918">
        <f>INDEX(TEMPLATE_NOTE_POINT_FHD,B75,MATCH(TEMPLATE_SPHERE,TEMPLATE_SPHERE_LIST_FOR_NOTE,0))</f>
        <v>0</v>
      </c>
      <c r="L75" s="1756" t="str">
        <f>IF(I75=0,"",I75)</f>
        <v/>
      </c>
      <c r="M75" s="1756" t="str">
        <f>IF(J75=0,"",J75)</f>
        <v/>
      </c>
      <c r="N75" s="1756" t="str">
        <f>IF(K75=0,"",K75)</f>
        <v/>
      </c>
      <c r="O75" s="1870"/>
      <c r="P75" s="1870"/>
      <c r="Q75" s="1870"/>
      <c r="R75" s="1870" t="s">
        <v>89</v>
      </c>
      <c r="S75" s="1870"/>
      <c r="T75" s="1755"/>
      <c r="U75" s="1755"/>
      <c r="V75" s="1755"/>
      <c r="W75" s="1755" t="s">
        <v>2133</v>
      </c>
      <c r="X75" s="1755"/>
      <c r="Y75" s="1913"/>
      <c r="Z75" s="1758"/>
      <c r="AA75" s="1761"/>
      <c r="AB75" s="1758"/>
      <c r="AC75" s="1758"/>
      <c r="AD75" s="1758"/>
    </row>
    <row customHeight="1" ht="36">
      <c r="A76" s="1757"/>
      <c r="B76" s="1811">
        <v>59</v>
      </c>
      <c r="C76" s="1755"/>
      <c r="D76" s="1880"/>
      <c r="E76" s="1755"/>
      <c r="F76" s="1755" t="s">
        <v>2113</v>
      </c>
      <c r="G76" s="1755"/>
      <c r="H76" s="1803"/>
      <c r="I76" s="1918">
        <f>INDEX(TEMPLATE_NUMBER_POINT_FHD,B76,MATCH(TEMPLATE_SPHERE,TEMPLATE_SPHERE_LIST_FOR_NOTE,0))</f>
        <v>0</v>
      </c>
      <c r="J76" s="1918">
        <f>INDEX(TEMPLATE_DATA_POINT_FHD,B76,MATCH(TEMPLATE_SPHERE,TEMPLATE_SPHERE_LIST_FOR_NOTE,0))</f>
        <v>0</v>
      </c>
      <c r="K76" s="1918">
        <f>INDEX(TEMPLATE_NOTE_POINT_FHD,B76,MATCH(TEMPLATE_SPHERE,TEMPLATE_SPHERE_LIST_FOR_NOTE,0))</f>
        <v>0</v>
      </c>
      <c r="L76" s="1756" t="str">
        <f>IF(I76=0,"",I76)</f>
        <v/>
      </c>
      <c r="M76" s="1756" t="str">
        <f>IF(J76=0,"",J76)</f>
        <v/>
      </c>
      <c r="N76" s="1756" t="str">
        <f>IF(K76=0,"",K76)</f>
        <v/>
      </c>
      <c r="O76" s="1870"/>
      <c r="P76" s="1870"/>
      <c r="Q76" s="1870"/>
      <c r="R76" s="1870" t="s">
        <v>105</v>
      </c>
      <c r="S76" s="1870"/>
      <c r="T76" s="1755"/>
      <c r="U76" s="1755"/>
      <c r="V76" s="1755"/>
      <c r="W76" s="1755" t="s">
        <v>2134</v>
      </c>
      <c r="X76" s="1755"/>
      <c r="Y76" s="1913"/>
      <c r="Z76" s="1758"/>
      <c r="AA76" s="1761"/>
      <c r="AB76" s="1758"/>
      <c r="AC76" s="1758"/>
      <c r="AD76" s="1758"/>
    </row>
    <row customHeight="1" ht="18">
      <c r="A77" s="1757"/>
      <c r="B77" s="1811">
        <v>60</v>
      </c>
      <c r="C77" s="1755"/>
      <c r="D77" s="1880"/>
      <c r="E77" s="1755"/>
      <c r="F77" s="1755" t="s">
        <v>2115</v>
      </c>
      <c r="G77" s="1755"/>
      <c r="H77" s="1803"/>
      <c r="I77" s="1918">
        <f>INDEX(TEMPLATE_NUMBER_POINT_FHD,B77,MATCH(TEMPLATE_SPHERE,TEMPLATE_SPHERE_LIST_FOR_NOTE,0))</f>
        <v>0</v>
      </c>
      <c r="J77" s="1918">
        <f>INDEX(TEMPLATE_DATA_POINT_FHD,B77,MATCH(TEMPLATE_SPHERE,TEMPLATE_SPHERE_LIST_FOR_NOTE,0))</f>
        <v>0</v>
      </c>
      <c r="K77" s="1918">
        <f>INDEX(TEMPLATE_NOTE_POINT_FHD,B77,MATCH(TEMPLATE_SPHERE,TEMPLATE_SPHERE_LIST_FOR_NOTE,0))</f>
        <v>0</v>
      </c>
      <c r="L77" s="1756" t="str">
        <f>IF(I77=0,"",I77)</f>
        <v/>
      </c>
      <c r="M77" s="1756" t="str">
        <f>IF(J77=0,"",J77)</f>
        <v/>
      </c>
      <c r="N77" s="1756" t="str">
        <f>IF(K77=0,"",K77)</f>
        <v/>
      </c>
      <c r="O77" s="1870"/>
      <c r="P77" s="1870"/>
      <c r="Q77" s="1870"/>
      <c r="R77" s="1870" t="s">
        <v>141</v>
      </c>
      <c r="S77" s="1870"/>
      <c r="T77" s="1755"/>
      <c r="U77" s="1755"/>
      <c r="V77" s="1755"/>
      <c r="W77" s="1755" t="s">
        <v>2135</v>
      </c>
      <c r="X77" s="1755"/>
      <c r="Y77" s="1913"/>
      <c r="Z77" s="1758"/>
      <c r="AA77" s="1761"/>
      <c r="AB77" s="1758"/>
      <c r="AC77" s="1758"/>
      <c r="AD77" s="1758"/>
    </row>
    <row customHeight="1" ht="72">
      <c r="A78" s="1757"/>
      <c r="B78" s="1811">
        <v>61</v>
      </c>
      <c r="C78" s="1755" t="s">
        <v>2111</v>
      </c>
      <c r="D78" s="1880"/>
      <c r="E78" s="1755"/>
      <c r="F78" s="1755"/>
      <c r="G78" s="1755"/>
      <c r="H78" s="1803"/>
      <c r="I78" s="1918" t="str">
        <f>INDEX(TEMPLATE_NUMBER_POINT_FHD,B78,MATCH(TEMPLATE_SPHERE,TEMPLATE_SPHERE_LIST_FOR_NOTE,0))</f>
        <v>7</v>
      </c>
      <c r="J78" s="191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91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756" t="str">
        <f>IF(I78=0,"",I78)</f>
        <v>7</v>
      </c>
      <c r="M78" s="175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75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870" t="s">
        <v>89</v>
      </c>
      <c r="P78" s="1870"/>
      <c r="Q78" s="1870"/>
      <c r="R78" s="1870"/>
      <c r="S78" s="1870"/>
      <c r="T78" s="1755" t="s">
        <v>2136</v>
      </c>
      <c r="U78" s="1755"/>
      <c r="V78" s="1755"/>
      <c r="W78" s="1755"/>
      <c r="X78" s="1755"/>
      <c r="Y78" s="1913"/>
      <c r="Z78" s="1758" t="s">
        <v>2137</v>
      </c>
      <c r="AA78" s="1761"/>
      <c r="AB78" s="1758"/>
      <c r="AC78" s="1758"/>
      <c r="AD78" s="1758"/>
    </row>
    <row customHeight="1" ht="36">
      <c r="A79" s="1757"/>
      <c r="B79" s="1811">
        <v>62</v>
      </c>
      <c r="C79" s="1755" t="s">
        <v>2113</v>
      </c>
      <c r="D79" s="1880"/>
      <c r="E79" s="1755"/>
      <c r="F79" s="1755"/>
      <c r="G79" s="1755"/>
      <c r="H79" s="1803"/>
      <c r="I79" s="1918" t="str">
        <f>INDEX(TEMPLATE_NUMBER_POINT_FHD,B79,MATCH(TEMPLATE_SPHERE,TEMPLATE_SPHERE_LIST_FOR_NOTE,0))</f>
        <v>8</v>
      </c>
      <c r="J79" s="191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91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756" t="str">
        <f>IF(I79=0,"",I79)</f>
        <v>8</v>
      </c>
      <c r="M79" s="1756" t="str">
        <f>IF(J79=0,"",J79)</f>
        <v>Тепловая нагрузка по договорам, заключенным в рамках осуществления регулируемых видов деятельности</v>
      </c>
      <c r="N79" s="175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870" t="s">
        <v>105</v>
      </c>
      <c r="P79" s="1870"/>
      <c r="Q79" s="1870"/>
      <c r="R79" s="1870"/>
      <c r="S79" s="1870"/>
      <c r="T79" s="1755" t="s">
        <v>2138</v>
      </c>
      <c r="U79" s="1755"/>
      <c r="V79" s="1755"/>
      <c r="W79" s="1755"/>
      <c r="X79" s="1755"/>
      <c r="Y79" s="1913"/>
      <c r="Z79" s="1758" t="s">
        <v>2139</v>
      </c>
      <c r="AA79" s="1761"/>
      <c r="AB79" s="1758"/>
      <c r="AC79" s="1758"/>
      <c r="AD79" s="1758"/>
    </row>
    <row customHeight="1" ht="45">
      <c r="A80" s="1757"/>
      <c r="B80" s="1811">
        <v>63</v>
      </c>
      <c r="C80" s="1755" t="s">
        <v>2115</v>
      </c>
      <c r="D80" s="1880"/>
      <c r="E80" s="1755"/>
      <c r="F80" s="1755"/>
      <c r="G80" s="1755"/>
      <c r="H80" s="1803"/>
      <c r="I80" s="1918" t="str">
        <f>INDEX(TEMPLATE_NUMBER_POINT_FHD,B80,MATCH(TEMPLATE_SPHERE,TEMPLATE_SPHERE_LIST_FOR_NOTE,0))</f>
        <v>9</v>
      </c>
      <c r="J80" s="191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91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756" t="str">
        <f>IF(I80=0,"",I80)</f>
        <v>9</v>
      </c>
      <c r="M80" s="1756" t="str">
        <f>IF(J80=0,"",J80)</f>
        <v>Объем вырабатываемой регулируемой организацией тепловой энергии в рамках осуществления регулируемых видов деятельности</v>
      </c>
      <c r="N80" s="175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870" t="s">
        <v>141</v>
      </c>
      <c r="P80" s="1870"/>
      <c r="Q80" s="1870"/>
      <c r="R80" s="1870"/>
      <c r="S80" s="1870"/>
      <c r="T80" s="1755" t="s">
        <v>2140</v>
      </c>
      <c r="U80" s="1755"/>
      <c r="V80" s="1755"/>
      <c r="W80" s="1755"/>
      <c r="X80" s="1755"/>
      <c r="Y80" s="1913"/>
      <c r="Z80" s="1758" t="s">
        <v>2141</v>
      </c>
      <c r="AA80" s="1761"/>
      <c r="AB80" s="1758"/>
      <c r="AC80" s="1758"/>
      <c r="AD80" s="1758"/>
    </row>
    <row customHeight="1" ht="36">
      <c r="A81" s="1757"/>
      <c r="B81" s="1811">
        <v>64</v>
      </c>
      <c r="C81" s="1755" t="s">
        <v>2117</v>
      </c>
      <c r="D81" s="1880"/>
      <c r="E81" s="1755"/>
      <c r="F81" s="1755"/>
      <c r="G81" s="1755"/>
      <c r="H81" s="1803"/>
      <c r="I81" s="1918" t="str">
        <f>INDEX(TEMPLATE_NUMBER_POINT_FHD,B81,MATCH(TEMPLATE_SPHERE,TEMPLATE_SPHERE_LIST_FOR_NOTE,0))</f>
        <v>9.1</v>
      </c>
      <c r="J81" s="191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918" t="str">
        <f>INDEX(TEMPLATE_NOTE_POINT_FHD,B81,MATCH(TEMPLATE_SPHERE,TEMPLATE_SPHERE_LIST_FOR_NOTE,0))</f>
        <v>Информация указывается только едиными теплоснабжающими организациями.</v>
      </c>
      <c r="L81" s="1756" t="str">
        <f>IF(I81=0,"",I81)</f>
        <v>9.1</v>
      </c>
      <c r="M81" s="1756" t="str">
        <f>IF(J81=0,"",J81)</f>
        <v>Объем приобретаемой регулируемой организацией тепловой энергии в рамках осуществления регулируемых видов деятельности</v>
      </c>
      <c r="N81" s="1756" t="str">
        <f>IF(K81=0,"",K81)</f>
        <v>Информация указывается только едиными теплоснабжающими организациями.</v>
      </c>
      <c r="O81" s="1870" t="s">
        <v>2020</v>
      </c>
      <c r="P81" s="1870"/>
      <c r="Q81" s="1870"/>
      <c r="R81" s="1870"/>
      <c r="S81" s="1870"/>
      <c r="T81" s="1755" t="s">
        <v>2142</v>
      </c>
      <c r="U81" s="1755"/>
      <c r="V81" s="1755"/>
      <c r="W81" s="1755"/>
      <c r="X81" s="1755"/>
      <c r="Y81" s="1913"/>
      <c r="Z81" s="1758" t="s">
        <v>2143</v>
      </c>
      <c r="AA81" s="1761"/>
      <c r="AB81" s="1758"/>
      <c r="AC81" s="1758"/>
      <c r="AD81" s="1758"/>
    </row>
    <row customHeight="1" ht="90">
      <c r="A82" s="1757"/>
      <c r="B82" s="1811">
        <v>65</v>
      </c>
      <c r="C82" s="1755" t="s">
        <v>2126</v>
      </c>
      <c r="D82" s="1880"/>
      <c r="E82" s="1755"/>
      <c r="F82" s="1755"/>
      <c r="G82" s="1755"/>
      <c r="H82" s="1803"/>
      <c r="I82" s="1918" t="str">
        <f>INDEX(TEMPLATE_NUMBER_POINT_FHD,B82,MATCH(TEMPLATE_SPHERE,TEMPLATE_SPHERE_LIST_FOR_NOTE,0))</f>
        <v>10</v>
      </c>
      <c r="J82" s="191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91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756" t="str">
        <f>IF(I82=0,"",I82)</f>
        <v>10</v>
      </c>
      <c r="M82" s="175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75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870" t="s">
        <v>142</v>
      </c>
      <c r="P82" s="1870"/>
      <c r="Q82" s="1870"/>
      <c r="R82" s="1870"/>
      <c r="S82" s="1870"/>
      <c r="T82" s="1755" t="s">
        <v>2144</v>
      </c>
      <c r="U82" s="1755"/>
      <c r="V82" s="1755"/>
      <c r="W82" s="1755"/>
      <c r="X82" s="1755"/>
      <c r="Y82" s="1913"/>
      <c r="Z82" s="1758" t="s">
        <v>2145</v>
      </c>
      <c r="AA82" s="1761"/>
      <c r="AB82" s="1758"/>
      <c r="AC82" s="1758"/>
      <c r="AD82" s="1758"/>
    </row>
    <row customHeight="1" ht="9">
      <c r="A83" s="1757"/>
      <c r="B83" s="1811">
        <v>66</v>
      </c>
      <c r="C83" s="1755"/>
      <c r="D83" s="1880"/>
      <c r="E83" s="1755"/>
      <c r="F83" s="1755"/>
      <c r="G83" s="1755"/>
      <c r="H83" s="1803"/>
      <c r="I83" s="1918" t="str">
        <f>INDEX(TEMPLATE_NUMBER_POINT_FHD,B83,MATCH(TEMPLATE_SPHERE,TEMPLATE_SPHERE_LIST_FOR_NOTE,0))</f>
        <v>10.1</v>
      </c>
      <c r="J83" s="1918" t="str">
        <f>INDEX(TEMPLATE_DATA_POINT_FHD,B83,MATCH(TEMPLATE_SPHERE,TEMPLATE_SPHERE_LIST_FOR_NOTE,0))</f>
        <v>По приборам учёта </v>
      </c>
      <c r="K83" s="1918">
        <f>INDEX(TEMPLATE_NOTE_POINT_FHD,B83,MATCH(TEMPLATE_SPHERE,TEMPLATE_SPHERE_LIST_FOR_NOTE,0))</f>
        <v>0</v>
      </c>
      <c r="L83" s="1756" t="str">
        <f>IF(I83=0,"",I83)</f>
        <v>10.1</v>
      </c>
      <c r="M83" s="1756" t="str">
        <f>IF(J83=0,"",J83)</f>
        <v>По приборам учёта </v>
      </c>
      <c r="N83" s="1756" t="str">
        <f>IF(K83=0,"",K83)</f>
        <v/>
      </c>
      <c r="O83" s="1870" t="s">
        <v>2029</v>
      </c>
      <c r="P83" s="1870"/>
      <c r="Q83" s="1870"/>
      <c r="R83" s="1870"/>
      <c r="S83" s="1870"/>
      <c r="T83" s="1755" t="s">
        <v>2146</v>
      </c>
      <c r="U83" s="1755"/>
      <c r="V83" s="1755"/>
      <c r="W83" s="1755"/>
      <c r="X83" s="1755"/>
      <c r="Y83" s="1913"/>
      <c r="Z83" s="1758"/>
      <c r="AA83" s="1761"/>
      <c r="AB83" s="1758"/>
      <c r="AC83" s="1758"/>
      <c r="AD83" s="1758"/>
    </row>
    <row customHeight="1" ht="54">
      <c r="A84" s="1757"/>
      <c r="B84" s="1811">
        <v>67</v>
      </c>
      <c r="C84" s="1755"/>
      <c r="D84" s="1880"/>
      <c r="E84" s="1755"/>
      <c r="F84" s="1755"/>
      <c r="G84" s="1755"/>
      <c r="H84" s="1803"/>
      <c r="I84" s="1918" t="str">
        <f>INDEX(TEMPLATE_NUMBER_POINT_FHD,B84,MATCH(TEMPLATE_SPHERE,TEMPLATE_SPHERE_LIST_FOR_NOTE,0))</f>
        <v>10.1.1</v>
      </c>
      <c r="J84" s="191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918">
        <f>INDEX(TEMPLATE_NOTE_POINT_FHD,B84,MATCH(TEMPLATE_SPHERE,TEMPLATE_SPHERE_LIST_FOR_NOTE,0))</f>
        <v>0</v>
      </c>
      <c r="L84" s="1756" t="str">
        <f>IF(I84=0,"",I84)</f>
        <v>10.1.1</v>
      </c>
      <c r="M84" s="175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756" t="str">
        <f>IF(K84=0,"",K84)</f>
        <v/>
      </c>
      <c r="O84" s="1870" t="s">
        <v>2147</v>
      </c>
      <c r="P84" s="1870"/>
      <c r="Q84" s="1870"/>
      <c r="R84" s="1870"/>
      <c r="S84" s="1870"/>
      <c r="T84" s="1755" t="s">
        <v>2148</v>
      </c>
      <c r="U84" s="1755"/>
      <c r="V84" s="1755"/>
      <c r="W84" s="1755"/>
      <c r="X84" s="1755"/>
      <c r="Y84" s="1913"/>
      <c r="Z84" s="1758"/>
      <c r="AA84" s="1761"/>
      <c r="AB84" s="1758"/>
      <c r="AC84" s="1758"/>
      <c r="AD84" s="1758"/>
    </row>
    <row customHeight="1" ht="9">
      <c r="A85" s="1757"/>
      <c r="B85" s="1811">
        <v>68</v>
      </c>
      <c r="C85" s="1755"/>
      <c r="D85" s="1880"/>
      <c r="E85" s="1755"/>
      <c r="F85" s="1755"/>
      <c r="G85" s="1755"/>
      <c r="H85" s="1803"/>
      <c r="I85" s="1918" t="str">
        <f>INDEX(TEMPLATE_NUMBER_POINT_FHD,B85,MATCH(TEMPLATE_SPHERE,TEMPLATE_SPHERE_LIST_FOR_NOTE,0))</f>
        <v>10.2</v>
      </c>
      <c r="J85" s="1918" t="str">
        <f>INDEX(TEMPLATE_DATA_POINT_FHD,B85,MATCH(TEMPLATE_SPHERE,TEMPLATE_SPHERE_LIST_FOR_NOTE,0))</f>
        <v>Расчётным путём</v>
      </c>
      <c r="K85" s="1918">
        <f>INDEX(TEMPLATE_NOTE_POINT_FHD,B85,MATCH(TEMPLATE_SPHERE,TEMPLATE_SPHERE_LIST_FOR_NOTE,0))</f>
        <v>0</v>
      </c>
      <c r="L85" s="1756" t="str">
        <f>IF(I85=0,"",I85)</f>
        <v>10.2</v>
      </c>
      <c r="M85" s="1756" t="str">
        <f>IF(J85=0,"",J85)</f>
        <v>Расчётным путём</v>
      </c>
      <c r="N85" s="1756" t="str">
        <f>IF(K85=0,"",K85)</f>
        <v/>
      </c>
      <c r="O85" s="1870" t="s">
        <v>2033</v>
      </c>
      <c r="P85" s="1870"/>
      <c r="Q85" s="1870"/>
      <c r="R85" s="1870"/>
      <c r="S85" s="1870"/>
      <c r="T85" s="1755" t="s">
        <v>2149</v>
      </c>
      <c r="U85" s="1755"/>
      <c r="V85" s="1755"/>
      <c r="W85" s="1755"/>
      <c r="X85" s="1755"/>
      <c r="Y85" s="1913"/>
      <c r="Z85" s="1758"/>
      <c r="AA85" s="1761"/>
      <c r="AB85" s="1758"/>
      <c r="AC85" s="1758"/>
      <c r="AD85" s="1758"/>
    </row>
    <row customHeight="1" ht="27">
      <c r="A86" s="1757"/>
      <c r="B86" s="1811">
        <v>69</v>
      </c>
      <c r="C86" s="1755"/>
      <c r="D86" s="1880"/>
      <c r="E86" s="1755"/>
      <c r="F86" s="1755"/>
      <c r="G86" s="1755"/>
      <c r="H86" s="1803"/>
      <c r="I86" s="1918" t="str">
        <f>INDEX(TEMPLATE_NUMBER_POINT_FHD,B86,MATCH(TEMPLATE_SPHERE,TEMPLATE_SPHERE_LIST_FOR_NOTE,0))</f>
        <v>10.3</v>
      </c>
      <c r="J86" s="1918" t="str">
        <f>INDEX(TEMPLATE_DATA_POINT_FHD,B86,MATCH(TEMPLATE_SPHERE,TEMPLATE_SPHERE_LIST_FOR_NOTE,0))</f>
        <v>По нормативам потребления коммунальных услуг и нормативам потребления коммунальных ресурсов</v>
      </c>
      <c r="K86" s="1918">
        <f>INDEX(TEMPLATE_NOTE_POINT_FHD,B86,MATCH(TEMPLATE_SPHERE,TEMPLATE_SPHERE_LIST_FOR_NOTE,0))</f>
        <v>0</v>
      </c>
      <c r="L86" s="1756" t="str">
        <f>IF(I86=0,"",I86)</f>
        <v>10.3</v>
      </c>
      <c r="M86" s="1756" t="str">
        <f>IF(J86=0,"",J86)</f>
        <v>По нормативам потребления коммунальных услуг и нормативам потребления коммунальных ресурсов</v>
      </c>
      <c r="N86" s="1756" t="str">
        <f>IF(K86=0,"",K86)</f>
        <v/>
      </c>
      <c r="O86" s="1870" t="s">
        <v>2150</v>
      </c>
      <c r="P86" s="1870"/>
      <c r="Q86" s="1870"/>
      <c r="R86" s="1870"/>
      <c r="S86" s="1870"/>
      <c r="T86" s="1755" t="s">
        <v>2151</v>
      </c>
      <c r="U86" s="1755"/>
      <c r="V86" s="1755"/>
      <c r="W86" s="1755"/>
      <c r="X86" s="1755"/>
      <c r="Y86" s="1913"/>
      <c r="Z86" s="1758"/>
      <c r="AA86" s="1761"/>
      <c r="AB86" s="1758"/>
      <c r="AC86" s="1758"/>
      <c r="AD86" s="1758"/>
    </row>
    <row customHeight="1" ht="36">
      <c r="A87" s="1757"/>
      <c r="B87" s="1811">
        <v>70</v>
      </c>
      <c r="C87" s="1755" t="s">
        <v>2152</v>
      </c>
      <c r="D87" s="1880"/>
      <c r="E87" s="1755"/>
      <c r="F87" s="1755"/>
      <c r="G87" s="1755"/>
      <c r="H87" s="1803"/>
      <c r="I87" s="1918" t="str">
        <f>INDEX(TEMPLATE_NUMBER_POINT_FHD,B87,MATCH(TEMPLATE_SPHERE,TEMPLATE_SPHERE_LIST_FOR_NOTE,0))</f>
        <v>11</v>
      </c>
      <c r="J87" s="191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918">
        <f>INDEX(TEMPLATE_NOTE_POINT_FHD,B87,MATCH(TEMPLATE_SPHERE,TEMPLATE_SPHERE_LIST_FOR_NOTE,0))</f>
        <v>0</v>
      </c>
      <c r="L87" s="1756" t="str">
        <f>IF(I87=0,"",I87)</f>
        <v>11</v>
      </c>
      <c r="M87" s="175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756" t="str">
        <f>IF(K87=0,"",K87)</f>
        <v/>
      </c>
      <c r="O87" s="1870" t="s">
        <v>143</v>
      </c>
      <c r="P87" s="1870"/>
      <c r="Q87" s="1870"/>
      <c r="R87" s="1870"/>
      <c r="S87" s="1870"/>
      <c r="T87" s="1755" t="s">
        <v>2153</v>
      </c>
      <c r="U87" s="1755"/>
      <c r="V87" s="1755"/>
      <c r="W87" s="1755"/>
      <c r="X87" s="1755"/>
      <c r="Y87" s="1913"/>
      <c r="Z87" s="1758"/>
      <c r="AA87" s="1761"/>
      <c r="AB87" s="1758"/>
      <c r="AC87" s="1758"/>
      <c r="AD87" s="1758"/>
    </row>
    <row customHeight="1" ht="18">
      <c r="A88" s="1757"/>
      <c r="B88" s="1811">
        <v>71</v>
      </c>
      <c r="C88" s="1755" t="s">
        <v>2154</v>
      </c>
      <c r="D88" s="1880"/>
      <c r="E88" s="1755"/>
      <c r="F88" s="1755"/>
      <c r="G88" s="1755"/>
      <c r="H88" s="1803"/>
      <c r="I88" s="1918" t="str">
        <f>INDEX(TEMPLATE_NUMBER_POINT_FHD,B88,MATCH(TEMPLATE_SPHERE,TEMPLATE_SPHERE_LIST_FOR_NOTE,0))</f>
        <v>12</v>
      </c>
      <c r="J88" s="1918" t="str">
        <f>INDEX(TEMPLATE_DATA_POINT_FHD,B88,MATCH(TEMPLATE_SPHERE,TEMPLATE_SPHERE_LIST_FOR_NOTE,0))</f>
        <v>Фактический объем потерь при передаче тепловой энергии</v>
      </c>
      <c r="K88" s="1918">
        <f>INDEX(TEMPLATE_NOTE_POINT_FHD,B88,MATCH(TEMPLATE_SPHERE,TEMPLATE_SPHERE_LIST_FOR_NOTE,0))</f>
        <v>0</v>
      </c>
      <c r="L88" s="1756" t="str">
        <f>IF(I88=0,"",I88)</f>
        <v>12</v>
      </c>
      <c r="M88" s="1756" t="str">
        <f>IF(J88=0,"",J88)</f>
        <v>Фактический объем потерь при передаче тепловой энергии</v>
      </c>
      <c r="N88" s="1756" t="str">
        <f>IF(K88=0,"",K88)</f>
        <v/>
      </c>
      <c r="O88" s="1870" t="s">
        <v>144</v>
      </c>
      <c r="P88" s="1870"/>
      <c r="Q88" s="1870"/>
      <c r="R88" s="1870"/>
      <c r="S88" s="1870"/>
      <c r="T88" s="1755" t="s">
        <v>2155</v>
      </c>
      <c r="U88" s="1755"/>
      <c r="V88" s="1755"/>
      <c r="W88" s="1755"/>
      <c r="X88" s="1755"/>
      <c r="Y88" s="1913"/>
      <c r="Z88" s="1758"/>
      <c r="AA88" s="1761"/>
      <c r="AB88" s="1758"/>
      <c r="AC88" s="1758"/>
      <c r="AD88" s="1758"/>
    </row>
    <row customHeight="1" ht="18">
      <c r="A89" s="1757"/>
      <c r="B89" s="1811">
        <v>72</v>
      </c>
      <c r="C89" s="1755" t="s">
        <v>2156</v>
      </c>
      <c r="D89" s="1880" t="s">
        <v>2152</v>
      </c>
      <c r="E89" s="1755" t="s">
        <v>2152</v>
      </c>
      <c r="F89" s="1755" t="s">
        <v>2117</v>
      </c>
      <c r="G89" s="1755"/>
      <c r="H89" s="1803"/>
      <c r="I89" s="1918" t="str">
        <f>INDEX(TEMPLATE_NUMBER_POINT_FHD,B89,MATCH(TEMPLATE_SPHERE,TEMPLATE_SPHERE_LIST_FOR_NOTE,0))</f>
        <v>13</v>
      </c>
      <c r="J89" s="1918" t="str">
        <f>INDEX(TEMPLATE_DATA_POINT_FHD,B89,MATCH(TEMPLATE_SPHERE,TEMPLATE_SPHERE_LIST_FOR_NOTE,0))</f>
        <v>Среднесписочная численность основного производственного персонала</v>
      </c>
      <c r="K89" s="1918">
        <f>INDEX(TEMPLATE_NOTE_POINT_FHD,B89,MATCH(TEMPLATE_SPHERE,TEMPLATE_SPHERE_LIST_FOR_NOTE,0))</f>
        <v>0</v>
      </c>
      <c r="L89" s="1756" t="str">
        <f>IF(I89=0,"",I89)</f>
        <v>13</v>
      </c>
      <c r="M89" s="1756" t="str">
        <f>IF(J89=0,"",J89)</f>
        <v>Среднесписочная численность основного производственного персонала</v>
      </c>
      <c r="N89" s="1756" t="str">
        <f>IF(K89=0,"",K89)</f>
        <v/>
      </c>
      <c r="O89" s="1870" t="s">
        <v>145</v>
      </c>
      <c r="P89" s="1870" t="s">
        <v>144</v>
      </c>
      <c r="Q89" s="1870" t="s">
        <v>144</v>
      </c>
      <c r="R89" s="1870" t="s">
        <v>142</v>
      </c>
      <c r="S89" s="1870"/>
      <c r="T89" s="1755" t="s">
        <v>2157</v>
      </c>
      <c r="U89" s="1755" t="s">
        <v>2157</v>
      </c>
      <c r="V89" s="1755" t="s">
        <v>2157</v>
      </c>
      <c r="W89" s="1755" t="s">
        <v>2157</v>
      </c>
      <c r="X89" s="1755"/>
      <c r="Y89" s="1913"/>
      <c r="Z89" s="1758"/>
      <c r="AA89" s="1761"/>
      <c r="AB89" s="1758"/>
      <c r="AC89" s="1758"/>
      <c r="AD89" s="1758"/>
    </row>
    <row customHeight="1" ht="27">
      <c r="A90" s="1757"/>
      <c r="B90" s="1811">
        <v>73</v>
      </c>
      <c r="C90" s="1755" t="s">
        <v>2158</v>
      </c>
      <c r="D90" s="1880"/>
      <c r="E90" s="1755"/>
      <c r="F90" s="1755"/>
      <c r="G90" s="1755"/>
      <c r="H90" s="1803"/>
      <c r="I90" s="1918" t="str">
        <f>INDEX(TEMPLATE_NUMBER_POINT_FHD,B90,MATCH(TEMPLATE_SPHERE,TEMPLATE_SPHERE_LIST_FOR_NOTE,0))</f>
        <v>14</v>
      </c>
      <c r="J90" s="1918" t="str">
        <f>INDEX(TEMPLATE_DATA_POINT_FHD,B90,MATCH(TEMPLATE_SPHERE,TEMPLATE_SPHERE_LIST_FOR_NOTE,0))</f>
        <v>Среднесписочная численность административно-управленческого персонала</v>
      </c>
      <c r="K90" s="1918">
        <f>INDEX(TEMPLATE_NOTE_POINT_FHD,B90,MATCH(TEMPLATE_SPHERE,TEMPLATE_SPHERE_LIST_FOR_NOTE,0))</f>
        <v>0</v>
      </c>
      <c r="L90" s="1756" t="str">
        <f>IF(I90=0,"",I90)</f>
        <v>14</v>
      </c>
      <c r="M90" s="1756" t="str">
        <f>IF(J90=0,"",J90)</f>
        <v>Среднесписочная численность административно-управленческого персонала</v>
      </c>
      <c r="N90" s="1756" t="str">
        <f>IF(K90=0,"",K90)</f>
        <v/>
      </c>
      <c r="O90" s="1870" t="s">
        <v>146</v>
      </c>
      <c r="P90" s="1870"/>
      <c r="Q90" s="1870"/>
      <c r="R90" s="1870"/>
      <c r="S90" s="1870"/>
      <c r="T90" s="1755" t="s">
        <v>2159</v>
      </c>
      <c r="U90" s="1755"/>
      <c r="V90" s="1755"/>
      <c r="W90" s="1755"/>
      <c r="X90" s="1755"/>
      <c r="Y90" s="1913"/>
      <c r="Z90" s="1758"/>
      <c r="AA90" s="1761"/>
      <c r="AB90" s="1758"/>
      <c r="AC90" s="1758"/>
      <c r="AD90" s="1758"/>
    </row>
    <row customHeight="1" ht="18">
      <c r="A91" s="1757"/>
      <c r="B91" s="1811">
        <v>74</v>
      </c>
      <c r="C91" s="1755"/>
      <c r="D91" s="1880" t="s">
        <v>2154</v>
      </c>
      <c r="E91" s="1755" t="s">
        <v>2154</v>
      </c>
      <c r="F91" s="1755"/>
      <c r="G91" s="1755"/>
      <c r="H91" s="1803"/>
      <c r="I91" s="1918">
        <f>INDEX(TEMPLATE_NUMBER_POINT_FHD,B91,MATCH(TEMPLATE_SPHERE,TEMPLATE_SPHERE_LIST_FOR_NOTE,0))</f>
        <v>0</v>
      </c>
      <c r="J91" s="1918">
        <f>INDEX(TEMPLATE_DATA_POINT_FHD,B91,MATCH(TEMPLATE_SPHERE,TEMPLATE_SPHERE_LIST_FOR_NOTE,0))</f>
        <v>0</v>
      </c>
      <c r="K91" s="1918">
        <f>INDEX(TEMPLATE_NOTE_POINT_FHD,B91,MATCH(TEMPLATE_SPHERE,TEMPLATE_SPHERE_LIST_FOR_NOTE,0))</f>
        <v>0</v>
      </c>
      <c r="L91" s="1756" t="str">
        <f>IF(I91=0,"",I91)</f>
        <v/>
      </c>
      <c r="M91" s="1756" t="str">
        <f>IF(J91=0,"",J91)</f>
        <v/>
      </c>
      <c r="N91" s="1756" t="str">
        <f>IF(K91=0,"",K91)</f>
        <v/>
      </c>
      <c r="O91" s="1870"/>
      <c r="P91" s="1870" t="s">
        <v>145</v>
      </c>
      <c r="Q91" s="1870" t="s">
        <v>145</v>
      </c>
      <c r="R91" s="1870"/>
      <c r="S91" s="1870"/>
      <c r="T91" s="1755"/>
      <c r="U91" s="1755" t="s">
        <v>2160</v>
      </c>
      <c r="V91" s="1755" t="s">
        <v>2160</v>
      </c>
      <c r="W91" s="1755"/>
      <c r="X91" s="1755"/>
      <c r="Y91" s="1913"/>
      <c r="Z91" s="1758"/>
      <c r="AA91" s="1761"/>
      <c r="AB91" s="1758"/>
      <c r="AC91" s="1758"/>
      <c r="AD91" s="1758"/>
    </row>
    <row customHeight="1" ht="27">
      <c r="A92" s="1757"/>
      <c r="B92" s="1811">
        <v>75</v>
      </c>
      <c r="C92" s="1755"/>
      <c r="D92" s="1880" t="s">
        <v>2156</v>
      </c>
      <c r="E92" s="1755"/>
      <c r="F92" s="1755"/>
      <c r="G92" s="1755"/>
      <c r="H92" s="1803"/>
      <c r="I92" s="1918">
        <f>INDEX(TEMPLATE_NUMBER_POINT_FHD,B92,MATCH(TEMPLATE_SPHERE,TEMPLATE_SPHERE_LIST_FOR_NOTE,0))</f>
        <v>0</v>
      </c>
      <c r="J92" s="1918">
        <f>INDEX(TEMPLATE_DATA_POINT_FHD,B92,MATCH(TEMPLATE_SPHERE,TEMPLATE_SPHERE_LIST_FOR_NOTE,0))</f>
        <v>0</v>
      </c>
      <c r="K92" s="1918">
        <f>INDEX(TEMPLATE_NOTE_POINT_FHD,B92,MATCH(TEMPLATE_SPHERE,TEMPLATE_SPHERE_LIST_FOR_NOTE,0))</f>
        <v>0</v>
      </c>
      <c r="L92" s="1756" t="str">
        <f>IF(I92=0,"",I92)</f>
        <v/>
      </c>
      <c r="M92" s="1756" t="str">
        <f>IF(J92=0,"",J92)</f>
        <v/>
      </c>
      <c r="N92" s="1756" t="str">
        <f>IF(K92=0,"",K92)</f>
        <v/>
      </c>
      <c r="O92" s="1870"/>
      <c r="P92" s="1870" t="s">
        <v>146</v>
      </c>
      <c r="Q92" s="1870"/>
      <c r="R92" s="1870"/>
      <c r="S92" s="1870"/>
      <c r="T92" s="1755"/>
      <c r="U92" s="1755" t="s">
        <v>2161</v>
      </c>
      <c r="V92" s="1755"/>
      <c r="W92" s="1755"/>
      <c r="X92" s="1755"/>
      <c r="Y92" s="1913"/>
      <c r="Z92" s="1758"/>
      <c r="AA92" s="1761" t="s">
        <v>2162</v>
      </c>
      <c r="AB92" s="1758"/>
      <c r="AC92" s="1758"/>
      <c r="AD92" s="1758"/>
    </row>
    <row customHeight="1" ht="27">
      <c r="A93" s="1757"/>
      <c r="B93" s="1811">
        <v>76</v>
      </c>
      <c r="C93" s="1755"/>
      <c r="D93" s="1880"/>
      <c r="E93" s="1755"/>
      <c r="F93" s="1755"/>
      <c r="G93" s="1755"/>
      <c r="H93" s="1803"/>
      <c r="I93" s="1918">
        <f>INDEX(TEMPLATE_NUMBER_POINT_FHD,B93,MATCH(TEMPLATE_SPHERE,TEMPLATE_SPHERE_LIST_FOR_NOTE,0))</f>
        <v>0</v>
      </c>
      <c r="J93" s="1918">
        <f>INDEX(TEMPLATE_DATA_POINT_FHD,B93,MATCH(TEMPLATE_SPHERE,TEMPLATE_SPHERE_LIST_FOR_NOTE,0))</f>
        <v>0</v>
      </c>
      <c r="K93" s="1918">
        <f>INDEX(TEMPLATE_NOTE_POINT_FHD,B93,MATCH(TEMPLATE_SPHERE,TEMPLATE_SPHERE_LIST_FOR_NOTE,0))</f>
        <v>0</v>
      </c>
      <c r="L93" s="1756" t="str">
        <f>IF(I93=0,"",I93)</f>
        <v/>
      </c>
      <c r="M93" s="1756" t="str">
        <f>IF(J93=0,"",J93)</f>
        <v/>
      </c>
      <c r="N93" s="1756" t="str">
        <f>IF(K93=0,"",K93)</f>
        <v/>
      </c>
      <c r="O93" s="1870"/>
      <c r="P93" s="1870" t="s">
        <v>2061</v>
      </c>
      <c r="Q93" s="1870"/>
      <c r="R93" s="1870"/>
      <c r="S93" s="1870"/>
      <c r="T93" s="1755"/>
      <c r="U93" s="1755" t="s">
        <v>2163</v>
      </c>
      <c r="V93" s="1755"/>
      <c r="W93" s="1755"/>
      <c r="X93" s="1755"/>
      <c r="Y93" s="1913"/>
      <c r="Z93" s="1758"/>
      <c r="AA93" s="1761" t="s">
        <v>2164</v>
      </c>
      <c r="AB93" s="1758"/>
      <c r="AC93" s="1758"/>
      <c r="AD93" s="1758"/>
    </row>
    <row customHeight="1" ht="45">
      <c r="A94" s="1757"/>
      <c r="B94" s="1811">
        <v>77</v>
      </c>
      <c r="C94" s="1755"/>
      <c r="D94" s="1880" t="s">
        <v>2158</v>
      </c>
      <c r="E94" s="1755"/>
      <c r="F94" s="1755"/>
      <c r="G94" s="1755"/>
      <c r="H94" s="1803"/>
      <c r="I94" s="1918">
        <f>INDEX(TEMPLATE_NUMBER_POINT_FHD,B94,MATCH(TEMPLATE_SPHERE,TEMPLATE_SPHERE_LIST_FOR_NOTE,0))</f>
        <v>0</v>
      </c>
      <c r="J94" s="1918">
        <f>INDEX(TEMPLATE_DATA_POINT_FHD,B94,MATCH(TEMPLATE_SPHERE,TEMPLATE_SPHERE_LIST_FOR_NOTE,0))</f>
        <v>0</v>
      </c>
      <c r="K94" s="1918">
        <f>INDEX(TEMPLATE_NOTE_POINT_FHD,B94,MATCH(TEMPLATE_SPHERE,TEMPLATE_SPHERE_LIST_FOR_NOTE,0))</f>
        <v>0</v>
      </c>
      <c r="L94" s="1756" t="str">
        <f>IF(I94=0,"",I94)</f>
        <v/>
      </c>
      <c r="M94" s="1756" t="str">
        <f>IF(J94=0,"",J94)</f>
        <v/>
      </c>
      <c r="N94" s="1756" t="str">
        <f>IF(K94=0,"",K94)</f>
        <v/>
      </c>
      <c r="O94" s="1870"/>
      <c r="P94" s="1870" t="s">
        <v>973</v>
      </c>
      <c r="Q94" s="1870"/>
      <c r="R94" s="1870"/>
      <c r="S94" s="1870"/>
      <c r="T94" s="1755"/>
      <c r="U94" s="1755" t="s">
        <v>2165</v>
      </c>
      <c r="V94" s="1755"/>
      <c r="W94" s="1755"/>
      <c r="X94" s="1755"/>
      <c r="Y94" s="1913"/>
      <c r="Z94" s="1758"/>
      <c r="AA94" s="1761" t="s">
        <v>2166</v>
      </c>
      <c r="AB94" s="1758"/>
      <c r="AC94" s="1758"/>
      <c r="AD94" s="1758"/>
    </row>
    <row customHeight="1" ht="99">
      <c r="A95" s="1757"/>
      <c r="B95" s="1811">
        <v>78</v>
      </c>
      <c r="C95" s="1755" t="s">
        <v>2167</v>
      </c>
      <c r="D95" s="1880"/>
      <c r="E95" s="1755"/>
      <c r="F95" s="1755"/>
      <c r="G95" s="1755"/>
      <c r="H95" s="1803"/>
      <c r="I95" s="1918" t="str">
        <f>INDEX(TEMPLATE_NUMBER_POINT_FHD,B95,MATCH(TEMPLATE_SPHERE,TEMPLATE_SPHERE_LIST_FOR_NOTE,0))</f>
        <v>15</v>
      </c>
      <c r="J95" s="191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918">
        <f>INDEX(TEMPLATE_NOTE_POINT_FHD,B95,MATCH(TEMPLATE_SPHERE,TEMPLATE_SPHERE_LIST_FOR_NOTE,0))</f>
        <v>0</v>
      </c>
      <c r="L95" s="1756" t="str">
        <f>IF(I95=0,"",I95)</f>
        <v>15</v>
      </c>
      <c r="M95" s="175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756" t="str">
        <f>IF(K95=0,"",K95)</f>
        <v/>
      </c>
      <c r="O95" s="1870" t="s">
        <v>973</v>
      </c>
      <c r="P95" s="1870"/>
      <c r="Q95" s="1870"/>
      <c r="R95" s="1870"/>
      <c r="S95" s="1870"/>
      <c r="T95" s="1755" t="s">
        <v>2168</v>
      </c>
      <c r="U95" s="1755"/>
      <c r="V95" s="1755"/>
      <c r="W95" s="1755"/>
      <c r="X95" s="1755"/>
      <c r="Y95" s="1913"/>
      <c r="Z95" s="1758"/>
      <c r="AA95" s="1761"/>
      <c r="AB95" s="1758"/>
      <c r="AC95" s="1758"/>
      <c r="AD95" s="1758"/>
    </row>
    <row customHeight="1" ht="99">
      <c r="A96" s="1757"/>
      <c r="B96" s="1811">
        <v>79</v>
      </c>
      <c r="C96" s="1755" t="s">
        <v>1123</v>
      </c>
      <c r="D96" s="1880"/>
      <c r="E96" s="1755"/>
      <c r="F96" s="1755"/>
      <c r="G96" s="1755"/>
      <c r="H96" s="1803"/>
      <c r="I96" s="1918" t="str">
        <f>INDEX(TEMPLATE_NUMBER_POINT_FHD,B96,MATCH(TEMPLATE_SPHERE,TEMPLATE_SPHERE_LIST_FOR_NOTE,0))</f>
        <v>16</v>
      </c>
      <c r="J96" s="191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91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756" t="str">
        <f>IF(I96=0,"",I96)</f>
        <v>16</v>
      </c>
      <c r="M96" s="175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75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870" t="s">
        <v>975</v>
      </c>
      <c r="P96" s="1870"/>
      <c r="Q96" s="1870"/>
      <c r="R96" s="1870"/>
      <c r="S96" s="1870"/>
      <c r="T96" s="1755" t="s">
        <v>2169</v>
      </c>
      <c r="U96" s="1755"/>
      <c r="V96" s="1755"/>
      <c r="W96" s="1755"/>
      <c r="X96" s="1755"/>
      <c r="Y96" s="1913"/>
      <c r="Z96" s="1758" t="s">
        <v>2170</v>
      </c>
      <c r="AA96" s="1761"/>
      <c r="AB96" s="1758"/>
      <c r="AC96" s="1758"/>
      <c r="AD96" s="1758"/>
    </row>
    <row customHeight="1" ht="63">
      <c r="A97" s="1757"/>
      <c r="B97" s="1811">
        <v>80</v>
      </c>
      <c r="C97" s="1755" t="s">
        <v>2171</v>
      </c>
      <c r="D97" s="1880"/>
      <c r="E97" s="1755"/>
      <c r="F97" s="1755"/>
      <c r="G97" s="1755"/>
      <c r="H97" s="1803"/>
      <c r="I97" s="1918" t="str">
        <f>INDEX(TEMPLATE_NUMBER_POINT_FHD,B97,MATCH(TEMPLATE_SPHERE,TEMPLATE_SPHERE_LIST_FOR_NOTE,0))</f>
        <v>17</v>
      </c>
      <c r="J97" s="191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91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756" t="str">
        <f>IF(I97=0,"",I97)</f>
        <v>17</v>
      </c>
      <c r="M97" s="175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756" t="str">
        <f>IF(K97=0,"",K97)</f>
        <v>Регулируемыми организациями указывается информация с по договорам, заключенным в рамках осуществления регулируемой деятельности.</v>
      </c>
      <c r="O97" s="1870" t="s">
        <v>976</v>
      </c>
      <c r="P97" s="1870"/>
      <c r="Q97" s="1870"/>
      <c r="R97" s="1870"/>
      <c r="S97" s="1870"/>
      <c r="T97" s="1755" t="s">
        <v>2172</v>
      </c>
      <c r="U97" s="1755"/>
      <c r="V97" s="1755"/>
      <c r="W97" s="1755"/>
      <c r="X97" s="1755"/>
      <c r="Y97" s="1913"/>
      <c r="Z97" s="1758" t="s">
        <v>2173</v>
      </c>
      <c r="AA97" s="1761"/>
      <c r="AB97" s="1758"/>
      <c r="AC97" s="1758"/>
      <c r="AD97" s="1758"/>
    </row>
    <row customHeight="1" ht="63">
      <c r="A98" s="1757"/>
      <c r="B98" s="1811">
        <v>81</v>
      </c>
      <c r="C98" s="1755" t="s">
        <v>2174</v>
      </c>
      <c r="D98" s="1880"/>
      <c r="E98" s="1755"/>
      <c r="F98" s="1755"/>
      <c r="G98" s="1755"/>
      <c r="H98" s="1803"/>
      <c r="I98" s="1918" t="str">
        <f>INDEX(TEMPLATE_NUMBER_POINT_FHD,B98,MATCH(TEMPLATE_SPHERE,TEMPLATE_SPHERE_LIST_FOR_NOTE,0))</f>
        <v>18</v>
      </c>
      <c r="J98" s="191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91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756" t="str">
        <f>IF(I98=0,"",I98)</f>
        <v>18</v>
      </c>
      <c r="M98" s="175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756" t="str">
        <f>IF(K98=0,"",K98)</f>
        <v>Регулируемыми организациями указывается информация с по договорам, заключенным в рамках осуществления регулируемой деятельности.</v>
      </c>
      <c r="O98" s="1870" t="s">
        <v>978</v>
      </c>
      <c r="P98" s="1870"/>
      <c r="Q98" s="1870"/>
      <c r="R98" s="1870"/>
      <c r="S98" s="1870"/>
      <c r="T98" s="1755" t="s">
        <v>2175</v>
      </c>
      <c r="U98" s="1755"/>
      <c r="V98" s="1755"/>
      <c r="W98" s="1755"/>
      <c r="X98" s="1755"/>
      <c r="Y98" s="1913"/>
      <c r="Z98" s="1758" t="s">
        <v>2173</v>
      </c>
      <c r="AA98" s="1761"/>
      <c r="AB98" s="1758"/>
      <c r="AC98" s="1758"/>
      <c r="AD98" s="1758"/>
    </row>
    <row customHeight="1" ht="90">
      <c r="A99" s="1757"/>
      <c r="B99" s="1811">
        <v>82</v>
      </c>
      <c r="C99" s="1755" t="s">
        <v>2176</v>
      </c>
      <c r="D99" s="1880"/>
      <c r="E99" s="1755"/>
      <c r="F99" s="1755"/>
      <c r="G99" s="1755"/>
      <c r="H99" s="1803"/>
      <c r="I99" s="1918" t="str">
        <f>INDEX(TEMPLATE_NUMBER_POINT_FHD,B99,MATCH(TEMPLATE_SPHERE,TEMPLATE_SPHERE_LIST_FOR_NOTE,0))</f>
        <v>19</v>
      </c>
      <c r="J99" s="191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918" t="str">
        <f>INDEX(TEMPLATE_NOTE_POINT_FHD,B99,MATCH(TEMPLATE_SPHERE,TEMPLATE_SPHERE_LIST_FOR_NOTE,0))</f>
        <v>Указывается ссылка на документ, предварительно загруженный в хранилище файлов ФГИС ЕИАС.</v>
      </c>
      <c r="L99" s="1756" t="str">
        <f>IF(I99=0,"",I99)</f>
        <v>19</v>
      </c>
      <c r="M99" s="175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756" t="str">
        <f>IF(K99=0,"",K99)</f>
        <v>Указывается ссылка на документ, предварительно загруженный в хранилище файлов ФГИС ЕИАС.</v>
      </c>
      <c r="O99" s="1870" t="s">
        <v>979</v>
      </c>
      <c r="P99" s="1870"/>
      <c r="Q99" s="1870"/>
      <c r="R99" s="1870"/>
      <c r="S99" s="1870"/>
      <c r="T99" s="1755" t="s">
        <v>2177</v>
      </c>
      <c r="U99" s="1755"/>
      <c r="V99" s="1755"/>
      <c r="W99" s="1755"/>
      <c r="X99" s="1755"/>
      <c r="Y99" s="1913"/>
      <c r="Z99" s="1758" t="s">
        <v>798</v>
      </c>
      <c r="AA99" s="1761"/>
      <c r="AB99" s="1758"/>
      <c r="AC99" s="1758"/>
      <c r="AD99" s="1758"/>
    </row>
    <row customHeight="1" ht="27">
      <c r="A100" s="1757"/>
      <c r="B100" s="1811">
        <v>83</v>
      </c>
      <c r="C100" s="1755"/>
      <c r="D100" s="1880"/>
      <c r="E100" s="1755"/>
      <c r="F100" s="1755"/>
      <c r="G100" s="1755"/>
      <c r="H100" s="1803"/>
      <c r="I100" s="1918" t="str">
        <f>INDEX(TEMPLATE_NUMBER_POINT_FHD,B100,MATCH(TEMPLATE_SPHERE,TEMPLATE_SPHERE_LIST_FOR_NOTE,0))</f>
        <v>19.1</v>
      </c>
      <c r="J100" s="1918" t="str">
        <f>INDEX(TEMPLATE_DATA_POINT_FHD,B100,MATCH(TEMPLATE_SPHERE,TEMPLATE_SPHERE_LIST_FOR_NOTE,0))</f>
        <v>Информация о показателях физического износа объектов теплоснабжения</v>
      </c>
      <c r="K100" s="1918" t="str">
        <f>INDEX(TEMPLATE_NOTE_POINT_FHD,B100,MATCH(TEMPLATE_SPHERE,TEMPLATE_SPHERE_LIST_FOR_NOTE,0))</f>
        <v>Указывается ссылка на документ, предварительно загруженный в хранилище файлов ФГИС ЕИАС.</v>
      </c>
      <c r="L100" s="1756" t="str">
        <f>IF(I100=0,"",I100)</f>
        <v>19.1</v>
      </c>
      <c r="M100" s="1756" t="str">
        <f>IF(J100=0,"",J100)</f>
        <v>Информация о показателях физического износа объектов теплоснабжения</v>
      </c>
      <c r="N100" s="1756" t="str">
        <f>IF(K100=0,"",K100)</f>
        <v>Указывается ссылка на документ, предварительно загруженный в хранилище файлов ФГИС ЕИАС.</v>
      </c>
      <c r="O100" s="1870" t="s">
        <v>2178</v>
      </c>
      <c r="P100" s="1870"/>
      <c r="Q100" s="1870"/>
      <c r="R100" s="1870"/>
      <c r="S100" s="1870"/>
      <c r="T100" s="1755" t="s">
        <v>2179</v>
      </c>
      <c r="U100" s="1755"/>
      <c r="V100" s="1755"/>
      <c r="W100" s="1755"/>
      <c r="X100" s="1755"/>
      <c r="Y100" s="1913"/>
      <c r="Z100" s="1758" t="s">
        <v>798</v>
      </c>
      <c r="AA100" s="1761"/>
      <c r="AB100" s="1758"/>
      <c r="AC100" s="1758"/>
      <c r="AD100" s="1758"/>
    </row>
    <row customHeight="1" ht="27">
      <c r="A101" s="1757"/>
      <c r="B101" s="1811">
        <v>84</v>
      </c>
      <c r="C101" s="1755"/>
      <c r="D101" s="1880"/>
      <c r="E101" s="1755"/>
      <c r="F101" s="1755"/>
      <c r="G101" s="1755"/>
      <c r="H101" s="1803"/>
      <c r="I101" s="1918" t="str">
        <f>INDEX(TEMPLATE_NUMBER_POINT_FHD,B101,MATCH(TEMPLATE_SPHERE,TEMPLATE_SPHERE_LIST_FOR_NOTE,0))</f>
        <v>19.2</v>
      </c>
      <c r="J101" s="1918" t="str">
        <f>INDEX(TEMPLATE_DATA_POINT_FHD,B101,MATCH(TEMPLATE_SPHERE,TEMPLATE_SPHERE_LIST_FOR_NOTE,0))</f>
        <v>Информация о показателях энергетической эффективности объектов теплоснабжения</v>
      </c>
      <c r="K101" s="1918" t="str">
        <f>INDEX(TEMPLATE_NOTE_POINT_FHD,B101,MATCH(TEMPLATE_SPHERE,TEMPLATE_SPHERE_LIST_FOR_NOTE,0))</f>
        <v>Указывается ссылка на документ, предварительно загруженный в хранилище файлов ФГИС ЕИАС.</v>
      </c>
      <c r="L101" s="1756" t="str">
        <f>IF(I101=0,"",I101)</f>
        <v>19.2</v>
      </c>
      <c r="M101" s="1756" t="str">
        <f>IF(J101=0,"",J101)</f>
        <v>Информация о показателях энергетической эффективности объектов теплоснабжения</v>
      </c>
      <c r="N101" s="1756" t="str">
        <f>IF(K101=0,"",K101)</f>
        <v>Указывается ссылка на документ, предварительно загруженный в хранилище файлов ФГИС ЕИАС.</v>
      </c>
      <c r="O101" s="1870" t="s">
        <v>2180</v>
      </c>
      <c r="P101" s="1870"/>
      <c r="Q101" s="1870"/>
      <c r="R101" s="1870"/>
      <c r="S101" s="1870"/>
      <c r="T101" s="1755" t="s">
        <v>2181</v>
      </c>
      <c r="U101" s="1755"/>
      <c r="V101" s="1755"/>
      <c r="W101" s="1755"/>
      <c r="X101" s="1755"/>
      <c r="Y101" s="1913"/>
      <c r="Z101" s="1758" t="s">
        <v>798</v>
      </c>
      <c r="AA101" s="1761"/>
      <c r="AB101" s="1758"/>
      <c r="AC101" s="1758"/>
      <c r="AD101" s="1758"/>
    </row>
    <row customHeight="1" ht="9">
      <c r="A102" s="1757"/>
      <c r="B102" s="1757"/>
      <c r="C102" s="1755"/>
      <c r="D102" s="1755"/>
      <c r="E102" s="1755"/>
      <c r="F102" s="1755"/>
      <c r="G102" s="1755"/>
      <c r="H102" s="1803"/>
      <c r="I102" s="1803"/>
      <c r="J102" s="1803"/>
      <c r="K102" s="1803"/>
      <c r="L102" s="1803"/>
      <c r="M102" s="1755"/>
      <c r="N102" s="1802"/>
      <c r="O102" s="1870"/>
      <c r="P102" s="1870"/>
      <c r="Q102" s="1870"/>
      <c r="R102" s="1870"/>
      <c r="S102" s="1755"/>
      <c r="T102" s="1755"/>
      <c r="U102" s="1755"/>
      <c r="V102" s="1755"/>
      <c r="W102" s="1755"/>
      <c r="X102" s="1755"/>
      <c r="Y102" s="1913"/>
      <c r="Z102" s="1758"/>
      <c r="AA102" s="1761"/>
      <c r="AB102" s="1758"/>
      <c r="AC102" s="1758"/>
      <c r="AD102" s="1758"/>
    </row>
    <row customHeight="1" ht="9">
      <c r="A103" s="1757"/>
      <c r="B103" s="1757"/>
      <c r="C103" s="1755"/>
      <c r="D103" s="1755"/>
      <c r="E103" s="1755"/>
      <c r="F103" s="1755"/>
      <c r="G103" s="1755"/>
      <c r="H103" s="1803"/>
      <c r="I103" s="1803"/>
      <c r="J103" s="1803"/>
      <c r="K103" s="1803"/>
      <c r="L103" s="1803"/>
      <c r="M103" s="1755"/>
      <c r="N103" s="1802"/>
      <c r="O103" s="1870"/>
      <c r="P103" s="1870"/>
      <c r="Q103" s="1870"/>
      <c r="R103" s="1870"/>
      <c r="S103" s="1755"/>
      <c r="T103" s="1755"/>
      <c r="U103" s="1755"/>
      <c r="V103" s="1755"/>
      <c r="W103" s="1755"/>
      <c r="X103" s="1755"/>
      <c r="Y103" s="1913"/>
      <c r="Z103" s="1758"/>
      <c r="AA103" s="1761"/>
      <c r="AB103" s="1758"/>
      <c r="AC103" s="1758"/>
      <c r="AD103" s="1758"/>
    </row>
    <row customHeight="1" ht="9">
      <c r="A104" s="1757"/>
      <c r="B104" s="1757"/>
      <c r="C104" s="1755"/>
      <c r="D104" s="1755"/>
      <c r="E104" s="1755"/>
      <c r="F104" s="1755"/>
      <c r="G104" s="1755"/>
      <c r="H104" s="1803"/>
      <c r="I104" s="1803"/>
      <c r="J104" s="1803"/>
      <c r="K104" s="1803"/>
      <c r="L104" s="1803"/>
      <c r="M104" s="1755"/>
      <c r="N104" s="1802"/>
      <c r="O104" s="1870"/>
      <c r="P104" s="1870"/>
      <c r="Q104" s="1870"/>
      <c r="R104" s="1870"/>
      <c r="S104" s="1755"/>
      <c r="T104" s="1755"/>
      <c r="U104" s="1755"/>
      <c r="V104" s="1755"/>
      <c r="W104" s="1755"/>
      <c r="X104" s="1755"/>
      <c r="Y104" s="1913"/>
      <c r="Z104" s="1758"/>
      <c r="AA104" s="1761"/>
      <c r="AB104" s="1758"/>
      <c r="AC104" s="1758"/>
      <c r="AD104" s="1758"/>
    </row>
    <row customHeight="1" ht="9">
      <c r="A105" s="1757"/>
      <c r="B105" s="1757"/>
      <c r="C105" s="1755"/>
      <c r="D105" s="1755"/>
      <c r="E105" s="1755"/>
      <c r="F105" s="1755"/>
      <c r="G105" s="1755"/>
      <c r="H105" s="1803"/>
      <c r="I105" s="1803"/>
      <c r="J105" s="1803"/>
      <c r="K105" s="1803"/>
      <c r="L105" s="1803"/>
      <c r="M105" s="1755"/>
      <c r="N105" s="1802"/>
      <c r="O105" s="1870"/>
      <c r="P105" s="1870"/>
      <c r="Q105" s="1870"/>
      <c r="R105" s="1870"/>
      <c r="S105" s="1755"/>
      <c r="T105" s="1755"/>
      <c r="U105" s="1755"/>
      <c r="V105" s="1755"/>
      <c r="W105" s="1755"/>
      <c r="X105" s="1755"/>
      <c r="Y105" s="1913"/>
      <c r="Z105" s="1758"/>
      <c r="AA105" s="1761"/>
      <c r="AB105" s="1758"/>
      <c r="AC105" s="1758"/>
      <c r="AD105" s="1758"/>
    </row>
    <row customHeight="1" ht="9">
      <c r="A106" s="1757"/>
      <c r="B106" s="1757"/>
      <c r="C106" s="1755"/>
      <c r="D106" s="1755"/>
      <c r="E106" s="1755"/>
      <c r="F106" s="1755"/>
      <c r="G106" s="1755"/>
      <c r="H106" s="1803"/>
      <c r="I106" s="1803"/>
      <c r="J106" s="1803"/>
      <c r="K106" s="1803"/>
      <c r="L106" s="1803"/>
      <c r="M106" s="1755"/>
      <c r="N106" s="1802"/>
      <c r="O106" s="1870"/>
      <c r="P106" s="1870"/>
      <c r="Q106" s="1870"/>
      <c r="R106" s="1870"/>
      <c r="S106" s="1755"/>
      <c r="T106" s="1755"/>
      <c r="U106" s="1755"/>
      <c r="V106" s="1755"/>
      <c r="W106" s="1755"/>
      <c r="X106" s="1755"/>
      <c r="Y106" s="1913"/>
      <c r="Z106" s="1758"/>
      <c r="AA106" s="1761"/>
      <c r="AB106" s="1758"/>
      <c r="AC106" s="1758"/>
      <c r="AD106" s="1758"/>
    </row>
    <row customHeight="1" ht="9">
      <c r="A107" s="1757"/>
      <c r="B107" s="1757"/>
      <c r="C107" s="1755"/>
      <c r="D107" s="1755"/>
      <c r="E107" s="1755"/>
      <c r="F107" s="1755"/>
      <c r="G107" s="1755"/>
      <c r="H107" s="1803"/>
      <c r="I107" s="1803"/>
      <c r="J107" s="1803"/>
      <c r="K107" s="1803"/>
      <c r="L107" s="1803"/>
      <c r="M107" s="1755"/>
      <c r="N107" s="1802"/>
      <c r="O107" s="1870"/>
      <c r="P107" s="1870"/>
      <c r="Q107" s="1870"/>
      <c r="R107" s="1870"/>
      <c r="S107" s="1755"/>
      <c r="T107" s="1755"/>
      <c r="U107" s="1755"/>
      <c r="V107" s="1755"/>
      <c r="W107" s="1755"/>
      <c r="X107" s="1755"/>
      <c r="Y107" s="1913"/>
      <c r="Z107" s="1758"/>
      <c r="AA107" s="1761"/>
      <c r="AB107" s="1758"/>
      <c r="AC107" s="1758"/>
      <c r="AD107" s="1758"/>
    </row>
    <row customHeight="1" ht="9">
      <c r="A108" s="1757"/>
      <c r="B108" s="1757"/>
      <c r="C108" s="1755"/>
      <c r="D108" s="1755"/>
      <c r="E108" s="1755"/>
      <c r="F108" s="1755"/>
      <c r="G108" s="1755"/>
      <c r="H108" s="1803"/>
      <c r="I108" s="1803"/>
      <c r="J108" s="1803"/>
      <c r="K108" s="1803"/>
      <c r="L108" s="1803"/>
      <c r="M108" s="1755"/>
      <c r="N108" s="1802"/>
      <c r="O108" s="1870"/>
      <c r="P108" s="1870"/>
      <c r="Q108" s="1870"/>
      <c r="R108" s="1870"/>
      <c r="S108" s="1755"/>
      <c r="T108" s="1755"/>
      <c r="U108" s="1755"/>
      <c r="V108" s="1755"/>
      <c r="W108" s="1755"/>
      <c r="X108" s="1755"/>
      <c r="Y108" s="1913"/>
      <c r="Z108" s="1758"/>
      <c r="AA108" s="1761"/>
      <c r="AB108" s="1758"/>
      <c r="AC108" s="1758"/>
      <c r="AD108" s="1758"/>
    </row>
    <row customHeight="1" ht="9">
      <c r="A109" s="1757"/>
      <c r="B109" s="1757"/>
      <c r="C109" s="1755"/>
      <c r="D109" s="1755"/>
      <c r="E109" s="1755"/>
      <c r="F109" s="1755"/>
      <c r="G109" s="1755"/>
      <c r="H109" s="1803"/>
      <c r="I109" s="1803"/>
      <c r="J109" s="1803"/>
      <c r="K109" s="1803"/>
      <c r="L109" s="1803"/>
      <c r="M109" s="1755"/>
      <c r="N109" s="1802"/>
      <c r="O109" s="1870"/>
      <c r="P109" s="1870"/>
      <c r="Q109" s="1870"/>
      <c r="R109" s="1870"/>
      <c r="S109" s="1755"/>
      <c r="T109" s="1755"/>
      <c r="U109" s="1755"/>
      <c r="V109" s="1755"/>
      <c r="W109" s="1755"/>
      <c r="X109" s="1755"/>
      <c r="Y109" s="1913"/>
      <c r="Z109" s="1758"/>
      <c r="AA109" s="1761"/>
      <c r="AB109" s="1758"/>
      <c r="AC109" s="1758"/>
      <c r="AD109" s="1758"/>
    </row>
    <row customHeight="1" ht="9">
      <c r="A110" s="1757"/>
      <c r="B110" s="1757"/>
      <c r="C110" s="1755"/>
      <c r="D110" s="1755"/>
      <c r="E110" s="1755"/>
      <c r="F110" s="1755"/>
      <c r="G110" s="1755"/>
      <c r="H110" s="1803"/>
      <c r="I110" s="1803"/>
      <c r="J110" s="1803"/>
      <c r="K110" s="1803"/>
      <c r="L110" s="1803"/>
      <c r="M110" s="1755"/>
      <c r="N110" s="1802"/>
      <c r="O110" s="1870"/>
      <c r="P110" s="1870"/>
      <c r="Q110" s="1870"/>
      <c r="R110" s="1870"/>
      <c r="S110" s="1755"/>
      <c r="T110" s="1755"/>
      <c r="U110" s="1755"/>
      <c r="V110" s="1755"/>
      <c r="W110" s="1755"/>
      <c r="X110" s="1755"/>
      <c r="Y110" s="1913"/>
      <c r="Z110" s="1758"/>
      <c r="AA110" s="1761"/>
      <c r="AB110" s="1758"/>
      <c r="AC110" s="1758"/>
      <c r="AD110" s="1758"/>
    </row>
    <row customHeight="1" ht="9">
      <c r="A111" s="1757"/>
      <c r="B111" s="1757"/>
      <c r="C111" s="1755"/>
      <c r="D111" s="1755"/>
      <c r="E111" s="1755"/>
      <c r="F111" s="1755"/>
      <c r="G111" s="1755"/>
      <c r="H111" s="1803"/>
      <c r="I111" s="1803"/>
      <c r="J111" s="1803"/>
      <c r="K111" s="1803"/>
      <c r="L111" s="1803"/>
      <c r="M111" s="1755"/>
      <c r="N111" s="1802"/>
      <c r="O111" s="1870"/>
      <c r="P111" s="1870"/>
      <c r="Q111" s="1870"/>
      <c r="R111" s="1870"/>
      <c r="S111" s="1755"/>
      <c r="T111" s="1755"/>
      <c r="U111" s="1755"/>
      <c r="V111" s="1755"/>
      <c r="W111" s="1755"/>
      <c r="X111" s="1755"/>
      <c r="Y111" s="1913"/>
      <c r="Z111" s="1758"/>
      <c r="AA111" s="1761"/>
      <c r="AB111" s="1758"/>
      <c r="AC111" s="1758"/>
      <c r="AD111" s="1758"/>
    </row>
    <row customHeight="1" ht="9">
      <c r="A112" s="1757"/>
      <c r="B112" s="1757"/>
      <c r="C112" s="1755"/>
      <c r="D112" s="1755"/>
      <c r="E112" s="1755"/>
      <c r="F112" s="1755"/>
      <c r="G112" s="1755"/>
      <c r="H112" s="1803"/>
      <c r="I112" s="1803"/>
      <c r="J112" s="1803"/>
      <c r="K112" s="1803"/>
      <c r="L112" s="1803"/>
      <c r="M112" s="1755"/>
      <c r="N112" s="1802"/>
      <c r="O112" s="1870"/>
      <c r="P112" s="1870"/>
      <c r="Q112" s="1870"/>
      <c r="R112" s="1870"/>
      <c r="S112" s="1755"/>
      <c r="T112" s="1755"/>
      <c r="U112" s="1755"/>
      <c r="V112" s="1755"/>
      <c r="W112" s="1755"/>
      <c r="X112" s="1755"/>
      <c r="Y112" s="1913"/>
      <c r="Z112" s="1758"/>
      <c r="AA112" s="1761"/>
      <c r="AB112" s="1758"/>
      <c r="AC112" s="1758"/>
      <c r="AD112" s="1758"/>
    </row>
    <row customHeight="1" ht="9">
      <c r="A113" s="1757"/>
      <c r="B113" s="1757"/>
      <c r="C113" s="1755"/>
      <c r="D113" s="1755"/>
      <c r="E113" s="1755"/>
      <c r="F113" s="1755"/>
      <c r="G113" s="1755"/>
      <c r="H113" s="1803"/>
      <c r="I113" s="1803"/>
      <c r="J113" s="1803"/>
      <c r="K113" s="1803"/>
      <c r="L113" s="1803"/>
      <c r="M113" s="1755"/>
      <c r="N113" s="1802"/>
      <c r="O113" s="1870"/>
      <c r="P113" s="1870"/>
      <c r="Q113" s="1870"/>
      <c r="R113" s="1870"/>
      <c r="S113" s="1755"/>
      <c r="T113" s="1755"/>
      <c r="U113" s="1755"/>
      <c r="V113" s="1755"/>
      <c r="W113" s="1755"/>
      <c r="X113" s="1755"/>
      <c r="Y113" s="1913"/>
      <c r="Z113" s="1758"/>
      <c r="AA113" s="1761"/>
      <c r="AB113" s="1758"/>
      <c r="AC113" s="1758"/>
      <c r="AD113" s="1758"/>
    </row>
    <row customHeight="1" ht="9">
      <c r="A114" s="1757"/>
      <c r="B114" s="1757"/>
      <c r="C114" s="1755"/>
      <c r="D114" s="1755"/>
      <c r="E114" s="1755"/>
      <c r="F114" s="1755"/>
      <c r="G114" s="1755"/>
      <c r="H114" s="1803"/>
      <c r="I114" s="1803"/>
      <c r="J114" s="1803"/>
      <c r="K114" s="1803"/>
      <c r="L114" s="1803"/>
      <c r="M114" s="1755"/>
      <c r="N114" s="1802"/>
      <c r="O114" s="1870"/>
      <c r="P114" s="1870"/>
      <c r="Q114" s="1870"/>
      <c r="R114" s="1870"/>
      <c r="S114" s="1755"/>
      <c r="T114" s="1755"/>
      <c r="U114" s="1755"/>
      <c r="V114" s="1755"/>
      <c r="W114" s="1755"/>
      <c r="X114" s="1755"/>
      <c r="Y114" s="1913"/>
      <c r="Z114" s="1758"/>
      <c r="AA114" s="1761"/>
      <c r="AB114" s="1758"/>
      <c r="AC114" s="1758"/>
      <c r="AD114" s="1758"/>
    </row>
    <row customHeight="1" ht="9">
      <c r="A115" s="1757"/>
      <c r="B115" s="1757"/>
      <c r="C115" s="1755"/>
      <c r="D115" s="1755"/>
      <c r="E115" s="1755"/>
      <c r="F115" s="1755"/>
      <c r="G115" s="1755"/>
      <c r="H115" s="1803"/>
      <c r="I115" s="1803"/>
      <c r="J115" s="1803"/>
      <c r="K115" s="1803"/>
      <c r="L115" s="1803"/>
      <c r="M115" s="1755"/>
      <c r="N115" s="1802"/>
      <c r="O115" s="1870"/>
      <c r="P115" s="1870"/>
      <c r="Q115" s="1870"/>
      <c r="R115" s="1870"/>
      <c r="S115" s="1755"/>
      <c r="T115" s="1755"/>
      <c r="U115" s="1755"/>
      <c r="V115" s="1755"/>
      <c r="W115" s="1755"/>
      <c r="X115" s="1755"/>
      <c r="Y115" s="1913"/>
      <c r="Z115" s="1758"/>
      <c r="AA115" s="1761"/>
      <c r="AB115" s="1758"/>
      <c r="AC115" s="1758"/>
      <c r="AD115" s="1758"/>
    </row>
    <row customHeight="1" ht="9">
      <c r="A116" s="1757"/>
      <c r="B116" s="1757"/>
      <c r="C116" s="1755"/>
      <c r="D116" s="1755"/>
      <c r="E116" s="1755"/>
      <c r="F116" s="1755"/>
      <c r="G116" s="1755"/>
      <c r="H116" s="1803"/>
      <c r="I116" s="1803"/>
      <c r="J116" s="1803"/>
      <c r="K116" s="1803"/>
      <c r="L116" s="1803"/>
      <c r="M116" s="1755"/>
      <c r="N116" s="1802"/>
      <c r="O116" s="1870"/>
      <c r="P116" s="1870"/>
      <c r="Q116" s="1870"/>
      <c r="R116" s="1870"/>
      <c r="S116" s="1755"/>
      <c r="T116" s="1755"/>
      <c r="U116" s="1755"/>
      <c r="V116" s="1755"/>
      <c r="W116" s="1755"/>
      <c r="X116" s="1755"/>
      <c r="Y116" s="1913"/>
      <c r="Z116" s="1758"/>
      <c r="AA116" s="1761"/>
      <c r="AB116" s="1758"/>
      <c r="AC116" s="1758"/>
      <c r="AD116" s="1758"/>
    </row>
    <row customHeight="1" ht="9">
      <c r="A117" s="1757"/>
      <c r="B117" s="1757"/>
      <c r="C117" s="1755"/>
      <c r="D117" s="1755"/>
      <c r="E117" s="1755"/>
      <c r="F117" s="1755"/>
      <c r="G117" s="1755"/>
      <c r="H117" s="1803"/>
      <c r="I117" s="1803"/>
      <c r="J117" s="1803"/>
      <c r="K117" s="1803"/>
      <c r="L117" s="1803"/>
      <c r="M117" s="1755"/>
      <c r="N117" s="1802"/>
      <c r="O117" s="1870"/>
      <c r="P117" s="1870"/>
      <c r="Q117" s="1870"/>
      <c r="R117" s="1870"/>
      <c r="S117" s="1755"/>
      <c r="T117" s="1755"/>
      <c r="U117" s="1755"/>
      <c r="V117" s="1755"/>
      <c r="W117" s="1755"/>
      <c r="X117" s="1755"/>
      <c r="Y117" s="1913"/>
      <c r="Z117" s="1758"/>
      <c r="AA117" s="1761"/>
      <c r="AB117" s="1758"/>
      <c r="AC117" s="1758"/>
      <c r="AD117" s="1758"/>
    </row>
    <row customHeight="1" ht="9">
      <c r="A118" s="1757"/>
      <c r="B118" s="1757"/>
      <c r="C118" s="1755"/>
      <c r="D118" s="1755"/>
      <c r="E118" s="1755"/>
      <c r="F118" s="1755"/>
      <c r="G118" s="1755"/>
      <c r="H118" s="1803"/>
      <c r="I118" s="1803"/>
      <c r="J118" s="1803"/>
      <c r="K118" s="1803"/>
      <c r="L118" s="1803"/>
      <c r="M118" s="1755"/>
      <c r="N118" s="1802"/>
      <c r="O118" s="1870"/>
      <c r="P118" s="1870"/>
      <c r="Q118" s="1870"/>
      <c r="R118" s="1870"/>
      <c r="S118" s="1755"/>
      <c r="T118" s="1755"/>
      <c r="U118" s="1755"/>
      <c r="V118" s="1755"/>
      <c r="W118" s="1755"/>
      <c r="X118" s="1755"/>
      <c r="Y118" s="1913"/>
      <c r="Z118" s="1758"/>
      <c r="AA118" s="1761"/>
      <c r="AB118" s="1758"/>
      <c r="AC118" s="1758"/>
      <c r="AD118" s="1758"/>
    </row>
    <row customHeight="1" ht="9">
      <c r="A119" s="1757"/>
      <c r="B119" s="1757"/>
      <c r="C119" s="1755"/>
      <c r="D119" s="1755"/>
      <c r="E119" s="1755"/>
      <c r="F119" s="1755"/>
      <c r="G119" s="1755"/>
      <c r="H119" s="1803"/>
      <c r="I119" s="1803"/>
      <c r="J119" s="1803"/>
      <c r="K119" s="1803"/>
      <c r="L119" s="1803"/>
      <c r="M119" s="1755"/>
      <c r="N119" s="1802"/>
      <c r="O119" s="1870"/>
      <c r="P119" s="1870"/>
      <c r="Q119" s="1870"/>
      <c r="R119" s="1870"/>
      <c r="S119" s="1755"/>
      <c r="T119" s="1755"/>
      <c r="U119" s="1755"/>
      <c r="V119" s="1755"/>
      <c r="W119" s="1755"/>
      <c r="X119" s="1755"/>
      <c r="Y119" s="1913"/>
      <c r="Z119" s="1758"/>
      <c r="AA119" s="1761"/>
      <c r="AB119" s="1758"/>
      <c r="AC119" s="1758"/>
      <c r="AD119" s="1758"/>
    </row>
    <row customHeight="1" ht="9">
      <c r="A120" s="1757"/>
      <c r="B120" s="1757"/>
      <c r="C120" s="1755"/>
      <c r="D120" s="1755"/>
      <c r="E120" s="1755"/>
      <c r="F120" s="1755"/>
      <c r="G120" s="1755"/>
      <c r="H120" s="1803"/>
      <c r="I120" s="1803"/>
      <c r="J120" s="1803"/>
      <c r="K120" s="1803"/>
      <c r="L120" s="1803"/>
      <c r="M120" s="1755"/>
      <c r="N120" s="1802"/>
      <c r="O120" s="1870"/>
      <c r="P120" s="1870"/>
      <c r="Q120" s="1870"/>
      <c r="R120" s="1870"/>
      <c r="S120" s="1755"/>
      <c r="T120" s="1755"/>
      <c r="U120" s="1755"/>
      <c r="V120" s="1755"/>
      <c r="W120" s="1755"/>
      <c r="X120" s="1755"/>
      <c r="Y120" s="1913"/>
      <c r="Z120" s="1758"/>
      <c r="AA120" s="1761"/>
      <c r="AB120" s="1758"/>
      <c r="AC120" s="1758"/>
      <c r="AD120" s="1758"/>
    </row>
    <row customHeight="1" ht="9">
      <c r="A121" s="1757"/>
      <c r="B121" s="1757"/>
      <c r="C121" s="1755"/>
      <c r="D121" s="1755"/>
      <c r="E121" s="1755"/>
      <c r="F121" s="1755"/>
      <c r="G121" s="1755"/>
      <c r="H121" s="1803"/>
      <c r="I121" s="1803"/>
      <c r="J121" s="1803"/>
      <c r="K121" s="1803"/>
      <c r="L121" s="1803"/>
      <c r="M121" s="1755"/>
      <c r="N121" s="1802"/>
      <c r="O121" s="1870"/>
      <c r="P121" s="1870"/>
      <c r="Q121" s="1870"/>
      <c r="R121" s="1870"/>
      <c r="S121" s="1755"/>
      <c r="T121" s="1755"/>
      <c r="U121" s="1755"/>
      <c r="V121" s="1755"/>
      <c r="W121" s="1755"/>
      <c r="X121" s="1755"/>
      <c r="Y121" s="1913"/>
      <c r="Z121" s="1758"/>
      <c r="AA121" s="1761"/>
      <c r="AB121" s="1758"/>
      <c r="AC121" s="1758"/>
      <c r="AD121" s="1758"/>
    </row>
    <row customHeight="1" ht="9">
      <c r="A122" s="1757"/>
      <c r="B122" s="1757"/>
      <c r="C122" s="1755"/>
      <c r="D122" s="1755"/>
      <c r="E122" s="1755"/>
      <c r="F122" s="1755"/>
      <c r="G122" s="1755"/>
      <c r="H122" s="1803"/>
      <c r="I122" s="1803"/>
      <c r="J122" s="1803"/>
      <c r="K122" s="1803"/>
      <c r="L122" s="1803"/>
      <c r="M122" s="1755"/>
      <c r="N122" s="1802"/>
      <c r="O122" s="1870"/>
      <c r="P122" s="1870"/>
      <c r="Q122" s="1870"/>
      <c r="R122" s="1870"/>
      <c r="S122" s="1755"/>
      <c r="T122" s="1755"/>
      <c r="U122" s="1755"/>
      <c r="V122" s="1755"/>
      <c r="W122" s="1755"/>
      <c r="X122" s="1755"/>
      <c r="Y122" s="1913"/>
      <c r="Z122" s="1758"/>
      <c r="AA122" s="1761"/>
      <c r="AB122" s="1758"/>
      <c r="AC122" s="1758"/>
      <c r="AD122" s="1758"/>
    </row>
    <row customHeight="1" ht="9">
      <c r="A123" s="1757"/>
      <c r="B123" s="1757"/>
      <c r="C123" s="1755"/>
      <c r="D123" s="1755"/>
      <c r="E123" s="1755"/>
      <c r="F123" s="1755"/>
      <c r="G123" s="1755"/>
      <c r="H123" s="1803"/>
      <c r="I123" s="1803"/>
      <c r="J123" s="1803"/>
      <c r="K123" s="1803"/>
      <c r="L123" s="1803"/>
      <c r="M123" s="1755"/>
      <c r="N123" s="1802"/>
      <c r="O123" s="1870"/>
      <c r="P123" s="1870"/>
      <c r="Q123" s="1870"/>
      <c r="R123" s="1870"/>
      <c r="S123" s="1755"/>
      <c r="T123" s="1755"/>
      <c r="U123" s="1755"/>
      <c r="V123" s="1755"/>
      <c r="W123" s="1755"/>
      <c r="X123" s="1755"/>
      <c r="Y123" s="1913"/>
      <c r="Z123" s="1758"/>
      <c r="AA123" s="1761"/>
      <c r="AB123" s="1758"/>
      <c r="AC123" s="1758"/>
      <c r="AD123" s="1758"/>
    </row>
    <row customHeight="1" ht="9">
      <c r="A124" s="1757"/>
      <c r="B124" s="1757"/>
      <c r="C124" s="1755"/>
      <c r="D124" s="1755"/>
      <c r="E124" s="1755"/>
      <c r="F124" s="1755"/>
      <c r="G124" s="1755"/>
      <c r="H124" s="1803"/>
      <c r="I124" s="1803"/>
      <c r="J124" s="1803"/>
      <c r="K124" s="1803"/>
      <c r="L124" s="1803"/>
      <c r="M124" s="1755"/>
      <c r="N124" s="1802"/>
      <c r="O124" s="1870"/>
      <c r="P124" s="1870"/>
      <c r="Q124" s="1870"/>
      <c r="R124" s="1870"/>
      <c r="S124" s="1755"/>
      <c r="T124" s="1755"/>
      <c r="U124" s="1755"/>
      <c r="V124" s="1755"/>
      <c r="W124" s="1755"/>
      <c r="X124" s="1755"/>
      <c r="Y124" s="1913"/>
      <c r="Z124" s="1758"/>
      <c r="AA124" s="1761"/>
      <c r="AB124" s="1758"/>
      <c r="AC124" s="1758"/>
      <c r="AD124" s="1758"/>
    </row>
    <row customHeight="1" ht="9">
      <c r="A125" s="1757"/>
      <c r="B125" s="1757"/>
      <c r="C125" s="1755"/>
      <c r="D125" s="1755"/>
      <c r="E125" s="1755"/>
      <c r="F125" s="1755"/>
      <c r="G125" s="1755"/>
      <c r="H125" s="1803"/>
      <c r="I125" s="1803"/>
      <c r="J125" s="1803"/>
      <c r="K125" s="1803"/>
      <c r="L125" s="1803"/>
      <c r="M125" s="1755"/>
      <c r="N125" s="1802"/>
      <c r="O125" s="1870"/>
      <c r="P125" s="1870"/>
      <c r="Q125" s="1870"/>
      <c r="R125" s="1870"/>
      <c r="S125" s="1755"/>
      <c r="T125" s="1755"/>
      <c r="U125" s="1755"/>
      <c r="V125" s="1755"/>
      <c r="W125" s="1755"/>
      <c r="X125" s="1755"/>
      <c r="Y125" s="1913"/>
      <c r="Z125" s="1758"/>
      <c r="AA125" s="1761"/>
      <c r="AB125" s="1758"/>
      <c r="AC125" s="1758"/>
      <c r="AD125" s="1758"/>
    </row>
    <row customHeight="1" ht="9">
      <c r="A126" s="1757"/>
      <c r="B126" s="1757"/>
      <c r="C126" s="1755"/>
      <c r="D126" s="1755"/>
      <c r="E126" s="1755"/>
      <c r="F126" s="1755"/>
      <c r="G126" s="1755"/>
      <c r="H126" s="1803"/>
      <c r="I126" s="1803"/>
      <c r="J126" s="1803"/>
      <c r="K126" s="1803"/>
      <c r="L126" s="1803"/>
      <c r="M126" s="1755"/>
      <c r="N126" s="1802"/>
      <c r="O126" s="1870"/>
      <c r="P126" s="1870"/>
      <c r="Q126" s="1870"/>
      <c r="R126" s="1870"/>
      <c r="S126" s="1755"/>
      <c r="T126" s="1755"/>
      <c r="U126" s="1755"/>
      <c r="V126" s="1755"/>
      <c r="W126" s="1755"/>
      <c r="X126" s="1755"/>
      <c r="Y126" s="1913"/>
      <c r="Z126" s="1758"/>
      <c r="AA126" s="1761"/>
      <c r="AB126" s="1758"/>
      <c r="AC126" s="1758"/>
      <c r="AD126" s="1758"/>
    </row>
    <row customHeight="1" ht="9">
      <c r="A127" s="1757"/>
      <c r="B127" s="1757"/>
      <c r="C127" s="1755"/>
      <c r="D127" s="1755"/>
      <c r="E127" s="1755"/>
      <c r="F127" s="1755"/>
      <c r="G127" s="1755"/>
      <c r="H127" s="1803"/>
      <c r="I127" s="1803"/>
      <c r="J127" s="1803"/>
      <c r="K127" s="1803"/>
      <c r="L127" s="1803"/>
      <c r="M127" s="1755"/>
      <c r="N127" s="1802"/>
      <c r="O127" s="1870"/>
      <c r="P127" s="1870"/>
      <c r="Q127" s="1870"/>
      <c r="R127" s="1870"/>
      <c r="S127" s="1755"/>
      <c r="T127" s="1755"/>
      <c r="U127" s="1755"/>
      <c r="V127" s="1755"/>
      <c r="W127" s="1755"/>
      <c r="X127" s="1755"/>
      <c r="Y127" s="1913"/>
      <c r="Z127" s="1758"/>
      <c r="AA127" s="1761"/>
      <c r="AB127" s="1758"/>
      <c r="AC127" s="1758"/>
      <c r="AD127" s="1758"/>
    </row>
    <row customHeight="1" ht="9">
      <c r="A128" s="1757"/>
      <c r="B128" s="1757"/>
      <c r="C128" s="1755"/>
      <c r="D128" s="1755"/>
      <c r="E128" s="1755"/>
      <c r="F128" s="1755"/>
      <c r="G128" s="1755"/>
      <c r="H128" s="1803"/>
      <c r="I128" s="1803"/>
      <c r="J128" s="1803"/>
      <c r="K128" s="1803"/>
      <c r="L128" s="1803"/>
      <c r="M128" s="1755"/>
      <c r="N128" s="1802"/>
      <c r="O128" s="1870"/>
      <c r="P128" s="1870"/>
      <c r="Q128" s="1870"/>
      <c r="R128" s="1870"/>
      <c r="S128" s="1755"/>
      <c r="T128" s="1755"/>
      <c r="U128" s="1755"/>
      <c r="V128" s="1755"/>
      <c r="W128" s="1755"/>
      <c r="X128" s="1755"/>
      <c r="Y128" s="1913"/>
      <c r="Z128" s="1758"/>
      <c r="AA128" s="1761"/>
      <c r="AB128" s="1758"/>
      <c r="AC128" s="1758"/>
      <c r="AD128" s="1758"/>
    </row>
    <row customHeight="1" ht="9">
      <c r="A129" s="1757"/>
      <c r="B129" s="1757"/>
      <c r="C129" s="1755"/>
      <c r="D129" s="1755"/>
      <c r="E129" s="1755"/>
      <c r="F129" s="1755"/>
      <c r="G129" s="1755"/>
      <c r="H129" s="1803"/>
      <c r="I129" s="1803"/>
      <c r="J129" s="1803"/>
      <c r="K129" s="1803"/>
      <c r="L129" s="1803"/>
      <c r="M129" s="1755"/>
      <c r="N129" s="1802"/>
      <c r="O129" s="1870"/>
      <c r="P129" s="1870"/>
      <c r="Q129" s="1870"/>
      <c r="R129" s="1870"/>
      <c r="S129" s="1755"/>
      <c r="T129" s="1755"/>
      <c r="U129" s="1755"/>
      <c r="V129" s="1755"/>
      <c r="W129" s="1755"/>
      <c r="X129" s="1755"/>
      <c r="Y129" s="1913"/>
      <c r="Z129" s="1758"/>
      <c r="AA129" s="1761"/>
      <c r="AB129" s="1758"/>
      <c r="AC129" s="1758"/>
      <c r="AD129" s="1758"/>
    </row>
    <row customHeight="1" ht="9">
      <c r="A130" s="1757"/>
      <c r="B130" s="1757"/>
      <c r="C130" s="1755"/>
      <c r="D130" s="1755"/>
      <c r="E130" s="1755"/>
      <c r="F130" s="1755"/>
      <c r="G130" s="1755"/>
      <c r="H130" s="1803"/>
      <c r="I130" s="1803"/>
      <c r="J130" s="1803"/>
      <c r="K130" s="1803"/>
      <c r="L130" s="1803"/>
      <c r="M130" s="1755"/>
      <c r="N130" s="1802"/>
      <c r="O130" s="1872"/>
      <c r="P130" s="1872"/>
      <c r="Q130" s="1872"/>
      <c r="R130" s="1872"/>
      <c r="S130" s="1755"/>
      <c r="T130" s="1755"/>
      <c r="U130" s="1755"/>
      <c r="V130" s="1755"/>
      <c r="W130" s="1755"/>
      <c r="X130" s="1755"/>
      <c r="Y130" s="1913"/>
      <c r="Z130" s="1758"/>
      <c r="AA130" s="1761"/>
      <c r="AB130" s="1758"/>
      <c r="AC130" s="1758"/>
      <c r="AD130" s="1758"/>
    </row>
    <row customHeight="1" ht="9">
      <c r="A131" s="1757"/>
      <c r="B131" s="1757"/>
      <c r="C131" s="1755"/>
      <c r="D131" s="1755"/>
      <c r="E131" s="1755"/>
      <c r="F131" s="1755"/>
      <c r="G131" s="1755"/>
      <c r="H131" s="1803"/>
      <c r="I131" s="1803"/>
      <c r="J131" s="1803"/>
      <c r="K131" s="1803"/>
      <c r="L131" s="1803"/>
      <c r="M131" s="1755"/>
      <c r="N131" s="1802"/>
      <c r="O131" s="1873"/>
      <c r="P131" s="1873"/>
      <c r="Q131" s="1873"/>
      <c r="R131" s="1873"/>
      <c r="S131" s="1755"/>
      <c r="T131" s="1755"/>
      <c r="U131" s="1755"/>
      <c r="V131" s="1755"/>
      <c r="W131" s="1755"/>
      <c r="X131" s="1755"/>
      <c r="Y131" s="1913"/>
      <c r="Z131" s="1758"/>
      <c r="AA131" s="1761"/>
      <c r="AB131" s="1758"/>
      <c r="AC131" s="1758"/>
      <c r="AD131" s="1758"/>
    </row>
    <row customHeight="1" ht="9">
      <c r="A132" s="1757"/>
      <c r="B132" s="1757"/>
      <c r="C132" s="1755"/>
      <c r="D132" s="1755"/>
      <c r="E132" s="1755"/>
      <c r="F132" s="1755"/>
      <c r="G132" s="1755"/>
      <c r="H132" s="1803"/>
      <c r="I132" s="1803"/>
      <c r="J132" s="1803"/>
      <c r="K132" s="1803"/>
      <c r="L132" s="1803"/>
      <c r="M132" s="1755"/>
      <c r="N132" s="1802"/>
      <c r="O132" s="1872"/>
      <c r="P132" s="1872"/>
      <c r="Q132" s="1872"/>
      <c r="R132" s="1872"/>
      <c r="S132" s="1755"/>
      <c r="T132" s="1755"/>
      <c r="U132" s="1755"/>
      <c r="V132" s="1755"/>
      <c r="W132" s="1755"/>
      <c r="X132" s="1755"/>
      <c r="Y132" s="1913"/>
      <c r="Z132" s="1758"/>
      <c r="AA132" s="1761"/>
      <c r="AB132" s="1758"/>
      <c r="AC132" s="1758"/>
      <c r="AD132" s="1758"/>
    </row>
    <row customHeight="1" ht="9">
      <c r="A133" s="1757"/>
      <c r="B133" s="1757"/>
      <c r="C133" s="1755"/>
      <c r="D133" s="1755"/>
      <c r="E133" s="1755"/>
      <c r="F133" s="1755"/>
      <c r="G133" s="1755"/>
      <c r="H133" s="1803"/>
      <c r="I133" s="1803"/>
      <c r="J133" s="1803"/>
      <c r="K133" s="1803"/>
      <c r="L133" s="1803"/>
      <c r="M133" s="1755"/>
      <c r="N133" s="1802"/>
      <c r="O133" s="1873"/>
      <c r="P133" s="1873"/>
      <c r="Q133" s="1873"/>
      <c r="R133" s="1873"/>
      <c r="S133" s="1755"/>
      <c r="T133" s="1755"/>
      <c r="U133" s="1755"/>
      <c r="V133" s="1755"/>
      <c r="W133" s="1755"/>
      <c r="X133" s="1755"/>
      <c r="Y133" s="1913"/>
      <c r="Z133" s="1758"/>
      <c r="AA133" s="1761"/>
      <c r="AB133" s="1758"/>
      <c r="AC133" s="1758"/>
      <c r="AD133" s="1758"/>
    </row>
    <row customHeight="1" ht="9">
      <c r="A134" s="1757"/>
      <c r="B134" s="1757"/>
      <c r="C134" s="1755"/>
      <c r="D134" s="1755"/>
      <c r="E134" s="1755"/>
      <c r="F134" s="1755"/>
      <c r="G134" s="1755"/>
      <c r="H134" s="1803"/>
      <c r="I134" s="1803"/>
      <c r="J134" s="1803"/>
      <c r="K134" s="1803"/>
      <c r="L134" s="1803"/>
      <c r="M134" s="1755"/>
      <c r="N134" s="1802"/>
      <c r="O134" s="1870"/>
      <c r="P134" s="1870"/>
      <c r="Q134" s="1870"/>
      <c r="R134" s="1870"/>
      <c r="S134" s="1755"/>
      <c r="T134" s="1755"/>
      <c r="U134" s="1755"/>
      <c r="V134" s="1755"/>
      <c r="W134" s="1755"/>
      <c r="X134" s="1755"/>
      <c r="Y134" s="1913"/>
      <c r="Z134" s="1758"/>
      <c r="AA134" s="1761"/>
      <c r="AB134" s="1758"/>
      <c r="AC134" s="1758"/>
      <c r="AD134" s="1758"/>
    </row>
    <row customHeight="1" ht="9">
      <c r="A135" s="1757"/>
      <c r="B135" s="1757"/>
      <c r="C135" s="1755"/>
      <c r="D135" s="1755"/>
      <c r="E135" s="1755"/>
      <c r="F135" s="1755"/>
      <c r="G135" s="1755"/>
      <c r="H135" s="1803"/>
      <c r="I135" s="1803"/>
      <c r="J135" s="1803"/>
      <c r="K135" s="1803"/>
      <c r="L135" s="1803"/>
      <c r="M135" s="1755"/>
      <c r="N135" s="1802"/>
      <c r="O135" s="1870"/>
      <c r="P135" s="1870"/>
      <c r="Q135" s="1870"/>
      <c r="R135" s="1870"/>
      <c r="S135" s="1755"/>
      <c r="T135" s="1755"/>
      <c r="U135" s="1755"/>
      <c r="V135" s="1755"/>
      <c r="W135" s="1755"/>
      <c r="X135" s="1755"/>
      <c r="Y135" s="1913"/>
      <c r="Z135" s="1758"/>
      <c r="AA135" s="1761"/>
      <c r="AB135" s="1758"/>
      <c r="AC135" s="1758"/>
      <c r="AD135" s="1758"/>
    </row>
    <row customHeight="1" ht="9">
      <c r="A136" s="1757"/>
      <c r="B136" s="1757"/>
      <c r="C136" s="1755"/>
      <c r="D136" s="1755"/>
      <c r="E136" s="1755"/>
      <c r="F136" s="1755"/>
      <c r="G136" s="1755"/>
      <c r="H136" s="1803"/>
      <c r="I136" s="1803"/>
      <c r="J136" s="1803"/>
      <c r="K136" s="1803"/>
      <c r="L136" s="1803"/>
      <c r="M136" s="1755"/>
      <c r="N136" s="1802"/>
      <c r="O136" s="1870"/>
      <c r="P136" s="1870"/>
      <c r="Q136" s="1870"/>
      <c r="R136" s="1870"/>
      <c r="S136" s="1755"/>
      <c r="T136" s="1755"/>
      <c r="U136" s="1755"/>
      <c r="V136" s="1755"/>
      <c r="W136" s="1755"/>
      <c r="X136" s="1755"/>
      <c r="Y136" s="1913"/>
      <c r="Z136" s="1758"/>
      <c r="AA136" s="1761"/>
      <c r="AB136" s="1758"/>
      <c r="AC136" s="1758"/>
      <c r="AD136" s="1758"/>
    </row>
    <row customHeight="1" ht="9">
      <c r="A137" s="1757"/>
      <c r="B137" s="1757"/>
      <c r="C137" s="1755"/>
      <c r="D137" s="1755"/>
      <c r="E137" s="1755"/>
      <c r="F137" s="1755"/>
      <c r="G137" s="1755"/>
      <c r="H137" s="1803"/>
      <c r="I137" s="1803"/>
      <c r="J137" s="1803"/>
      <c r="K137" s="1803"/>
      <c r="L137" s="1803"/>
      <c r="M137" s="1755"/>
      <c r="N137" s="1802"/>
      <c r="O137" s="1874"/>
      <c r="P137" s="1874"/>
      <c r="Q137" s="1874"/>
      <c r="R137" s="1874"/>
      <c r="S137" s="1755"/>
      <c r="T137" s="1755"/>
      <c r="U137" s="1755"/>
      <c r="V137" s="1755"/>
      <c r="W137" s="1755"/>
      <c r="X137" s="1755"/>
      <c r="Y137" s="1913"/>
      <c r="Z137" s="1758"/>
      <c r="AA137" s="1761"/>
      <c r="AB137" s="1758"/>
      <c r="AC137" s="1758"/>
      <c r="AD137" s="1758"/>
    </row>
    <row customHeight="1" ht="9">
      <c r="A138" s="1757"/>
      <c r="B138" s="1757"/>
      <c r="C138" s="1755"/>
      <c r="D138" s="1755"/>
      <c r="E138" s="1755"/>
      <c r="F138" s="1755"/>
      <c r="G138" s="1755"/>
      <c r="H138" s="1803"/>
      <c r="I138" s="1803"/>
      <c r="J138" s="1803"/>
      <c r="K138" s="1803"/>
      <c r="L138" s="1803"/>
      <c r="M138" s="1755"/>
      <c r="N138" s="1802"/>
      <c r="O138" s="1871"/>
      <c r="P138" s="1871"/>
      <c r="Q138" s="1871"/>
      <c r="R138" s="1871"/>
      <c r="S138" s="1755"/>
      <c r="T138" s="1755"/>
      <c r="U138" s="1755"/>
      <c r="V138" s="1755"/>
      <c r="W138" s="1755"/>
      <c r="X138" s="1755"/>
      <c r="Y138" s="1913"/>
      <c r="Z138" s="1758"/>
      <c r="AA138" s="1761"/>
      <c r="AB138" s="1758"/>
      <c r="AC138" s="1758"/>
      <c r="AD138" s="1758"/>
    </row>
    <row customHeight="1" ht="9">
      <c r="A139" s="1757"/>
      <c r="B139" s="1757"/>
      <c r="C139" s="1755"/>
      <c r="D139" s="1755"/>
      <c r="E139" s="1755"/>
      <c r="F139" s="1755"/>
      <c r="G139" s="1755"/>
      <c r="H139" s="1803"/>
      <c r="I139" s="1803"/>
      <c r="J139" s="1803"/>
      <c r="K139" s="1803"/>
      <c r="L139" s="1803"/>
      <c r="M139" s="1755"/>
      <c r="N139" s="1802"/>
      <c r="O139" s="1755"/>
      <c r="P139" s="1755"/>
      <c r="Q139" s="1755"/>
      <c r="R139" s="1755"/>
      <c r="S139" s="1755"/>
      <c r="T139" s="1755"/>
      <c r="U139" s="1755"/>
      <c r="V139" s="1755"/>
      <c r="W139" s="1755"/>
      <c r="X139" s="1755"/>
      <c r="Y139" s="1913"/>
      <c r="Z139" s="1758"/>
      <c r="AA139" s="1761"/>
      <c r="AB139" s="1758"/>
      <c r="AC139" s="1758"/>
      <c r="AD139" s="1758"/>
    </row>
    <row customHeight="1" ht="9">
      <c r="A140" s="1757"/>
      <c r="B140" s="1757"/>
      <c r="C140" s="1755"/>
      <c r="D140" s="1755"/>
      <c r="E140" s="1755"/>
      <c r="F140" s="1755"/>
      <c r="G140" s="1755"/>
      <c r="H140" s="1803"/>
      <c r="I140" s="1803"/>
      <c r="J140" s="1803"/>
      <c r="K140" s="1803"/>
      <c r="L140" s="1803"/>
      <c r="M140" s="1755"/>
      <c r="N140" s="1802"/>
      <c r="O140" s="1755"/>
      <c r="P140" s="1755"/>
      <c r="Q140" s="1755"/>
      <c r="R140" s="1755"/>
      <c r="S140" s="1755"/>
      <c r="T140" s="1755"/>
      <c r="U140" s="1755"/>
      <c r="V140" s="1755"/>
      <c r="W140" s="1755"/>
      <c r="X140" s="1755"/>
      <c r="Y140" s="1913"/>
      <c r="Z140" s="1758"/>
      <c r="AA140" s="1761"/>
      <c r="AB140" s="1758"/>
      <c r="AC140" s="1758"/>
      <c r="AD140" s="1758"/>
    </row>
    <row customHeight="1" ht="9">
      <c r="A141" s="1757"/>
      <c r="B141" s="1757"/>
      <c r="C141" s="1755"/>
      <c r="D141" s="1755"/>
      <c r="E141" s="1755"/>
      <c r="F141" s="1755"/>
      <c r="G141" s="1755"/>
      <c r="H141" s="1803"/>
      <c r="I141" s="1803"/>
      <c r="J141" s="1803"/>
      <c r="K141" s="1803"/>
      <c r="L141" s="1803"/>
      <c r="M141" s="1755"/>
      <c r="N141" s="1802"/>
      <c r="O141" s="1755"/>
      <c r="P141" s="1755"/>
      <c r="Q141" s="1755"/>
      <c r="R141" s="1755"/>
      <c r="S141" s="1755"/>
      <c r="T141" s="1755"/>
      <c r="U141" s="1755"/>
      <c r="V141" s="1755"/>
      <c r="W141" s="1755"/>
      <c r="X141" s="1755"/>
      <c r="Y141" s="1913"/>
      <c r="Z141" s="1758"/>
      <c r="AA141" s="1761"/>
      <c r="AB141" s="1758"/>
      <c r="AC141" s="1758"/>
      <c r="AD141" s="1758"/>
    </row>
    <row customHeight="1" ht="9">
      <c r="A142" s="1757"/>
      <c r="B142" s="1757"/>
      <c r="C142" s="1755"/>
      <c r="D142" s="1755"/>
      <c r="E142" s="1755"/>
      <c r="F142" s="1755"/>
      <c r="G142" s="1755"/>
      <c r="H142" s="1803"/>
      <c r="I142" s="1803"/>
      <c r="J142" s="1803"/>
      <c r="K142" s="1803"/>
      <c r="L142" s="1803"/>
      <c r="M142" s="1755"/>
      <c r="N142" s="1802"/>
      <c r="O142" s="1755"/>
      <c r="P142" s="1755"/>
      <c r="Q142" s="1755"/>
      <c r="R142" s="1755"/>
      <c r="S142" s="1755"/>
      <c r="T142" s="1755"/>
      <c r="U142" s="1755"/>
      <c r="V142" s="1755"/>
      <c r="W142" s="1755"/>
      <c r="X142" s="1755"/>
      <c r="Y142" s="1913"/>
      <c r="Z142" s="1758"/>
      <c r="AA142" s="1761"/>
      <c r="AB142" s="1758"/>
      <c r="AC142" s="1758"/>
      <c r="AD142" s="1758"/>
    </row>
    <row customHeight="1" ht="9">
      <c r="A143" s="1757"/>
      <c r="B143" s="1757"/>
      <c r="C143" s="1755"/>
      <c r="D143" s="1755"/>
      <c r="E143" s="1755"/>
      <c r="F143" s="1755"/>
      <c r="G143" s="1755"/>
      <c r="H143" s="1803"/>
      <c r="I143" s="1803"/>
      <c r="J143" s="1803"/>
      <c r="K143" s="1803"/>
      <c r="L143" s="1803"/>
      <c r="M143" s="1755"/>
      <c r="N143" s="1802"/>
      <c r="O143" s="1755"/>
      <c r="P143" s="1755"/>
      <c r="Q143" s="1755"/>
      <c r="R143" s="1755"/>
      <c r="S143" s="1755"/>
      <c r="T143" s="1755"/>
      <c r="U143" s="1755"/>
      <c r="V143" s="1755"/>
      <c r="W143" s="1755"/>
      <c r="X143" s="1755"/>
      <c r="Y143" s="1913"/>
      <c r="Z143" s="1758"/>
      <c r="AA143" s="1761"/>
      <c r="AB143" s="1758"/>
      <c r="AC143" s="1758"/>
      <c r="AD143" s="1758"/>
    </row>
    <row customHeight="1" ht="9">
      <c r="A144" s="1757"/>
      <c r="B144" s="1757"/>
      <c r="C144" s="1755"/>
      <c r="D144" s="1755"/>
      <c r="E144" s="1755"/>
      <c r="F144" s="1755"/>
      <c r="G144" s="1755"/>
      <c r="H144" s="1803"/>
      <c r="I144" s="1803"/>
      <c r="J144" s="1803"/>
      <c r="K144" s="1803"/>
      <c r="L144" s="1803"/>
      <c r="M144" s="1755"/>
      <c r="N144" s="1802"/>
      <c r="O144" s="1755"/>
      <c r="P144" s="1755"/>
      <c r="Q144" s="1755"/>
      <c r="R144" s="1755"/>
      <c r="S144" s="1755"/>
      <c r="T144" s="1755"/>
      <c r="U144" s="1755"/>
      <c r="V144" s="1755"/>
      <c r="W144" s="1755"/>
      <c r="X144" s="1755"/>
      <c r="Y144" s="1913"/>
      <c r="Z144" s="1758"/>
      <c r="AA144" s="1761"/>
      <c r="AB144" s="1758"/>
      <c r="AC144" s="1758"/>
      <c r="AD144" s="1758"/>
    </row>
    <row customHeight="1" ht="9">
      <c r="A145" s="1757"/>
      <c r="B145" s="1757"/>
      <c r="C145" s="1755"/>
      <c r="D145" s="1755"/>
      <c r="E145" s="1755"/>
      <c r="F145" s="1755"/>
      <c r="G145" s="1755"/>
      <c r="H145" s="1803"/>
      <c r="I145" s="1803"/>
      <c r="J145" s="1803"/>
      <c r="K145" s="1803"/>
      <c r="L145" s="1803"/>
      <c r="M145" s="1755"/>
      <c r="N145" s="1802"/>
      <c r="O145" s="1755"/>
      <c r="P145" s="1755"/>
      <c r="Q145" s="1755"/>
      <c r="R145" s="1755"/>
      <c r="S145" s="1755"/>
      <c r="T145" s="1755"/>
      <c r="U145" s="1755"/>
      <c r="V145" s="1755"/>
      <c r="W145" s="1755"/>
      <c r="X145" s="1755"/>
      <c r="Y145" s="1913"/>
      <c r="Z145" s="1758"/>
      <c r="AA145" s="1761"/>
      <c r="AB145" s="1758"/>
      <c r="AC145" s="1758"/>
      <c r="AD145" s="1758"/>
    </row>
    <row customHeight="1" ht="9">
      <c r="A146" s="1757"/>
      <c r="B146" s="1757"/>
      <c r="C146" s="1755"/>
      <c r="D146" s="1755"/>
      <c r="E146" s="1755"/>
      <c r="F146" s="1755"/>
      <c r="G146" s="1755"/>
      <c r="H146" s="1803"/>
      <c r="I146" s="1803"/>
      <c r="J146" s="1803"/>
      <c r="K146" s="1803"/>
      <c r="L146" s="1803"/>
      <c r="M146" s="1755"/>
      <c r="N146" s="1802"/>
      <c r="O146" s="1755"/>
      <c r="P146" s="1755"/>
      <c r="Q146" s="1755"/>
      <c r="R146" s="1755"/>
      <c r="S146" s="1755"/>
      <c r="T146" s="1755"/>
      <c r="U146" s="1755"/>
      <c r="V146" s="1755"/>
      <c r="W146" s="1755"/>
      <c r="X146" s="1755"/>
      <c r="Y146" s="1913"/>
      <c r="Z146" s="1758"/>
      <c r="AA146" s="1761"/>
      <c r="AB146" s="1758"/>
      <c r="AC146" s="1758"/>
      <c r="AD146" s="1758"/>
    </row>
    <row customHeight="1" ht="9">
      <c r="A147" s="1757"/>
      <c r="B147" s="1757"/>
      <c r="C147" s="1757"/>
      <c r="D147" s="1757"/>
      <c r="E147" s="1757"/>
      <c r="F147" s="1757"/>
      <c r="G147" s="1757"/>
      <c r="H147" s="1757"/>
      <c r="I147" s="1757"/>
      <c r="J147" s="1757"/>
      <c r="K147" s="1757"/>
      <c r="L147" s="1757"/>
      <c r="M147" s="1757"/>
      <c r="N147" s="1757"/>
      <c r="O147" s="1757"/>
      <c r="P147" s="1757"/>
      <c r="Q147" s="1757"/>
      <c r="R147" s="1757"/>
      <c r="S147" s="1757"/>
      <c r="T147" s="1757"/>
      <c r="U147" s="1757"/>
      <c r="V147" s="1757"/>
      <c r="W147" s="1757"/>
      <c r="X147" s="1757"/>
      <c r="Y147" s="1757"/>
      <c r="Z147" s="1757"/>
      <c r="AA147" s="1757"/>
      <c r="AB147" s="1757"/>
      <c r="AC147" s="1757"/>
      <c r="AD147" s="1757"/>
    </row>
    <row customHeight="1" ht="90">
      <c r="A148" s="1757" t="s">
        <v>1621</v>
      </c>
      <c r="B148" s="1757"/>
      <c r="C148" s="1755" t="s">
        <v>2182</v>
      </c>
      <c r="D148" s="1755" t="s">
        <v>1523</v>
      </c>
      <c r="E148" s="1755" t="s">
        <v>1623</v>
      </c>
      <c r="F148" s="1755" t="s">
        <v>2183</v>
      </c>
      <c r="G148" s="1755"/>
      <c r="H148" s="1755"/>
      <c r="I148" s="1876"/>
      <c r="J148" s="1876"/>
      <c r="K148" s="1876"/>
      <c r="L148" s="1876"/>
      <c r="M148" s="1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760"/>
      <c r="O148" s="1755"/>
      <c r="P148" s="1756"/>
      <c r="Q148" s="1756"/>
      <c r="R148" s="1756"/>
      <c r="S148" s="1755"/>
      <c r="T148" s="1755" t="s">
        <v>2184</v>
      </c>
      <c r="U148" s="1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756"/>
      <c r="W148" s="1756"/>
      <c r="X148" s="1755" t="s">
        <v>2185</v>
      </c>
      <c r="Y148" s="1913"/>
      <c r="Z148" s="1758"/>
      <c r="AA148" s="1761"/>
      <c r="AB148" s="1758"/>
      <c r="AC148" s="1758"/>
      <c r="AD148" s="1758"/>
    </row>
    <row customHeight="1" ht="9">
      <c r="A149" s="1757"/>
      <c r="B149" s="1757"/>
      <c r="C149" s="1757"/>
      <c r="D149" s="1757"/>
      <c r="E149" s="1757"/>
      <c r="F149" s="1757"/>
      <c r="G149" s="1757"/>
      <c r="H149" s="1757"/>
      <c r="I149" s="1757"/>
      <c r="J149" s="1757"/>
      <c r="K149" s="1757"/>
      <c r="L149" s="1757"/>
      <c r="M149" s="1757"/>
      <c r="N149" s="1757"/>
      <c r="O149" s="1757"/>
      <c r="P149" s="1757"/>
      <c r="Q149" s="1757"/>
      <c r="R149" s="1757"/>
      <c r="S149" s="1757"/>
      <c r="T149" s="1757"/>
      <c r="U149" s="1757"/>
      <c r="V149" s="1757"/>
      <c r="W149" s="1757"/>
      <c r="X149" s="1757"/>
      <c r="Y149" s="1757"/>
      <c r="Z149" s="1757"/>
      <c r="AA149" s="1757"/>
      <c r="AB149" s="1757"/>
      <c r="AC149" s="1757"/>
      <c r="AD149" s="1757"/>
    </row>
    <row customHeight="1" ht="9">
      <c r="A150" s="1757" t="s">
        <v>1625</v>
      </c>
      <c r="B150" s="1757"/>
      <c r="C150" s="1755"/>
      <c r="D150" s="1755"/>
      <c r="E150" s="1755"/>
      <c r="F150" s="1755"/>
      <c r="G150" s="1755"/>
      <c r="H150" s="1755"/>
      <c r="I150" s="1755"/>
      <c r="J150" s="1755"/>
      <c r="K150" s="1755"/>
      <c r="L150" s="1755"/>
      <c r="M150" s="1755"/>
      <c r="N150" s="1755"/>
      <c r="O150" s="1755"/>
      <c r="P150" s="1755"/>
      <c r="Q150" s="1755"/>
      <c r="R150" s="1755"/>
      <c r="S150" s="1755"/>
      <c r="T150" s="1755"/>
      <c r="U150" s="1755"/>
      <c r="V150" s="1755"/>
      <c r="W150" s="1755"/>
      <c r="X150" s="1755"/>
      <c r="Y150" s="1913"/>
      <c r="Z150" s="1758"/>
      <c r="AA150" s="1761"/>
      <c r="AB150" s="1758"/>
      <c r="AC150" s="1758"/>
      <c r="AD150" s="1758"/>
    </row>
    <row customHeight="1" ht="9">
      <c r="A151" s="1757"/>
      <c r="B151" s="1757"/>
      <c r="C151" s="1757"/>
      <c r="D151" s="1757"/>
      <c r="E151" s="1757"/>
      <c r="F151" s="1757"/>
      <c r="G151" s="1757"/>
      <c r="H151" s="1757"/>
      <c r="I151" s="1757"/>
      <c r="J151" s="1757"/>
      <c r="K151" s="1757"/>
      <c r="L151" s="1757"/>
      <c r="M151" s="1757"/>
      <c r="N151" s="1757"/>
      <c r="O151" s="1757"/>
      <c r="P151" s="1757"/>
      <c r="Q151" s="1757"/>
      <c r="R151" s="1757"/>
      <c r="S151" s="1757"/>
      <c r="T151" s="1757"/>
      <c r="U151" s="1757"/>
      <c r="V151" s="1757"/>
      <c r="W151" s="1757"/>
      <c r="X151" s="1757"/>
      <c r="Y151" s="1757"/>
      <c r="Z151" s="1757"/>
      <c r="AA151" s="1757"/>
      <c r="AB151" s="1757"/>
      <c r="AC151" s="1757"/>
      <c r="AD151" s="1757"/>
    </row>
    <row customHeight="1" ht="9">
      <c r="A152" s="1757" t="s">
        <v>1628</v>
      </c>
      <c r="B152" s="1757"/>
      <c r="C152" s="1755"/>
      <c r="D152" s="1755"/>
      <c r="E152" s="1755"/>
      <c r="F152" s="1755"/>
      <c r="G152" s="1755"/>
      <c r="H152" s="1755"/>
      <c r="I152" s="1755"/>
      <c r="J152" s="1755"/>
      <c r="K152" s="1755"/>
      <c r="L152" s="1755"/>
      <c r="M152" s="1755"/>
      <c r="N152" s="1755"/>
      <c r="O152" s="1755"/>
      <c r="P152" s="1755"/>
      <c r="Q152" s="1755"/>
      <c r="R152" s="1755"/>
      <c r="S152" s="1755"/>
      <c r="T152" s="1755"/>
      <c r="U152" s="1755"/>
      <c r="V152" s="1755"/>
      <c r="W152" s="1755"/>
      <c r="X152" s="1755"/>
      <c r="Y152" s="1913"/>
      <c r="Z152" s="1758"/>
      <c r="AA152" s="1761"/>
      <c r="AB152" s="1758"/>
      <c r="AC152" s="1758"/>
      <c r="AD152" s="1758"/>
    </row>
    <row customHeight="1" ht="9">
      <c r="A153" s="1757"/>
      <c r="B153" s="1757"/>
      <c r="C153" s="1757"/>
      <c r="D153" s="1757"/>
      <c r="E153" s="1757"/>
      <c r="F153" s="1757"/>
      <c r="G153" s="1757"/>
      <c r="H153" s="1757"/>
      <c r="I153" s="1757"/>
      <c r="J153" s="1757"/>
      <c r="K153" s="1757"/>
      <c r="L153" s="1757"/>
      <c r="M153" s="1757"/>
      <c r="N153" s="1757"/>
      <c r="O153" s="1757"/>
      <c r="P153" s="1757"/>
      <c r="Q153" s="1757"/>
      <c r="R153" s="1757"/>
      <c r="S153" s="1757"/>
      <c r="T153" s="1757"/>
      <c r="U153" s="1757"/>
      <c r="V153" s="1757"/>
      <c r="W153" s="1757"/>
      <c r="X153" s="1757"/>
      <c r="Y153" s="1757"/>
      <c r="Z153" s="1757"/>
      <c r="AA153" s="1757"/>
      <c r="AB153" s="1757"/>
      <c r="AC153" s="1757"/>
      <c r="AD153" s="1757"/>
    </row>
    <row customHeight="1" ht="9">
      <c r="A154" s="1757" t="s">
        <v>1633</v>
      </c>
      <c r="B154" s="1757"/>
      <c r="C154" s="1755"/>
      <c r="D154" s="1755"/>
      <c r="E154" s="1755"/>
      <c r="F154" s="1755"/>
      <c r="G154" s="1755"/>
      <c r="H154" s="1755"/>
      <c r="I154" s="1755"/>
      <c r="J154" s="1755"/>
      <c r="K154" s="1755"/>
      <c r="L154" s="1755"/>
      <c r="M154" s="1755"/>
      <c r="N154" s="1755"/>
      <c r="O154" s="1755"/>
      <c r="P154" s="1755"/>
      <c r="Q154" s="1755"/>
      <c r="R154" s="1755"/>
      <c r="S154" s="1755"/>
      <c r="T154" s="1755"/>
      <c r="U154" s="1755"/>
      <c r="V154" s="1755"/>
      <c r="W154" s="1755"/>
      <c r="X154" s="1755"/>
      <c r="Y154" s="1913"/>
      <c r="Z154" s="1758"/>
      <c r="AA154" s="1761"/>
      <c r="AB154" s="1758"/>
      <c r="AC154" s="1758"/>
      <c r="AD154" s="175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9FF9D-539F-B7F3-B101-5B70978F6DF5}"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40129" width="10.57421875" hidden="1"/>
    <col min="2" max="2" style="40129" width="11.00390625" hidden="1" customWidth="1"/>
    <col min="3" max="3" style="40129" width="10.57421875" hidden="1"/>
    <col min="4" max="4" style="40129" width="11.8515625" hidden="1" customWidth="1"/>
    <col min="5" max="5" style="40129" width="12.28125" hidden="1" customWidth="1"/>
    <col min="6" max="8" style="40211" width="12.28125" hidden="1" customWidth="1"/>
    <col min="9" max="9" style="42038" width="3.7109375" customWidth="1"/>
    <col min="10" max="11" style="40213" width="3.7109375" customWidth="1"/>
    <col min="12" max="12" style="40214" width="12.7109375" customWidth="1"/>
    <col min="13" max="13" style="40215" width="32.00390625" customWidth="1"/>
    <col min="14" max="14" style="40215" width="1.7109375" customWidth="1"/>
    <col min="15" max="18" style="40215" width="24.7109375" customWidth="1"/>
    <col min="19" max="19" style="40215" width="11.7109375" customWidth="1"/>
    <col min="20" max="20" style="40215" width="3.7109375" customWidth="1"/>
    <col min="21" max="21" style="40215" width="11.7109375" customWidth="1"/>
    <col min="22" max="22" style="40215" width="8.57421875" customWidth="1"/>
    <col min="23" max="23" style="40215" width="4.7109375" customWidth="1"/>
    <col min="24" max="24" style="40215" width="115.7109375" customWidth="1"/>
    <col min="25" max="26" style="40202" width="10.57421875"/>
    <col min="27" max="27" style="40202" width="11.140625" customWidth="1"/>
    <col min="28" max="29" style="40202" width="10.57421875"/>
  </cols>
  <sheetData>
    <row customHeight="1" ht="14.25" hidden="1">
      <c r="R1" s="1239"/>
      <c r="S1" s="1239"/>
    </row>
    <row customHeight="1" ht="14.25" hidden="1">
      <c r="V2" s="1239"/>
    </row>
    <row customHeight="1" ht="14.25" hidden="1"/>
    <row customHeight="1" ht="14.25">
      <c r="J4" s="1288"/>
      <c r="K4" s="1288"/>
      <c r="L4" s="2190"/>
      <c r="M4" s="1275"/>
      <c r="N4" s="1275"/>
      <c r="O4" s="1421"/>
      <c r="P4" s="1421"/>
      <c r="Q4" s="1421"/>
      <c r="R4" s="1421"/>
      <c r="S4" s="1421"/>
      <c r="T4" s="1421"/>
      <c r="U4" s="1421"/>
      <c r="V4" s="1421"/>
    </row>
    <row customHeight="1" ht="64.5">
      <c r="J5" s="1288"/>
      <c r="K5" s="1288"/>
      <c r="L5" s="3410" t="s">
        <v>2186</v>
      </c>
      <c r="M5" s="3410"/>
      <c r="N5" s="3410"/>
      <c r="O5" s="3410"/>
      <c r="P5" s="3410"/>
      <c r="Q5" s="3410"/>
      <c r="R5" s="3410"/>
      <c r="S5" s="3410"/>
      <c r="T5" s="3410"/>
      <c r="U5" s="3410"/>
      <c r="V5" s="2157"/>
    </row>
    <row customHeight="1" ht="14.25">
      <c r="J6" s="1288"/>
      <c r="K6" s="1288"/>
      <c r="L6" s="3411" t="str">
        <f>IF(org=0,"Не определено",org)</f>
        <v>ПАО "ТГК-1" филиал "Невский"</v>
      </c>
      <c r="M6" s="3411"/>
      <c r="N6" s="3411"/>
      <c r="O6" s="3411"/>
      <c r="P6" s="3411"/>
      <c r="Q6" s="3411"/>
      <c r="R6" s="3411"/>
      <c r="S6" s="3411"/>
      <c r="T6" s="3411"/>
      <c r="U6" s="3411"/>
      <c r="V6" s="2157"/>
    </row>
    <row customHeight="1" ht="14.25">
      <c r="J7" s="1288"/>
      <c r="K7" s="1288"/>
      <c r="L7" s="2190"/>
      <c r="M7" s="1275"/>
      <c r="N7" s="1275"/>
      <c r="O7" s="1234"/>
      <c r="P7" s="1234"/>
      <c r="Q7" s="1234"/>
      <c r="R7" s="1234"/>
      <c r="S7" s="1234"/>
      <c r="T7" s="1234"/>
      <c r="U7" s="1234"/>
      <c r="V7" s="1234"/>
      <c r="W7" s="1421"/>
    </row>
    <row s="40143" customFormat="1" customHeight="1" ht="45">
      <c r="A8" s="2283"/>
      <c r="B8" s="2283"/>
      <c r="C8" s="2283"/>
      <c r="D8" s="2283"/>
      <c r="E8" s="2283"/>
      <c r="F8" s="2283"/>
      <c r="G8" s="2283"/>
      <c r="H8" s="2283"/>
      <c r="L8" s="2191"/>
      <c r="M8" s="1207" t="s">
        <v>37</v>
      </c>
      <c r="N8" s="1216"/>
      <c r="O8" s="3075" t="str">
        <f>IF(TITLE_NAME_OR_PR_CHANGE="",IF(TITLE_NAME_OR_PR="","",TITLE_NAME_OR_PR),TITLE_NAME_OR_PR_CHANGE)</f>
        <v/>
      </c>
      <c r="P8" s="3075"/>
      <c r="Q8" s="3075"/>
      <c r="R8" s="3075"/>
      <c r="S8" s="3075"/>
      <c r="T8" s="3075"/>
      <c r="U8" s="3075"/>
      <c r="V8" s="1238"/>
      <c r="W8" s="1238"/>
      <c r="X8" s="1192"/>
      <c r="Y8" s="1280"/>
      <c r="Z8" s="1280"/>
      <c r="AA8" s="1280"/>
      <c r="AB8" s="1280"/>
      <c r="AC8" s="1280"/>
    </row>
    <row s="40143" customFormat="1" customHeight="1" ht="22.5">
      <c r="A9" s="2283"/>
      <c r="B9" s="2283"/>
      <c r="C9" s="2283"/>
      <c r="D9" s="2283"/>
      <c r="E9" s="2283"/>
      <c r="F9" s="2283"/>
      <c r="G9" s="2283"/>
      <c r="H9" s="2283"/>
      <c r="L9" s="2191"/>
      <c r="M9" s="1207" t="s">
        <v>414</v>
      </c>
      <c r="N9" s="1216"/>
      <c r="O9" s="3075" t="str">
        <f>IF(TITLE_DATE_CHANGE_PERIOD="",IF(TITLE_DATE_PR="","",TITLE_DATE_PR),TITLE_DATE_CHANGE_PERIOD)</f>
        <v/>
      </c>
      <c r="P9" s="3075"/>
      <c r="Q9" s="3075"/>
      <c r="R9" s="3075"/>
      <c r="S9" s="3075"/>
      <c r="T9" s="3075"/>
      <c r="U9" s="3075"/>
      <c r="V9" s="1238"/>
      <c r="W9" s="1238"/>
      <c r="X9" s="1192"/>
      <c r="Y9" s="1280"/>
      <c r="Z9" s="1280"/>
      <c r="AA9" s="1280"/>
      <c r="AB9" s="1280"/>
      <c r="AC9" s="1280"/>
    </row>
    <row s="40143" customFormat="1" customHeight="1" ht="22.5">
      <c r="A10" s="2283"/>
      <c r="B10" s="2283"/>
      <c r="C10" s="2283"/>
      <c r="D10" s="2283"/>
      <c r="E10" s="2283"/>
      <c r="F10" s="2283"/>
      <c r="G10" s="2283"/>
      <c r="H10" s="2283"/>
      <c r="L10" s="2164"/>
      <c r="M10" s="1207" t="s">
        <v>415</v>
      </c>
      <c r="N10" s="1216"/>
      <c r="O10" s="3075" t="str">
        <f>IF(TITLE_NUMBER_PR_CHANGE="",IF(TITLE_NUMBER_PR="","",TITLE_NUMBER_PR),TITLE_NUMBER_PR_CHANGE)</f>
        <v/>
      </c>
      <c r="P10" s="3075"/>
      <c r="Q10" s="3075"/>
      <c r="R10" s="3075"/>
      <c r="S10" s="3075"/>
      <c r="T10" s="3075"/>
      <c r="U10" s="3075"/>
      <c r="V10" s="1238"/>
      <c r="W10" s="1238"/>
      <c r="X10" s="1192"/>
      <c r="Y10" s="1280"/>
      <c r="Z10" s="1280"/>
      <c r="AA10" s="1280"/>
      <c r="AB10" s="1280"/>
      <c r="AC10" s="1280"/>
    </row>
    <row s="40143" customFormat="1" customHeight="1" ht="22.5">
      <c r="A11" s="2283"/>
      <c r="B11" s="2283"/>
      <c r="C11" s="2283"/>
      <c r="D11" s="2283"/>
      <c r="E11" s="2283"/>
      <c r="F11" s="2283"/>
      <c r="G11" s="2283"/>
      <c r="H11" s="2283"/>
      <c r="L11" s="2164"/>
      <c r="M11" s="1207" t="s">
        <v>38</v>
      </c>
      <c r="N11" s="1216"/>
      <c r="O11" s="3075" t="str">
        <f>IF(TITLE_IST_PUB_CHANGE="",IF(TITLE_IST_PUB="","",TITLE_IST_PUB),TITLE_IST_PUB_CHANGE)</f>
        <v/>
      </c>
      <c r="P11" s="3075"/>
      <c r="Q11" s="3075"/>
      <c r="R11" s="3075"/>
      <c r="S11" s="3075"/>
      <c r="T11" s="3075"/>
      <c r="U11" s="3075"/>
      <c r="V11" s="1238"/>
      <c r="W11" s="1238"/>
      <c r="X11" s="1192"/>
      <c r="Y11" s="1280"/>
      <c r="Z11" s="1280"/>
      <c r="AA11" s="1280"/>
      <c r="AB11" s="1280"/>
      <c r="AC11" s="1280"/>
    </row>
    <row s="40143" customFormat="1" customHeight="1" ht="11.25" hidden="1">
      <c r="A12" s="2283"/>
      <c r="B12" s="2283"/>
      <c r="C12" s="2283"/>
      <c r="D12" s="2283"/>
      <c r="E12" s="2283"/>
      <c r="F12" s="2283"/>
      <c r="G12" s="2283"/>
      <c r="H12" s="2283"/>
      <c r="L12" s="3412"/>
      <c r="M12" s="3412"/>
      <c r="N12" s="2202"/>
      <c r="O12" s="1238"/>
      <c r="P12" s="1238"/>
      <c r="Q12" s="1238"/>
      <c r="R12" s="1238"/>
      <c r="S12" s="1238"/>
      <c r="T12" s="1238"/>
      <c r="U12" s="1238"/>
      <c r="V12" s="1190" t="s">
        <v>418</v>
      </c>
      <c r="Y12" s="1280"/>
      <c r="Z12" s="1280"/>
      <c r="AA12" s="1280"/>
      <c r="AB12" s="1280"/>
      <c r="AC12" s="1280"/>
    </row>
    <row customHeight="1" ht="14.25">
      <c r="J13" s="1288"/>
      <c r="K13" s="1288"/>
      <c r="L13" s="2190"/>
      <c r="M13" s="1275"/>
      <c r="N13" s="2158"/>
      <c r="O13" s="3076"/>
      <c r="P13" s="3076"/>
      <c r="Q13" s="3076"/>
      <c r="R13" s="3076"/>
      <c r="S13" s="3076"/>
      <c r="T13" s="3076"/>
      <c r="U13" s="3076"/>
      <c r="V13" s="3076"/>
    </row>
    <row customHeight="1" ht="14.25">
      <c r="J14" s="1288"/>
      <c r="K14" s="1288"/>
      <c r="L14" s="2953" t="s">
        <v>291</v>
      </c>
      <c r="M14" s="2953"/>
      <c r="N14" s="2953"/>
      <c r="O14" s="2953"/>
      <c r="P14" s="2953"/>
      <c r="Q14" s="2953"/>
      <c r="R14" s="2953"/>
      <c r="S14" s="2953"/>
      <c r="T14" s="2953"/>
      <c r="U14" s="2953"/>
      <c r="V14" s="2953"/>
      <c r="W14" s="2953"/>
      <c r="X14" s="2953" t="s">
        <v>292</v>
      </c>
    </row>
    <row customHeight="1" ht="14.25">
      <c r="J15" s="1288"/>
      <c r="K15" s="1288"/>
      <c r="L15" s="3097" t="s">
        <v>84</v>
      </c>
      <c r="M15" s="3033" t="s">
        <v>419</v>
      </c>
      <c r="N15" s="1213"/>
      <c r="O15" s="3098" t="s">
        <v>2187</v>
      </c>
      <c r="P15" s="3099"/>
      <c r="Q15" s="3099"/>
      <c r="R15" s="3099"/>
      <c r="S15" s="3099"/>
      <c r="T15" s="3099"/>
      <c r="U15" s="3100"/>
      <c r="V15" s="3101" t="s">
        <v>421</v>
      </c>
      <c r="W15" s="3104" t="s">
        <v>1120</v>
      </c>
      <c r="X15" s="2953"/>
    </row>
    <row customHeight="1" ht="33.75">
      <c r="J16" s="1288"/>
      <c r="K16" s="1288"/>
      <c r="L16" s="3097"/>
      <c r="M16" s="3033"/>
      <c r="N16" s="1944"/>
      <c r="O16" s="3084" t="s">
        <v>424</v>
      </c>
      <c r="P16" s="3084" t="s">
        <v>425</v>
      </c>
      <c r="Q16" s="3086" t="s">
        <v>426</v>
      </c>
      <c r="R16" s="3087"/>
      <c r="S16" s="3086" t="s">
        <v>440</v>
      </c>
      <c r="T16" s="3093"/>
      <c r="U16" s="3087"/>
      <c r="V16" s="3102"/>
      <c r="W16" s="3105"/>
      <c r="X16" s="2953"/>
    </row>
    <row customHeight="1" ht="33.75">
      <c r="A17" s="2285" t="s">
        <v>127</v>
      </c>
      <c r="B17" s="2285" t="s">
        <v>128</v>
      </c>
      <c r="C17" s="2285" t="s">
        <v>129</v>
      </c>
      <c r="D17" s="2285" t="s">
        <v>130</v>
      </c>
      <c r="E17" s="2285"/>
      <c r="J17" s="1288"/>
      <c r="K17" s="1288"/>
      <c r="L17" s="3097"/>
      <c r="M17" s="3033"/>
      <c r="N17" s="1214"/>
      <c r="O17" s="3085"/>
      <c r="P17" s="3085"/>
      <c r="Q17" s="2136" t="s">
        <v>435</v>
      </c>
      <c r="R17" s="2136" t="s">
        <v>436</v>
      </c>
      <c r="S17" s="2207" t="s">
        <v>437</v>
      </c>
      <c r="T17" s="3094" t="s">
        <v>438</v>
      </c>
      <c r="U17" s="3095"/>
      <c r="V17" s="3103"/>
      <c r="W17" s="3106"/>
      <c r="X17" s="2953"/>
    </row>
    <row s="39960" customFormat="1" customHeight="1" ht="11.25">
      <c r="A18" s="2285"/>
      <c r="B18" s="2285"/>
      <c r="C18" s="2285"/>
      <c r="D18" s="2285"/>
      <c r="E18" s="2285"/>
      <c r="F18" s="2277"/>
      <c r="G18" s="2277"/>
      <c r="H18" s="2277"/>
      <c r="I18" s="2160"/>
      <c r="J18" s="2161"/>
      <c r="K18" s="2168">
        <v>1</v>
      </c>
      <c r="L18" s="2192" t="s">
        <v>102</v>
      </c>
      <c r="M18" s="2169" t="s">
        <v>103</v>
      </c>
      <c r="N18" s="2159" t="str">
        <f>OFFSET(N18,0,-1)</f>
        <v>2</v>
      </c>
      <c r="O18" s="2204">
        <f>OFFSET(O18,0,-1)+1</f>
        <v>3</v>
      </c>
      <c r="P18" s="2204"/>
      <c r="Q18" s="2204">
        <f>OFFSET(Q18,0,-1)+1</f>
        <v>1</v>
      </c>
      <c r="R18" s="2204">
        <f>OFFSET(R18,0,-1)+1</f>
        <v>2</v>
      </c>
      <c r="S18" s="2204">
        <f>OFFSET(S18,0,-1)+1</f>
        <v>3</v>
      </c>
      <c r="T18" s="3096">
        <f>OFFSET(T18,0,-1)+1</f>
        <v>4</v>
      </c>
      <c r="U18" s="3096"/>
      <c r="V18" s="2204">
        <f>OFFSET(V18,0,-2)+1</f>
        <v>5</v>
      </c>
      <c r="W18" s="2159">
        <f>OFFSET(W18,0,-1)</f>
        <v>5</v>
      </c>
      <c r="X18" s="2204">
        <f>OFFSET(X18,0,-1)+1</f>
        <v>6</v>
      </c>
      <c r="Y18" s="1423"/>
      <c r="Z18" s="1423"/>
      <c r="AA18" s="1423"/>
      <c r="AB18" s="1423"/>
      <c r="AC18" s="1423"/>
    </row>
    <row customHeight="1" ht="21">
      <c r="A19" s="2278" t="s">
        <v>161</v>
      </c>
      <c r="B19" s="2278" t="s">
        <v>162</v>
      </c>
      <c r="C19" s="2278" t="s">
        <v>163</v>
      </c>
      <c r="D19" s="2278" t="s">
        <v>164</v>
      </c>
      <c r="E19" s="2278"/>
      <c r="F19" s="2280"/>
      <c r="G19" s="2280"/>
      <c r="H19" s="2280"/>
      <c r="I19" s="1273"/>
      <c r="J19" s="1272"/>
      <c r="K19" s="1267"/>
      <c r="L19" s="2208">
        <f>INDEX(PT_DIFFERENTIATION_NUM_NTAR,MATCH(A19,PT_DIFFERENTIATION_NTAR_ID,0))</f>
        <v>0</v>
      </c>
      <c r="M19" s="1210" t="s">
        <v>116</v>
      </c>
      <c r="N19" s="1212"/>
      <c r="O19" s="3413" t="str">
        <f>INDEX(PT_DIFFERENTIATION_NTAR,MATCH(A19,PT_DIFFERENTIATION_NTAR_ID,0))</f>
        <v/>
      </c>
      <c r="P19" s="3413"/>
      <c r="Q19" s="3413"/>
      <c r="R19" s="3413"/>
      <c r="S19" s="3413"/>
      <c r="T19" s="3413"/>
      <c r="U19" s="3413"/>
      <c r="V19" s="3413"/>
      <c r="W19" s="3413"/>
      <c r="X19" s="2172" t="s">
        <v>387</v>
      </c>
      <c r="Z19" s="1412"/>
      <c r="AA19" s="1412" t="str">
        <f>IF(M19="","",M19)</f>
        <v>Наименование тарифа</v>
      </c>
      <c r="AB19" s="1412"/>
      <c r="AC19" s="1412"/>
    </row>
    <row customHeight="1" ht="21">
      <c r="A20" s="2278" t="s">
        <v>161</v>
      </c>
      <c r="B20" s="2278" t="s">
        <v>162</v>
      </c>
      <c r="C20" s="2278" t="s">
        <v>163</v>
      </c>
      <c r="D20" s="2278" t="s">
        <v>164</v>
      </c>
      <c r="E20" s="2278"/>
      <c r="F20" s="2280"/>
      <c r="G20" s="2280"/>
      <c r="H20" s="2280"/>
      <c r="I20" s="2205"/>
      <c r="J20" s="1264"/>
      <c r="K20" s="1265"/>
      <c r="L20" s="2208" t="str">
        <f>INDEX(PT_DIFFERENTIATION_NUM_TER,MATCH(B19,PT_DIFFERENTIATION_TER_ID,0))</f>
        <v>.</v>
      </c>
      <c r="M20" s="1220" t="s">
        <v>388</v>
      </c>
      <c r="N20" s="1212"/>
      <c r="O20" s="3413" t="str">
        <f>INDEX(PT_DIFFERENTIATION_TER,MATCH(B19,PT_DIFFERENTIATION_TER_ID,0))</f>
        <v/>
      </c>
      <c r="P20" s="3413"/>
      <c r="Q20" s="3413"/>
      <c r="R20" s="3413"/>
      <c r="S20" s="3413"/>
      <c r="T20" s="3413"/>
      <c r="U20" s="3413"/>
      <c r="V20" s="3413"/>
      <c r="W20" s="3413"/>
      <c r="X20" s="2172" t="s">
        <v>389</v>
      </c>
      <c r="Z20" s="1412"/>
      <c r="AA20" s="1412" t="str">
        <f>IF(M20="","",M20)</f>
        <v>Территория действия тарифа</v>
      </c>
      <c r="AB20" s="1412"/>
      <c r="AC20" s="1412"/>
    </row>
    <row customHeight="1" ht="22.5">
      <c r="A21" s="2278" t="s">
        <v>161</v>
      </c>
      <c r="B21" s="2278" t="s">
        <v>162</v>
      </c>
      <c r="C21" s="2278" t="s">
        <v>163</v>
      </c>
      <c r="D21" s="2278" t="s">
        <v>164</v>
      </c>
      <c r="E21" s="2278"/>
      <c r="F21" s="2280"/>
      <c r="G21" s="2280"/>
      <c r="H21" s="2280"/>
      <c r="I21" s="1266"/>
      <c r="J21" s="1264"/>
      <c r="K21" s="1265"/>
      <c r="L21" s="2208" t="str">
        <f>INDEX(PT_DIFFERENTIATION_NUM_CS,MATCH(C19,PT_DIFFERENTIATION_CS_ID,0))</f>
        <v>..</v>
      </c>
      <c r="M21" s="1221" t="s">
        <v>390</v>
      </c>
      <c r="N21" s="1212"/>
      <c r="O21" s="3413" t="str">
        <f>INDEX(PT_DIFFERENTIATION_CS,MATCH(C19,PT_DIFFERENTIATION_CS_ID,0))</f>
        <v/>
      </c>
      <c r="P21" s="3413"/>
      <c r="Q21" s="3413"/>
      <c r="R21" s="3413"/>
      <c r="S21" s="3413"/>
      <c r="T21" s="3413"/>
      <c r="U21" s="3413"/>
      <c r="V21" s="3413"/>
      <c r="W21" s="3413"/>
      <c r="X21" s="2172" t="s">
        <v>391</v>
      </c>
      <c r="Z21" s="1412"/>
      <c r="AA21" s="1412" t="str">
        <f>IF(M21="","",M21)</f>
        <v>Наименование системы теплоснабжения </v>
      </c>
      <c r="AB21" s="1412"/>
      <c r="AC21" s="1412"/>
    </row>
    <row customHeight="1" ht="21">
      <c r="A22" s="2278" t="s">
        <v>161</v>
      </c>
      <c r="B22" s="2278" t="s">
        <v>162</v>
      </c>
      <c r="C22" s="2278" t="s">
        <v>163</v>
      </c>
      <c r="D22" s="2278" t="s">
        <v>164</v>
      </c>
      <c r="E22" s="2278"/>
      <c r="F22" s="2280"/>
      <c r="G22" s="2280"/>
      <c r="H22" s="2280"/>
      <c r="I22" s="1266"/>
      <c r="J22" s="1264"/>
      <c r="K22" s="1265"/>
      <c r="L22" s="2208" t="str">
        <f>INDEX(PT_DIFFERENTIATION_NUM_IST_TE,MATCH(D19,PT_DIFFERENTIATION_IST_TE_ID,0))</f>
        <v>...</v>
      </c>
      <c r="M22" s="1222" t="s">
        <v>392</v>
      </c>
      <c r="N22" s="1212"/>
      <c r="O22" s="3413" t="str">
        <f>INDEX(PT_DIFFERENTIATION_IST_TE,MATCH(D19,PT_DIFFERENTIATION_IST_TE_ID,0))</f>
        <v/>
      </c>
      <c r="P22" s="3413"/>
      <c r="Q22" s="3413"/>
      <c r="R22" s="3413"/>
      <c r="S22" s="3413"/>
      <c r="T22" s="3413"/>
      <c r="U22" s="3413"/>
      <c r="V22" s="3413"/>
      <c r="W22" s="3413"/>
      <c r="X22" s="2172" t="s">
        <v>393</v>
      </c>
      <c r="Z22" s="1412"/>
      <c r="AA22" s="1412" t="str">
        <f>IF(M22="","",M22)</f>
        <v>Источник тепловой энергии  </v>
      </c>
      <c r="AB22" s="1412"/>
      <c r="AC22" s="1412"/>
    </row>
    <row customHeight="1" ht="94.5">
      <c r="A23" s="2278" t="s">
        <v>161</v>
      </c>
      <c r="B23" s="2278" t="s">
        <v>162</v>
      </c>
      <c r="C23" s="2278" t="s">
        <v>163</v>
      </c>
      <c r="D23" s="2278" t="s">
        <v>164</v>
      </c>
      <c r="E23" s="2278"/>
      <c r="F23" s="3414" t="str">
        <f>L22&amp;".1"</f>
        <v>....1</v>
      </c>
      <c r="I23" s="3081">
        <v>1</v>
      </c>
      <c r="J23" s="2206"/>
      <c r="K23" s="1268"/>
      <c r="L23" s="2208" t="str">
        <f>$F$23</f>
        <v>....1</v>
      </c>
      <c r="M23" s="1197" t="s">
        <v>395</v>
      </c>
      <c r="N23" s="1212"/>
      <c r="O23" s="3415"/>
      <c r="P23" s="3415"/>
      <c r="Q23" s="3415"/>
      <c r="R23" s="3415"/>
      <c r="S23" s="3415"/>
      <c r="T23" s="3415"/>
      <c r="U23" s="3415"/>
      <c r="V23" s="3415"/>
      <c r="W23" s="3415"/>
      <c r="X23" s="2172" t="s">
        <v>396</v>
      </c>
      <c r="Z23" s="1412"/>
      <c r="AA23" s="1412" t="str">
        <f>IF(M23="","",M23)</f>
        <v>Схема подключения теплопотребляющей установки к коллектору источника тепловой энергии</v>
      </c>
      <c r="AB23" s="1412"/>
      <c r="AC23" s="1412"/>
    </row>
    <row customHeight="1" ht="84">
      <c r="A24" s="2278" t="s">
        <v>161</v>
      </c>
      <c r="B24" s="2278" t="s">
        <v>162</v>
      </c>
      <c r="C24" s="2278" t="s">
        <v>163</v>
      </c>
      <c r="D24" s="2278" t="s">
        <v>164</v>
      </c>
      <c r="E24" s="2278"/>
      <c r="F24" s="3414"/>
      <c r="G24" s="3041" t="str">
        <f>F23&amp;".1"</f>
        <v>....1.1</v>
      </c>
      <c r="I24" s="3081"/>
      <c r="J24" s="3081">
        <v>1</v>
      </c>
      <c r="K24" s="1269"/>
      <c r="L24" s="2208" t="str">
        <f>$G$24</f>
        <v>....1.1</v>
      </c>
      <c r="M24" s="1198" t="s">
        <v>398</v>
      </c>
      <c r="N24" s="1212"/>
      <c r="O24" s="3416"/>
      <c r="P24" s="3417"/>
      <c r="Q24" s="3417"/>
      <c r="R24" s="3417"/>
      <c r="S24" s="3417"/>
      <c r="T24" s="3417"/>
      <c r="U24" s="3417"/>
      <c r="V24" s="3417"/>
      <c r="W24" s="3418"/>
      <c r="X24" s="2172" t="s">
        <v>399</v>
      </c>
      <c r="Z24" s="1412"/>
      <c r="AA24" s="1412" t="str">
        <f>IF(M24="","",M24)</f>
        <v>Группа потребителей</v>
      </c>
      <c r="AB24" s="1412"/>
      <c r="AC24" s="1412"/>
    </row>
    <row customHeight="1" ht="11.25">
      <c r="A25" s="2278" t="s">
        <v>161</v>
      </c>
      <c r="B25" s="2278" t="s">
        <v>162</v>
      </c>
      <c r="C25" s="2278" t="s">
        <v>163</v>
      </c>
      <c r="D25" s="2278" t="s">
        <v>164</v>
      </c>
      <c r="E25" s="2278"/>
      <c r="F25" s="3414"/>
      <c r="G25" s="3041"/>
      <c r="H25" s="3041" t="str">
        <f>G24&amp;".1"</f>
        <v>....1.1.1</v>
      </c>
      <c r="I25" s="3081"/>
      <c r="J25" s="3081"/>
      <c r="K25" s="1269">
        <v>1</v>
      </c>
      <c r="L25" s="2208" t="str">
        <f>$H$25</f>
        <v>....1.1.1</v>
      </c>
      <c r="M25" s="2173"/>
      <c r="N25" s="1212"/>
      <c r="O25" s="1663"/>
      <c r="P25" s="1237"/>
      <c r="Q25" s="1663"/>
      <c r="R25" s="2171"/>
      <c r="S25" s="3409"/>
      <c r="T25" s="2933" t="s">
        <v>62</v>
      </c>
      <c r="U25" s="3409"/>
      <c r="V25" s="2933" t="s">
        <v>52</v>
      </c>
      <c r="W25" s="1237"/>
      <c r="X25" s="3077" t="s">
        <v>401</v>
      </c>
      <c r="Y25" s="1423">
        <f>STRCHECKDATE(O26:W26)</f>
      </c>
      <c r="Z25" s="1412"/>
      <c r="AA25" s="1412" t="str">
        <f>IF(M25="","",M25)</f>
        <v/>
      </c>
      <c r="AB25" s="1412"/>
      <c r="AC25" s="1412"/>
    </row>
    <row customHeight="1" ht="11.25">
      <c r="A26" s="2278" t="s">
        <v>161</v>
      </c>
      <c r="B26" s="2278" t="s">
        <v>162</v>
      </c>
      <c r="C26" s="2278" t="s">
        <v>163</v>
      </c>
      <c r="D26" s="2278" t="s">
        <v>164</v>
      </c>
      <c r="E26" s="2278"/>
      <c r="F26" s="3414"/>
      <c r="G26" s="3041"/>
      <c r="H26" s="3041"/>
      <c r="I26" s="3081"/>
      <c r="J26" s="3081"/>
      <c r="K26" s="1269"/>
      <c r="L26" s="2209"/>
      <c r="M26" s="1212"/>
      <c r="N26" s="1212"/>
      <c r="O26" s="1237"/>
      <c r="P26" s="1237"/>
      <c r="Q26" s="1237"/>
      <c r="R26" s="1240" t="str">
        <f>S25&amp;"-"&amp;U25</f>
        <v>-</v>
      </c>
      <c r="S26" s="3090"/>
      <c r="T26" s="2933"/>
      <c r="U26" s="3090"/>
      <c r="V26" s="2933"/>
      <c r="W26" s="1237"/>
      <c r="X26" s="3078"/>
      <c r="Z26" s="1412"/>
      <c r="AA26" s="1412" t="str">
        <f>IF(M26="","",M26)</f>
        <v/>
      </c>
      <c r="AB26" s="1412"/>
      <c r="AC26" s="1412"/>
    </row>
    <row customHeight="1" ht="15">
      <c r="A27" s="2278" t="s">
        <v>161</v>
      </c>
      <c r="B27" s="2278" t="s">
        <v>162</v>
      </c>
      <c r="C27" s="2278" t="s">
        <v>163</v>
      </c>
      <c r="D27" s="2278" t="s">
        <v>164</v>
      </c>
      <c r="E27" s="2278"/>
      <c r="F27" s="3414"/>
      <c r="G27" s="3041"/>
      <c r="I27" s="3081"/>
      <c r="J27" s="3081"/>
      <c r="K27" s="1268"/>
      <c r="L27" s="2193"/>
      <c r="M27" s="1200" t="s">
        <v>402</v>
      </c>
      <c r="N27" s="1279"/>
      <c r="O27" s="1279"/>
      <c r="P27" s="1279"/>
      <c r="Q27" s="1279"/>
      <c r="R27" s="1279"/>
      <c r="S27" s="1279"/>
      <c r="T27" s="1279"/>
      <c r="U27" s="1279"/>
      <c r="V27" s="1279"/>
      <c r="W27" s="1236"/>
      <c r="X27" s="3079"/>
      <c r="Z27" s="1412"/>
      <c r="AA27" s="1412" t="str">
        <f>IF(M27="","",M27)</f>
        <v>Добавить вид теплоносителя (параметры теплоносителя)</v>
      </c>
      <c r="AB27" s="1412"/>
      <c r="AC27" s="1412"/>
    </row>
    <row customHeight="1" ht="15">
      <c r="A28" s="2278" t="s">
        <v>161</v>
      </c>
      <c r="B28" s="2278" t="s">
        <v>162</v>
      </c>
      <c r="C28" s="2278" t="s">
        <v>163</v>
      </c>
      <c r="D28" s="2278" t="s">
        <v>164</v>
      </c>
      <c r="E28" s="2278"/>
      <c r="F28" s="3414"/>
      <c r="I28" s="3081"/>
      <c r="J28" s="2206"/>
      <c r="K28" s="1268"/>
      <c r="L28" s="2193"/>
      <c r="M28" s="1199" t="s">
        <v>403</v>
      </c>
      <c r="N28" s="1279"/>
      <c r="O28" s="1279"/>
      <c r="P28" s="1279"/>
      <c r="Q28" s="1279"/>
      <c r="R28" s="1279"/>
      <c r="S28" s="1279"/>
      <c r="T28" s="1279"/>
      <c r="U28" s="1279"/>
      <c r="V28" s="1278"/>
      <c r="W28" s="1279"/>
      <c r="X28" s="1215"/>
      <c r="Z28" s="1412"/>
      <c r="AA28" s="1412" t="str">
        <f>IF(M28="","",M28)</f>
        <v>Добавить группу потребителей</v>
      </c>
      <c r="AB28" s="1412"/>
      <c r="AC28" s="1412"/>
    </row>
    <row customHeight="1" ht="14.25">
      <c r="A29" s="2278" t="s">
        <v>161</v>
      </c>
      <c r="B29" s="2278" t="s">
        <v>162</v>
      </c>
      <c r="C29" s="2278" t="s">
        <v>163</v>
      </c>
      <c r="D29" s="2278" t="s">
        <v>164</v>
      </c>
      <c r="E29" s="2278"/>
      <c r="F29" s="2280"/>
      <c r="G29" s="2280"/>
      <c r="H29" s="1449"/>
      <c r="I29" s="1272"/>
      <c r="J29" s="1287"/>
      <c r="K29" s="1267"/>
      <c r="L29" s="2193"/>
      <c r="M29" s="1277" t="s">
        <v>404</v>
      </c>
      <c r="N29" s="1279"/>
      <c r="O29" s="1279"/>
      <c r="P29" s="1279"/>
      <c r="Q29" s="1279"/>
      <c r="R29" s="1279"/>
      <c r="S29" s="1279"/>
      <c r="T29" s="1279"/>
      <c r="U29" s="1279"/>
      <c r="V29" s="1278"/>
      <c r="W29" s="1279"/>
      <c r="X29" s="1215"/>
      <c r="Z29" s="1412"/>
      <c r="AA29" s="1412" t="str">
        <f>IF(M29="","",M29)</f>
        <v>Добавить схему подключения</v>
      </c>
      <c r="AB29" s="1412"/>
      <c r="AC29" s="1412"/>
    </row>
    <row customHeight="1" ht="14.25">
      <c r="A30" s="2278" t="s">
        <v>161</v>
      </c>
      <c r="B30" s="2278" t="s">
        <v>162</v>
      </c>
      <c r="C30" s="2278" t="s">
        <v>163</v>
      </c>
      <c r="D30" s="2278"/>
      <c r="E30" s="2278" t="s">
        <v>578</v>
      </c>
      <c r="F30" s="2280"/>
      <c r="G30" s="2280"/>
      <c r="H30" s="1449"/>
      <c r="I30" s="1272"/>
      <c r="J30" s="1287"/>
      <c r="K30" s="1267"/>
      <c r="L30" s="2194"/>
      <c r="M30" s="2183"/>
      <c r="N30" s="2184"/>
      <c r="O30" s="2184"/>
      <c r="P30" s="2184"/>
      <c r="Q30" s="2184"/>
      <c r="R30" s="2184"/>
      <c r="S30" s="2184"/>
      <c r="T30" s="2184"/>
      <c r="U30" s="2184"/>
      <c r="V30" s="2185"/>
      <c r="W30" s="2184"/>
      <c r="X30" s="2186"/>
      <c r="Z30" s="1412"/>
      <c r="AA30" s="1412" t="str">
        <f>IF(M30="","",M30)</f>
        <v/>
      </c>
      <c r="AB30" s="1412"/>
      <c r="AC30" s="1412"/>
    </row>
    <row customHeight="1" ht="14.25">
      <c r="A31" s="2278" t="s">
        <v>161</v>
      </c>
      <c r="B31" s="2278" t="s">
        <v>162</v>
      </c>
      <c r="C31" s="2278"/>
      <c r="D31" s="2278"/>
      <c r="E31" s="2278" t="s">
        <v>2188</v>
      </c>
      <c r="F31" s="2432"/>
      <c r="G31" s="2432"/>
      <c r="H31" s="1449"/>
      <c r="I31" s="1270"/>
      <c r="J31" s="1287"/>
      <c r="K31" s="1271"/>
      <c r="L31" s="2194"/>
      <c r="M31" s="2187"/>
      <c r="N31" s="2184"/>
      <c r="O31" s="2184"/>
      <c r="P31" s="2184"/>
      <c r="Q31" s="2184"/>
      <c r="R31" s="2184"/>
      <c r="S31" s="2184"/>
      <c r="T31" s="2184"/>
      <c r="U31" s="2184"/>
      <c r="V31" s="2185"/>
      <c r="W31" s="2184"/>
      <c r="X31" s="2186"/>
      <c r="Z31" s="1412"/>
      <c r="AA31" s="1412" t="str">
        <f>IF(M31="","",M31)</f>
        <v/>
      </c>
      <c r="AB31" s="1412"/>
      <c r="AC31" s="1412"/>
    </row>
    <row customHeight="1" ht="14.25">
      <c r="A32" s="2278" t="s">
        <v>2189</v>
      </c>
      <c r="B32" s="2278"/>
      <c r="C32" s="2278"/>
      <c r="D32" s="2278"/>
      <c r="E32" s="2278" t="s">
        <v>97</v>
      </c>
      <c r="F32" s="2432"/>
      <c r="G32" s="2432"/>
      <c r="H32" s="1449"/>
      <c r="I32" s="1272"/>
      <c r="J32" s="1287"/>
      <c r="K32" s="1267"/>
      <c r="L32" s="2194"/>
      <c r="M32" s="2188"/>
      <c r="N32" s="2184"/>
      <c r="O32" s="2184"/>
      <c r="P32" s="2184"/>
      <c r="Q32" s="2184"/>
      <c r="R32" s="2184"/>
      <c r="S32" s="2184"/>
      <c r="T32" s="2184"/>
      <c r="U32" s="2184"/>
      <c r="V32" s="2185"/>
      <c r="W32" s="2184"/>
      <c r="X32" s="2186"/>
      <c r="Z32" s="1412"/>
      <c r="AA32" s="1412" t="str">
        <f>IF(M32="","",M32)</f>
        <v/>
      </c>
      <c r="AB32" s="1412"/>
      <c r="AC32" s="1412"/>
    </row>
    <row s="42031" customFormat="1" customHeight="1" ht="11.25">
      <c r="A33" s="2278"/>
      <c r="B33" s="2278"/>
      <c r="C33" s="2278"/>
      <c r="D33" s="2278"/>
      <c r="E33" s="2278" t="s">
        <v>439</v>
      </c>
      <c r="F33" s="2433"/>
      <c r="G33" s="2434"/>
      <c r="H33" s="1449"/>
      <c r="L33" s="2195"/>
      <c r="M33" s="2189"/>
      <c r="N33" s="2184"/>
      <c r="O33" s="2184"/>
      <c r="P33" s="2184"/>
      <c r="Q33" s="2184"/>
      <c r="R33" s="2184"/>
      <c r="S33" s="2184"/>
      <c r="T33" s="2184"/>
      <c r="U33" s="2184"/>
      <c r="V33" s="2185"/>
      <c r="W33" s="2184"/>
      <c r="X33" s="2186"/>
      <c r="Y33" s="1291"/>
      <c r="Z33" s="1291"/>
      <c r="AA33" s="1291"/>
      <c r="AB33" s="1291"/>
      <c r="AC33" s="1291"/>
    </row>
    <row customHeight="1" ht="11.25">
      <c r="F34" s="2074"/>
      <c r="G34" s="2074"/>
      <c r="H34" s="1449"/>
      <c r="I34" s="2069"/>
      <c r="J34" s="2069"/>
      <c r="K34" s="2069"/>
      <c r="Y34" s="2069"/>
      <c r="Z34" s="2069"/>
      <c r="AA34" s="2069"/>
      <c r="AB34" s="2069"/>
      <c r="AC34" s="2069"/>
    </row>
    <row customHeight="1" ht="27">
      <c r="H35" s="1449"/>
      <c r="L35" s="2203" t="s">
        <v>710</v>
      </c>
      <c r="M35" s="3109" t="s">
        <v>2190</v>
      </c>
      <c r="N35" s="3109"/>
      <c r="O35" s="3109"/>
      <c r="P35" s="3109"/>
      <c r="Q35" s="3109"/>
      <c r="R35" s="3109"/>
      <c r="S35" s="3109"/>
      <c r="T35" s="3109"/>
      <c r="U35" s="3109"/>
      <c r="V35" s="3109"/>
      <c r="W35" s="3109"/>
      <c r="X35" s="3109"/>
    </row>
    <row customHeight="1" ht="104.25">
      <c r="H36" s="1449"/>
      <c r="I36" s="2218"/>
      <c r="M36" s="3109" t="s">
        <v>2191</v>
      </c>
      <c r="N36" s="3109"/>
      <c r="O36" s="3109"/>
      <c r="P36" s="3109"/>
      <c r="Q36" s="3109"/>
      <c r="R36" s="3109"/>
      <c r="S36" s="3109"/>
      <c r="T36" s="3109"/>
      <c r="U36" s="3109"/>
      <c r="V36" s="3109"/>
      <c r="W36" s="3109"/>
      <c r="X36" s="3109"/>
    </row>
    <row customHeight="1" ht="14.25">
      <c r="H37" s="1449"/>
    </row>
    <row customHeight="1" ht="14.25">
      <c r="H38" s="1449"/>
    </row>
    <row customHeight="1" ht="14.25">
      <c r="H39" s="1449"/>
    </row>
    <row customHeight="1" ht="14.25">
      <c r="H40" s="1449"/>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59CC8B-FFC1-AD66-16C4-AD1194022BC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A730E9-F3EB-CDD4-FE52-F05DDCD25AE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5D3ACF-828B-F85E-9134-63F797D8380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3B18A3-7CCC-0FD5-D115-D072EE1DFBB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52D088-2C35-46AD-481E-2D404B730F5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AB4436-25C1-9A8D-A4D8-C03BF4F2B04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8C9306-BBC3-E1F7-4E53-F2C29E0617C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866402-309A-C2AD-DAC3-99C7A43A7455}"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39915" width="15.00390625" hidden="1" customWidth="1"/>
    <col min="2" max="2" style="39873" width="15.00390625" hidden="1" customWidth="1"/>
    <col min="3" max="3" style="39916" width="3.7109375" customWidth="1"/>
    <col min="4" max="4" style="39917" width="6.8515625" customWidth="1"/>
    <col min="5" max="5" style="39916" width="52.28125" customWidth="1"/>
    <col min="6" max="6" style="39916" width="48.8515625" customWidth="1"/>
    <col min="7" max="7" style="39916" width="121.7109375" customWidth="1"/>
    <col min="8" max="8" style="39916" width="9.140625"/>
    <col min="9" max="9" style="39916" width="65.00390625" customWidth="1"/>
  </cols>
  <sheetData>
    <row customHeight="1" ht="11.25" hidden="1">
      <c r="A1" s="2601" t="s">
        <v>290</v>
      </c>
    </row>
    <row customHeight="1" ht="11.25" hidden="1"/>
    <row s="39832" customFormat="1" customHeight="1" ht="11.25">
      <c r="A3" s="2601"/>
      <c r="B3" s="1413"/>
      <c r="D3" s="1390"/>
    </row>
    <row customHeight="1" ht="25.5">
      <c r="D4" s="29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84"/>
      <c r="F4" s="2985"/>
      <c r="I4" s="1627"/>
    </row>
    <row customHeight="1" ht="17.25">
      <c r="D5" s="3000" t="str">
        <f>IF(org=0,"Не определено",org)</f>
        <v>ПАО "ТГК-1" филиал "Невский"</v>
      </c>
      <c r="E5" s="3000"/>
      <c r="F5" s="3000"/>
      <c r="I5" s="1627"/>
    </row>
    <row s="39832" customFormat="1" customHeight="1" ht="11.25">
      <c r="A6" s="2601"/>
      <c r="B6" s="1413"/>
      <c r="D6" s="1626"/>
      <c r="E6" s="1626"/>
      <c r="F6" s="1664"/>
      <c r="G6" s="1626"/>
    </row>
    <row customHeight="1" ht="11.25" hidden="1">
      <c r="A7" s="1369"/>
      <c r="B7" s="1414"/>
      <c r="C7" s="1369"/>
      <c r="D7" s="1375"/>
      <c r="E7" s="3031"/>
      <c r="F7" s="3031"/>
    </row>
    <row customHeight="1" ht="11.25">
      <c r="A8" s="1369"/>
      <c r="B8" s="1414"/>
      <c r="C8" s="1369"/>
      <c r="D8" s="3028" t="s">
        <v>291</v>
      </c>
      <c r="E8" s="3029"/>
      <c r="F8" s="3029"/>
      <c r="G8" s="3032" t="s">
        <v>292</v>
      </c>
    </row>
    <row customHeight="1" ht="11.25">
      <c r="A9" s="1369"/>
      <c r="B9" s="1414"/>
      <c r="C9" s="1369"/>
      <c r="D9" s="1384" t="s">
        <v>84</v>
      </c>
      <c r="E9" s="1358" t="s">
        <v>293</v>
      </c>
      <c r="F9" s="1358" t="s">
        <v>294</v>
      </c>
      <c r="G9" s="3033"/>
    </row>
    <row customHeight="1" ht="12" hidden="1">
      <c r="A10" s="1369"/>
      <c r="B10" s="1414"/>
      <c r="C10" s="1369"/>
      <c r="D10" s="1376"/>
      <c r="E10" s="1376"/>
      <c r="F10" s="1376"/>
      <c r="G10" s="1376"/>
    </row>
    <row customHeight="1" ht="22.5" hidden="1">
      <c r="A11" s="1369"/>
      <c r="B11" s="1414"/>
      <c r="C11" s="1369"/>
      <c r="D11" s="1922" t="s">
        <v>102</v>
      </c>
      <c r="E11" s="1925" t="s">
        <v>295</v>
      </c>
      <c r="F11" s="1924" t="str">
        <f>IF(region_name="","",region_name)</f>
        <v>г.Санкт-Петербург</v>
      </c>
      <c r="G11" s="1925" t="s">
        <v>296</v>
      </c>
      <c r="H11" s="1387"/>
    </row>
    <row customHeight="1" ht="22.5" hidden="1">
      <c r="A12" s="1369"/>
      <c r="B12" s="1414"/>
      <c r="C12" s="1369"/>
      <c r="D12" s="1357" t="s">
        <v>102</v>
      </c>
      <c r="E12" s="13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355" t="s">
        <v>297</v>
      </c>
      <c r="G12" s="1386"/>
      <c r="H12" s="1387"/>
    </row>
    <row customHeight="1" ht="22.5">
      <c r="A13" s="1369"/>
      <c r="B13" s="1414"/>
      <c r="C13" s="1369"/>
      <c r="D13" s="1357" t="s">
        <v>102</v>
      </c>
      <c r="E13" s="1354" t="str">
        <f>"Наименование юридического лица"&amp;IF(TEMPLATE_SPHERE="TKO"," (индивидуального предпринимателя)","")</f>
        <v>Наименование юридического лица</v>
      </c>
      <c r="F13" s="1353"/>
      <c r="G13" s="13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387"/>
    </row>
    <row customHeight="1" ht="22.5" hidden="1">
      <c r="A14" s="1369"/>
      <c r="B14" s="1414"/>
      <c r="C14" s="1369"/>
      <c r="D14" s="1922" t="s">
        <v>298</v>
      </c>
      <c r="E14" s="1923" t="s">
        <v>299</v>
      </c>
      <c r="F14" s="1924" t="str">
        <f>IF(inn="","",inn)</f>
        <v>7841312071</v>
      </c>
      <c r="G14" s="1925" t="s">
        <v>300</v>
      </c>
      <c r="H14" s="1387"/>
    </row>
    <row customHeight="1" ht="22.5" hidden="1">
      <c r="A15" s="1369"/>
      <c r="B15" s="1414"/>
      <c r="C15" s="1369"/>
      <c r="D15" s="1922" t="s">
        <v>301</v>
      </c>
      <c r="E15" s="1923" t="s">
        <v>302</v>
      </c>
      <c r="F15" s="1924" t="str">
        <f>IF(kpp="","",kpp)</f>
        <v>781301001</v>
      </c>
      <c r="G15" s="1925" t="s">
        <v>303</v>
      </c>
      <c r="H15" s="1387"/>
    </row>
    <row customHeight="1" ht="36.75">
      <c r="A16" s="1369"/>
      <c r="B16" s="1414"/>
      <c r="C16" s="1369"/>
      <c r="D16" s="1357" t="s">
        <v>103</v>
      </c>
      <c r="E16" s="13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353"/>
      <c r="G16" s="13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387"/>
    </row>
    <row customHeight="1" ht="22.5">
      <c r="A17" s="1369"/>
      <c r="B17" s="1414"/>
      <c r="C17" s="1369"/>
      <c r="D17" s="1357" t="s">
        <v>86</v>
      </c>
      <c r="E17" s="1354" t="str">
        <f>"Дата присвоения ОГРН"&amp;IF(TEMPLATE_SPHERE="TKO",""," (ОГРНИП)")</f>
        <v>Дата присвоения ОГРН (ОГРНИП)</v>
      </c>
      <c r="F17" s="2647" t="s">
        <v>18</v>
      </c>
      <c r="G17" s="1356" t="str">
        <f>"Дата присвоения ОГРН"&amp;IF(TEMPLATE_SPHERE="TKO",""," (ОГРНИП)")&amp;" указывается в виде «ДД.ММ.ГГГГ»."</f>
        <v>Дата присвоения ОГРН (ОГРНИП) указывается в виде «ДД.ММ.ГГГГ».</v>
      </c>
      <c r="H17" s="1387"/>
    </row>
    <row customHeight="1" ht="56.25">
      <c r="A18" s="1369"/>
      <c r="B18" s="1414"/>
      <c r="C18" s="1369"/>
      <c r="D18" s="1357" t="s">
        <v>87</v>
      </c>
      <c r="E18" s="13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353"/>
      <c r="G18" s="1386"/>
      <c r="H18" s="1387"/>
    </row>
    <row customHeight="1" ht="22.5">
      <c r="A19" s="3026" t="s">
        <v>304</v>
      </c>
      <c r="B19" s="1414"/>
      <c r="C19" s="3037"/>
      <c r="D19" s="1357" t="str">
        <f>A19</f>
        <v>5.1</v>
      </c>
      <c r="E19" s="1354" t="s">
        <v>305</v>
      </c>
      <c r="F19" s="1355" t="s">
        <v>297</v>
      </c>
      <c r="G19" s="1356" t="s">
        <v>306</v>
      </c>
      <c r="H19" s="1387"/>
      <c r="I19" s="1764"/>
    </row>
    <row customHeight="1" ht="24">
      <c r="A20" s="3026"/>
      <c r="B20" s="1414"/>
      <c r="C20" s="3037"/>
      <c r="D20" s="1352" t="str">
        <f>D19&amp;".1"</f>
        <v>5.1.1</v>
      </c>
      <c r="E20" s="1351" t="s">
        <v>307</v>
      </c>
      <c r="F20" s="9216" t="s">
        <v>18</v>
      </c>
      <c r="G20" s="1386"/>
      <c r="H20" s="1387"/>
      <c r="I20" s="1764"/>
    </row>
    <row customHeight="1" ht="22.5">
      <c r="A21" s="3026"/>
      <c r="B21" s="1414"/>
      <c r="C21" s="3037"/>
      <c r="D21" s="1352" t="str">
        <f>D19&amp;".2"</f>
        <v>5.1.2</v>
      </c>
      <c r="E21" s="1351" t="s">
        <v>308</v>
      </c>
      <c r="F21" s="9217" t="s">
        <v>18</v>
      </c>
      <c r="G21" s="1356" t="s">
        <v>309</v>
      </c>
      <c r="H21" s="1387"/>
      <c r="I21" s="1764"/>
    </row>
    <row customHeight="1" ht="22.5">
      <c r="A22" s="3026"/>
      <c r="B22" s="1414"/>
      <c r="C22" s="3037"/>
      <c r="D22" s="1352" t="str">
        <f>D19&amp;".3"</f>
        <v>5.1.3</v>
      </c>
      <c r="E22" s="1351" t="s">
        <v>310</v>
      </c>
      <c r="F22" s="9216" t="s">
        <v>18</v>
      </c>
      <c r="G22" s="1386"/>
      <c r="H22" s="1387"/>
      <c r="I22" s="1764"/>
    </row>
    <row customHeight="1" ht="22.5">
      <c r="A23" s="3026"/>
      <c r="B23" s="1414"/>
      <c r="C23" s="3037"/>
      <c r="D23" s="1352" t="str">
        <f>D19&amp;".4"</f>
        <v>5.1.4</v>
      </c>
      <c r="E23" s="1351" t="s">
        <v>311</v>
      </c>
      <c r="F23" s="9216" t="s">
        <v>18</v>
      </c>
      <c r="G23" s="1356" t="s">
        <v>312</v>
      </c>
      <c r="H23" s="1387"/>
      <c r="I23" s="1764"/>
    </row>
    <row customHeight="1" ht="22.5">
      <c r="A24" s="2895"/>
      <c r="B24" s="1414"/>
      <c r="C24" s="1404"/>
      <c r="D24" s="1379"/>
      <c r="E24" s="2082" t="s">
        <v>313</v>
      </c>
      <c r="F24" s="1380"/>
      <c r="G24" s="1381"/>
      <c r="H24" s="1387"/>
      <c r="I24" s="1764"/>
    </row>
    <row s="39873" customFormat="1" customHeight="1" ht="24.75" hidden="1">
      <c r="A25" s="1369"/>
      <c r="B25" s="1414"/>
      <c r="C25" s="1414"/>
      <c r="D25" s="1919" t="s">
        <v>86</v>
      </c>
      <c r="E25" s="1921" t="s">
        <v>314</v>
      </c>
      <c r="F25" s="1926" t="s">
        <v>297</v>
      </c>
      <c r="G25" s="1921"/>
    </row>
    <row s="39873" customFormat="1" customHeight="1" ht="11.25" hidden="1">
      <c r="A26" s="1369"/>
      <c r="B26" s="1414"/>
      <c r="C26" s="1414"/>
      <c r="D26" s="1919" t="s">
        <v>315</v>
      </c>
      <c r="E26" s="1920" t="s">
        <v>316</v>
      </c>
      <c r="F26" s="1926" t="s">
        <v>297</v>
      </c>
      <c r="G26" s="1921"/>
    </row>
    <row s="39873" customFormat="1" customHeight="1" ht="11.25" hidden="1">
      <c r="A27" s="1369"/>
      <c r="B27" s="1414"/>
      <c r="C27" s="1414"/>
      <c r="D27" s="1919" t="s">
        <v>317</v>
      </c>
      <c r="E27" s="1927" t="s">
        <v>318</v>
      </c>
      <c r="F27" s="1928"/>
      <c r="G27" s="192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9873" customFormat="1" customHeight="1" ht="11.25" hidden="1">
      <c r="A28" s="1369"/>
      <c r="B28" s="1414"/>
      <c r="C28" s="1414"/>
      <c r="D28" s="1919" t="s">
        <v>319</v>
      </c>
      <c r="E28" s="1927" t="s">
        <v>320</v>
      </c>
      <c r="F28" s="1928"/>
      <c r="G28" s="192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9873" customFormat="1" customHeight="1" ht="11.25" hidden="1">
      <c r="A29" s="1369"/>
      <c r="B29" s="1414"/>
      <c r="C29" s="1414"/>
      <c r="D29" s="1919" t="s">
        <v>321</v>
      </c>
      <c r="E29" s="1927" t="s">
        <v>322</v>
      </c>
      <c r="F29" s="1928"/>
      <c r="G29" s="192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9873" customFormat="1" customHeight="1" ht="11.25" hidden="1">
      <c r="A30" s="1369"/>
      <c r="B30" s="1414"/>
      <c r="C30" s="1414"/>
      <c r="D30" s="1919" t="s">
        <v>323</v>
      </c>
      <c r="E30" s="1920" t="s">
        <v>324</v>
      </c>
      <c r="F30" s="1928"/>
      <c r="G30" s="1921"/>
    </row>
    <row s="39873" customFormat="1" customHeight="1" ht="11.25" hidden="1">
      <c r="A31" s="1369"/>
      <c r="B31" s="1414"/>
      <c r="C31" s="1414"/>
      <c r="D31" s="1919" t="s">
        <v>325</v>
      </c>
      <c r="E31" s="1920" t="s">
        <v>326</v>
      </c>
      <c r="F31" s="1928"/>
      <c r="G31" s="1921"/>
    </row>
    <row s="39873" customFormat="1" customHeight="1" ht="11.25" hidden="1">
      <c r="A32" s="1369"/>
      <c r="B32" s="1414"/>
      <c r="C32" s="1414"/>
      <c r="D32" s="1919" t="s">
        <v>327</v>
      </c>
      <c r="E32" s="1920" t="s">
        <v>328</v>
      </c>
      <c r="F32" s="1929"/>
      <c r="G32" s="1921"/>
    </row>
    <row customHeight="1" ht="22.5">
      <c r="A33" s="1369" t="str">
        <f>IF(TEMPLATE_SPHERE="HEAT","6","5")</f>
        <v>6</v>
      </c>
      <c r="B33" s="1414"/>
      <c r="C33" s="1369"/>
      <c r="D33" s="1352" t="str">
        <f>A33</f>
        <v>6</v>
      </c>
      <c r="E33" s="13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355" t="s">
        <v>297</v>
      </c>
      <c r="G33" s="1386"/>
      <c r="H33" s="1387"/>
    </row>
    <row customHeight="1" ht="22.5">
      <c r="A34" s="1369"/>
      <c r="B34" s="1414"/>
      <c r="C34" s="1369"/>
      <c r="D34" s="1352" t="str">
        <f>D33&amp;".1"</f>
        <v>6.1</v>
      </c>
      <c r="E34" s="1354" t="str">
        <f>"фамилия"&amp;IF(TEMPLATE_SPHERE&lt;&gt;"HEAT"," руководителя","")</f>
        <v>фамилия</v>
      </c>
      <c r="F34" s="1353"/>
      <c r="G34" s="13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387"/>
    </row>
    <row customHeight="1" ht="22.5">
      <c r="A35" s="1369"/>
      <c r="B35" s="1414"/>
      <c r="C35" s="1369"/>
      <c r="D35" s="1352" t="str">
        <f>D33&amp;".2"</f>
        <v>6.2</v>
      </c>
      <c r="E35" s="1354" t="str">
        <f>"имя"&amp;IF(TEMPLATE_SPHERE&lt;&gt;"HEAT"," руководителя","")</f>
        <v>имя</v>
      </c>
      <c r="F35" s="1353"/>
      <c r="G35" s="13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387"/>
    </row>
    <row customHeight="1" ht="22.5">
      <c r="A36" s="1369"/>
      <c r="B36" s="1414"/>
      <c r="C36" s="1369"/>
      <c r="D36" s="1352" t="str">
        <f>D33&amp;".3"</f>
        <v>6.3</v>
      </c>
      <c r="E36" s="1354" t="str">
        <f>"отчество"&amp;IF(TEMPLATE_SPHERE&lt;&gt;"HEAT"," руководителя","")</f>
        <v>отчество</v>
      </c>
      <c r="F36" s="1610"/>
      <c r="G36" s="13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387"/>
    </row>
    <row customHeight="1" ht="33.75">
      <c r="A37" s="1369"/>
      <c r="B37" s="1414"/>
      <c r="C37" s="1369"/>
      <c r="D37" s="1352">
        <f>D33+1</f>
        <v>7</v>
      </c>
      <c r="E37" s="13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353"/>
      <c r="G37" s="1356" t="s">
        <v>329</v>
      </c>
      <c r="H37" s="1387"/>
    </row>
    <row customHeight="1" ht="33.75">
      <c r="A38" s="1369"/>
      <c r="B38" s="1414"/>
      <c r="C38" s="1369"/>
      <c r="D38" s="1352">
        <f>D37+1</f>
        <v>8</v>
      </c>
      <c r="E38" s="13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353"/>
      <c r="G38" s="1356" t="s">
        <v>329</v>
      </c>
      <c r="H38" s="1387"/>
    </row>
    <row customHeight="1" ht="22.5">
      <c r="A39" s="1369"/>
      <c r="B39" s="1414"/>
      <c r="C39" s="1369"/>
      <c r="D39" s="1352">
        <f>D38+1</f>
        <v>9</v>
      </c>
      <c r="E39" s="13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355" t="s">
        <v>297</v>
      </c>
      <c r="G39" s="30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387"/>
    </row>
    <row customHeight="1" ht="22.5" hidden="1">
      <c r="A40" s="1369"/>
      <c r="B40" s="1414"/>
      <c r="C40" s="1369"/>
      <c r="D40" s="1352" t="str">
        <f>D39&amp;".0"</f>
        <v>9.0</v>
      </c>
      <c r="E40" s="2520"/>
      <c r="F40" s="1793"/>
      <c r="G40" s="3035"/>
      <c r="H40" s="1387"/>
    </row>
    <row customHeight="1" ht="22.5">
      <c r="A41" s="1369"/>
      <c r="B41" s="1369"/>
      <c r="C41" s="2603"/>
      <c r="D41" s="1352" t="str">
        <f>D39&amp;".1"</f>
        <v>9.1</v>
      </c>
      <c r="E41" s="1772"/>
      <c r="F41" s="1773"/>
      <c r="G41" s="3035"/>
      <c r="H41" s="1387"/>
    </row>
    <row customHeight="1" ht="15">
      <c r="A42" s="1369"/>
      <c r="B42" s="1414"/>
      <c r="C42" s="1369"/>
      <c r="D42" s="1379"/>
      <c r="E42" s="1327" t="s">
        <v>330</v>
      </c>
      <c r="F42" s="1381"/>
      <c r="G42" s="3036"/>
      <c r="H42" s="1388"/>
    </row>
    <row customHeight="1" ht="25.5">
      <c r="A43" s="1369"/>
      <c r="B43" s="1414"/>
      <c r="C43" s="1369"/>
      <c r="D43" s="1352">
        <f>D39+1</f>
        <v>10</v>
      </c>
      <c r="E43" s="13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774"/>
      <c r="G43" s="13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387"/>
    </row>
    <row customHeight="1" ht="22.5">
      <c r="A44" s="1369"/>
      <c r="B44" s="1414"/>
      <c r="C44" s="1369"/>
      <c r="D44" s="1352">
        <f>D43+1</f>
        <v>11</v>
      </c>
      <c r="E44" s="13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290"/>
      <c r="G44" s="1386" t="s">
        <v>331</v>
      </c>
      <c r="H44" s="1387"/>
    </row>
    <row customHeight="1" ht="22.5">
      <c r="A45" s="1369"/>
      <c r="B45" s="1414"/>
      <c r="C45" s="1369"/>
      <c r="D45" s="1352">
        <f>D44+1</f>
        <v>12</v>
      </c>
      <c r="E45" s="1350" t="s">
        <v>332</v>
      </c>
      <c r="F45" s="1355" t="s">
        <v>297</v>
      </c>
      <c r="G45" s="1349" t="str">
        <f>IF(TEMPLATE_SPHERE="TKO","Указывается режим работы организации.","")</f>
        <v/>
      </c>
      <c r="H45" s="1387"/>
    </row>
    <row customHeight="1" ht="22.5">
      <c r="A46" s="1369"/>
      <c r="B46" s="1414"/>
      <c r="C46" s="1369"/>
      <c r="D46" s="1352" t="str">
        <f>D45&amp;".1"</f>
        <v>12.1</v>
      </c>
      <c r="E46" s="1354" t="str">
        <f>"режим работы регулируемой организации"&amp;IF(TEMPLATE_SPHERE="HEAT",", ЕТО, ТО","")</f>
        <v>режим работы регулируемой организации, ЕТО, ТО</v>
      </c>
      <c r="F46" s="2599"/>
      <c r="G46" s="1349" t="s">
        <v>333</v>
      </c>
      <c r="H46" s="1387"/>
    </row>
    <row customHeight="1" ht="22.5">
      <c r="A47" s="3026"/>
      <c r="B47" s="1414"/>
      <c r="C47" s="1404"/>
      <c r="D47" s="1352" t="str">
        <f>D45&amp;".2"</f>
        <v>12.2</v>
      </c>
      <c r="E47" s="1354" t="s">
        <v>334</v>
      </c>
      <c r="F47" s="1402"/>
      <c r="G47" s="1349" t="s">
        <v>335</v>
      </c>
      <c r="H47" s="1387"/>
    </row>
    <row customHeight="1" ht="22.5">
      <c r="A48" s="3026"/>
      <c r="B48" s="1414"/>
      <c r="C48" s="1404"/>
      <c r="D48" s="1352" t="str">
        <f>D45&amp;".3"</f>
        <v>12.3</v>
      </c>
      <c r="E48" s="1354" t="s">
        <v>336</v>
      </c>
      <c r="F48" s="1402"/>
      <c r="G48" s="1349" t="s">
        <v>337</v>
      </c>
      <c r="H48" s="1387"/>
    </row>
    <row customHeight="1" ht="22.5">
      <c r="A49" s="3026"/>
      <c r="B49" s="1414"/>
      <c r="C49" s="1404"/>
      <c r="D49" s="1352" t="str">
        <f>IF(TEMPLATE_SPHERE="TKO",D45&amp;".0",D45&amp;".4")</f>
        <v>12.4</v>
      </c>
      <c r="E49" s="1348" t="s">
        <v>338</v>
      </c>
      <c r="F49" s="2600"/>
      <c r="G49" s="2677" t="s">
        <v>339</v>
      </c>
      <c r="H49" s="1387"/>
    </row>
    <row customHeight="1" ht="22.5">
      <c r="A50" s="1369"/>
      <c r="B50" s="1414"/>
      <c r="C50" s="1369"/>
      <c r="D50" s="1379"/>
      <c r="E50" s="1327" t="s">
        <v>340</v>
      </c>
      <c r="F50" s="1380"/>
      <c r="G50" s="2677" t="s">
        <v>341</v>
      </c>
      <c r="H50" s="1388"/>
    </row>
    <row customHeight="1" ht="22.5">
      <c r="A51" s="1770"/>
      <c r="B51" s="1414"/>
      <c r="C51" s="1404"/>
      <c r="D51" s="1352">
        <f>D45+1</f>
        <v>13</v>
      </c>
      <c r="E51" s="1440" t="s">
        <v>342</v>
      </c>
      <c r="F51" s="1402"/>
      <c r="G51" s="2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387"/>
    </row>
    <row customHeight="1" ht="11.25">
      <c r="A52" s="1369"/>
      <c r="B52" s="1414"/>
      <c r="C52" s="1369"/>
    </row>
    <row s="39903" customFormat="1" customHeight="1" ht="30">
      <c r="A53" s="2602"/>
      <c r="B53" s="1415"/>
      <c r="C53" s="3027"/>
      <c r="D53" s="30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30"/>
      <c r="F53" s="3030"/>
      <c r="G53" s="3030"/>
      <c r="H53" s="1366"/>
      <c r="I53" s="1366"/>
    </row>
    <row s="39903" customFormat="1" customHeight="1" ht="39.75">
      <c r="A54" s="1369"/>
      <c r="B54" s="1414"/>
      <c r="C54" s="3027"/>
      <c r="D54" s="30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30"/>
      <c r="F54" s="3030"/>
      <c r="G54" s="3030"/>
    </row>
    <row customHeight="1" ht="11.25">
      <c r="D55" s="1370"/>
      <c r="E55" s="1371"/>
      <c r="F55" s="1371"/>
      <c r="G55" s="1371"/>
    </row>
    <row customHeight="1" ht="27">
      <c r="D56" s="1373"/>
      <c r="E56" s="1370"/>
      <c r="F56" s="1382"/>
      <c r="G56" s="1382"/>
    </row>
    <row customHeight="1" ht="11.25">
      <c r="D57" s="1370"/>
      <c r="E57" s="1370"/>
      <c r="F57" s="1371"/>
      <c r="G57" s="1371"/>
    </row>
    <row customHeight="1" ht="39">
      <c r="D58" s="1374"/>
      <c r="E58" s="1383"/>
      <c r="F58" s="1383"/>
      <c r="G58" s="1383"/>
    </row>
    <row customHeight="1" ht="27">
      <c r="D59" s="1374"/>
      <c r="E59" s="1383"/>
      <c r="F59" s="1383"/>
      <c r="G59" s="1383"/>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80E6DA-8C4C-1FB7-676C-900B08B05E2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97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A5C6A3-A52D-EDFD-7A54-717E85CA53C4}" mc:Ignorable="x14ac xr xr2 xr3">
  <dimension ref="A1:E8"/>
  <sheetViews>
    <sheetView topLeftCell="A1" showGridLines="0" workbookViewId="0">
      <selection activeCell="A1" sqref="A1"/>
    </sheetView>
  </sheetViews>
  <sheetFormatPr customHeight="1" defaultRowHeight="11.25"/>
  <cols>
    <col min="1" max="1" style="42055" width="10.57421875" customWidth="1"/>
    <col min="2" max="2" style="42055" width="8.7109375" customWidth="1"/>
    <col min="3" max="3" style="42055" width="18.140625" customWidth="1"/>
    <col min="4" max="4" style="42055" width="12.57421875" customWidth="1"/>
  </cols>
  <sheetData>
    <row customHeight="1" ht="11.25">
      <c r="A1" s="1665" t="s">
        <v>2192</v>
      </c>
      <c r="B1" s="1676" t="s">
        <v>2193</v>
      </c>
      <c r="C1" s="3419" t="s">
        <v>2194</v>
      </c>
      <c r="D1" s="3420"/>
      <c r="E1" s="1748" t="s">
        <v>2195</v>
      </c>
    </row>
    <row customHeight="1" ht="11.25">
      <c r="A2" s="1669"/>
      <c r="B2" s="1677" t="s">
        <v>23</v>
      </c>
      <c r="C2" s="1665"/>
      <c r="D2" s="1676"/>
      <c r="E2" s="1748"/>
    </row>
    <row customHeight="1" ht="11.25">
      <c r="A3" s="1680"/>
      <c r="B3" s="1678" t="s">
        <v>29</v>
      </c>
      <c r="C3" s="1665"/>
      <c r="D3" s="1676"/>
      <c r="E3" s="1748"/>
    </row>
    <row customHeight="1" ht="11.25">
      <c r="A4" s="1681"/>
      <c r="B4" s="1678" t="s">
        <v>1621</v>
      </c>
      <c r="C4" s="1665"/>
      <c r="D4" s="1676"/>
      <c r="E4" s="1748"/>
    </row>
    <row customHeight="1" ht="11.25">
      <c r="A5" s="1693"/>
      <c r="B5" s="1678" t="s">
        <v>1615</v>
      </c>
      <c r="C5" s="1668" t="s">
        <v>1951</v>
      </c>
      <c r="D5" s="1792" t="s">
        <v>2196</v>
      </c>
      <c r="E5" s="1748"/>
    </row>
    <row s="42031" customFormat="1" customHeight="1" ht="11.25">
      <c r="A6" s="1679"/>
      <c r="B6" s="1678" t="s">
        <v>1625</v>
      </c>
      <c r="C6" s="1665"/>
      <c r="D6" s="1676"/>
      <c r="E6" s="1748"/>
    </row>
    <row customHeight="1" ht="11.25">
      <c r="A7" s="1667"/>
      <c r="B7" s="1678" t="s">
        <v>1633</v>
      </c>
      <c r="C7" s="1665"/>
      <c r="D7" s="1676"/>
      <c r="E7" s="1748"/>
    </row>
    <row customHeight="1" ht="11.25">
      <c r="A8" s="1668"/>
      <c r="B8" s="1678" t="s">
        <v>1628</v>
      </c>
      <c r="C8" s="1665"/>
      <c r="D8" s="1676"/>
      <c r="E8" s="174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89BFB3-0F3A-99CC-91B5-E7A405EC97A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CF7DDA-F254-32A3-8094-89937A559BC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2E576D-FD4E-E751-BDD2-76253F977819}" mc:Ignorable="x14ac xr xr2 xr3">
  <sheetPr>
    <tabColor rgb="FFFFCC99"/>
  </sheetPr>
  <dimension ref="A1:I367"/>
  <sheetViews>
    <sheetView topLeftCell="A1" showGridLines="0" workbookViewId="0">
      <selection activeCell="A1" sqref="A1"/>
    </sheetView>
  </sheetViews>
  <sheetFormatPr defaultColWidth="9.140625" customHeight="1" defaultRowHeight="11.25"/>
  <cols>
    <col min="1" max="2" style="42057" width="9.140625"/>
    <col min="3" max="3" style="42057" width="20.7109375" customWidth="1"/>
    <col min="4" max="4" style="42057" width="25.140625" customWidth="1"/>
    <col min="5" max="9" style="42057" width="9.140625"/>
  </cols>
  <sheetData>
    <row customHeight="1" ht="11.25">
      <c r="A1" s="980" t="s">
        <v>2197</v>
      </c>
      <c r="B1" s="980" t="s">
        <v>2198</v>
      </c>
      <c r="C1" s="980" t="s">
        <v>2199</v>
      </c>
      <c r="D1" s="980" t="s">
        <v>2200</v>
      </c>
      <c r="E1" s="980" t="s">
        <v>2201</v>
      </c>
      <c r="F1" s="980" t="s">
        <v>2202</v>
      </c>
      <c r="G1" s="980" t="s">
        <v>2203</v>
      </c>
      <c r="H1" s="980" t="s">
        <v>2204</v>
      </c>
      <c r="I1" s="980" t="s">
        <v>2205</v>
      </c>
    </row>
    <row customHeight="1" ht="11.25">
      <c r="A2" s="7667" t="s">
        <v>2206</v>
      </c>
      <c r="B2" s="7667" t="s">
        <v>14</v>
      </c>
      <c r="C2" s="7667" t="s">
        <v>2207</v>
      </c>
      <c r="D2" s="7667" t="s">
        <v>2208</v>
      </c>
      <c r="E2" s="7667" t="s">
        <v>2209</v>
      </c>
      <c r="F2" s="7667" t="s">
        <v>2210</v>
      </c>
      <c r="G2" s="7667" t="s">
        <v>18</v>
      </c>
      <c r="H2" s="7667" t="s">
        <v>18</v>
      </c>
      <c r="I2" s="7667" t="s">
        <v>714</v>
      </c>
    </row>
    <row customHeight="1" ht="11.25">
      <c r="A3" s="7667" t="s">
        <v>2206</v>
      </c>
      <c r="B3" s="7667" t="s">
        <v>14</v>
      </c>
      <c r="C3" s="7667" t="s">
        <v>2211</v>
      </c>
      <c r="D3" s="7667" t="s">
        <v>2212</v>
      </c>
      <c r="E3" s="7667" t="s">
        <v>2213</v>
      </c>
      <c r="F3" s="7667" t="s">
        <v>46</v>
      </c>
      <c r="G3" s="7667" t="s">
        <v>18</v>
      </c>
      <c r="H3" s="7667" t="s">
        <v>18</v>
      </c>
      <c r="I3" s="7667" t="s">
        <v>714</v>
      </c>
    </row>
    <row customHeight="1" ht="11.25">
      <c r="A4" s="7667" t="s">
        <v>2206</v>
      </c>
      <c r="B4" s="7667" t="s">
        <v>14</v>
      </c>
      <c r="C4" s="7667" t="s">
        <v>2214</v>
      </c>
      <c r="D4" s="7667" t="s">
        <v>2215</v>
      </c>
      <c r="E4" s="7667" t="s">
        <v>2216</v>
      </c>
      <c r="F4" s="7667" t="s">
        <v>2217</v>
      </c>
      <c r="G4" s="7667" t="s">
        <v>18</v>
      </c>
      <c r="H4" s="7667" t="s">
        <v>18</v>
      </c>
      <c r="I4" s="7667" t="s">
        <v>714</v>
      </c>
    </row>
    <row customHeight="1" ht="11.25">
      <c r="A5" s="7667" t="s">
        <v>2206</v>
      </c>
      <c r="B5" s="7667" t="s">
        <v>14</v>
      </c>
      <c r="C5" s="7667" t="s">
        <v>2218</v>
      </c>
      <c r="D5" s="7667" t="s">
        <v>2219</v>
      </c>
      <c r="E5" s="7667" t="s">
        <v>2220</v>
      </c>
      <c r="F5" s="7667" t="s">
        <v>2221</v>
      </c>
      <c r="G5" s="7667" t="s">
        <v>18</v>
      </c>
      <c r="H5" s="7667" t="s">
        <v>18</v>
      </c>
      <c r="I5" s="7667" t="s">
        <v>714</v>
      </c>
    </row>
    <row customHeight="1" ht="11.25">
      <c r="A6" s="7667" t="s">
        <v>2206</v>
      </c>
      <c r="B6" s="7667" t="s">
        <v>14</v>
      </c>
      <c r="C6" s="7667" t="s">
        <v>2222</v>
      </c>
      <c r="D6" s="7667" t="s">
        <v>2223</v>
      </c>
      <c r="E6" s="7667" t="s">
        <v>2224</v>
      </c>
      <c r="F6" s="7667" t="s">
        <v>2225</v>
      </c>
      <c r="G6" s="7667" t="s">
        <v>18</v>
      </c>
      <c r="H6" s="7667" t="s">
        <v>18</v>
      </c>
      <c r="I6" s="7667" t="s">
        <v>714</v>
      </c>
    </row>
    <row customHeight="1" ht="11.25">
      <c r="A7" s="7667" t="s">
        <v>2206</v>
      </c>
      <c r="B7" s="7667" t="s">
        <v>14</v>
      </c>
      <c r="C7" s="7667" t="s">
        <v>2226</v>
      </c>
      <c r="D7" s="7667" t="s">
        <v>2227</v>
      </c>
      <c r="E7" s="7667" t="s">
        <v>2228</v>
      </c>
      <c r="F7" s="7667" t="s">
        <v>2217</v>
      </c>
      <c r="G7" s="7667" t="s">
        <v>18</v>
      </c>
      <c r="H7" s="7667" t="s">
        <v>2229</v>
      </c>
      <c r="I7" s="7667" t="s">
        <v>714</v>
      </c>
    </row>
    <row customHeight="1" ht="11.25">
      <c r="A8" s="7667" t="s">
        <v>2206</v>
      </c>
      <c r="B8" s="7667" t="s">
        <v>14</v>
      </c>
      <c r="C8" s="7667" t="s">
        <v>2230</v>
      </c>
      <c r="D8" s="7667" t="s">
        <v>2231</v>
      </c>
      <c r="E8" s="7667" t="s">
        <v>2232</v>
      </c>
      <c r="F8" s="7667" t="s">
        <v>2225</v>
      </c>
      <c r="G8" s="7667" t="s">
        <v>18</v>
      </c>
      <c r="H8" s="7667" t="s">
        <v>18</v>
      </c>
      <c r="I8" s="7667" t="s">
        <v>714</v>
      </c>
    </row>
    <row customHeight="1" ht="11.25">
      <c r="A9" s="7667" t="s">
        <v>2206</v>
      </c>
      <c r="B9" s="7667" t="s">
        <v>14</v>
      </c>
      <c r="C9" s="7667" t="s">
        <v>2233</v>
      </c>
      <c r="D9" s="7667" t="s">
        <v>2234</v>
      </c>
      <c r="E9" s="7667" t="s">
        <v>2235</v>
      </c>
      <c r="F9" s="7667" t="s">
        <v>2236</v>
      </c>
      <c r="G9" s="7667" t="s">
        <v>18</v>
      </c>
      <c r="H9" s="7667" t="s">
        <v>18</v>
      </c>
      <c r="I9" s="7667" t="s">
        <v>714</v>
      </c>
    </row>
    <row customHeight="1" ht="11.25">
      <c r="A10" s="7667" t="s">
        <v>2206</v>
      </c>
      <c r="B10" s="7667" t="s">
        <v>14</v>
      </c>
      <c r="C10" s="7667" t="s">
        <v>2237</v>
      </c>
      <c r="D10" s="7667" t="s">
        <v>2238</v>
      </c>
      <c r="E10" s="7667" t="s">
        <v>2239</v>
      </c>
      <c r="F10" s="7667" t="s">
        <v>2240</v>
      </c>
      <c r="G10" s="7667" t="s">
        <v>18</v>
      </c>
      <c r="H10" s="7667" t="s">
        <v>18</v>
      </c>
      <c r="I10" s="7667" t="s">
        <v>714</v>
      </c>
    </row>
    <row customHeight="1" ht="11.25">
      <c r="A11" s="7667" t="s">
        <v>2206</v>
      </c>
      <c r="B11" s="7667" t="s">
        <v>14</v>
      </c>
      <c r="C11" s="7667" t="s">
        <v>2241</v>
      </c>
      <c r="D11" s="7667" t="s">
        <v>2242</v>
      </c>
      <c r="E11" s="7667" t="s">
        <v>2243</v>
      </c>
      <c r="F11" s="7667" t="s">
        <v>2244</v>
      </c>
      <c r="G11" s="7667" t="s">
        <v>2245</v>
      </c>
      <c r="H11" s="7667" t="s">
        <v>18</v>
      </c>
      <c r="I11" s="7667" t="s">
        <v>714</v>
      </c>
    </row>
    <row customHeight="1" ht="11.25">
      <c r="A12" s="7667" t="s">
        <v>2206</v>
      </c>
      <c r="B12" s="7667" t="s">
        <v>14</v>
      </c>
      <c r="C12" s="7667" t="s">
        <v>2246</v>
      </c>
      <c r="D12" s="7667" t="s">
        <v>2242</v>
      </c>
      <c r="E12" s="7667" t="s">
        <v>2243</v>
      </c>
      <c r="F12" s="7667" t="s">
        <v>2247</v>
      </c>
      <c r="G12" s="7667" t="s">
        <v>18</v>
      </c>
      <c r="H12" s="7667" t="s">
        <v>18</v>
      </c>
      <c r="I12" s="7667" t="s">
        <v>714</v>
      </c>
    </row>
    <row customHeight="1" ht="11.25">
      <c r="A13" s="7667" t="s">
        <v>2206</v>
      </c>
      <c r="B13" s="7667" t="s">
        <v>14</v>
      </c>
      <c r="C13" s="7667" t="s">
        <v>2248</v>
      </c>
      <c r="D13" s="7667" t="s">
        <v>2249</v>
      </c>
      <c r="E13" s="7667" t="s">
        <v>2250</v>
      </c>
      <c r="F13" s="7667" t="s">
        <v>2251</v>
      </c>
      <c r="G13" s="7667" t="s">
        <v>18</v>
      </c>
      <c r="H13" s="7667" t="s">
        <v>18</v>
      </c>
      <c r="I13" s="7667" t="s">
        <v>714</v>
      </c>
    </row>
    <row customHeight="1" ht="11.25">
      <c r="A14" s="7667" t="s">
        <v>2206</v>
      </c>
      <c r="B14" s="7667" t="s">
        <v>14</v>
      </c>
      <c r="C14" s="7667" t="s">
        <v>2252</v>
      </c>
      <c r="D14" s="7667" t="s">
        <v>2253</v>
      </c>
      <c r="E14" s="7667" t="s">
        <v>2254</v>
      </c>
      <c r="F14" s="7667" t="s">
        <v>2221</v>
      </c>
      <c r="G14" s="7667" t="s">
        <v>18</v>
      </c>
      <c r="H14" s="7667" t="s">
        <v>18</v>
      </c>
      <c r="I14" s="7667" t="s">
        <v>714</v>
      </c>
    </row>
    <row customHeight="1" ht="11.25">
      <c r="A15" s="7667" t="s">
        <v>2206</v>
      </c>
      <c r="B15" s="7667" t="s">
        <v>14</v>
      </c>
      <c r="C15" s="7667" t="s">
        <v>2255</v>
      </c>
      <c r="D15" s="7667" t="s">
        <v>2256</v>
      </c>
      <c r="E15" s="7667" t="s">
        <v>2257</v>
      </c>
      <c r="F15" s="7667" t="s">
        <v>2221</v>
      </c>
      <c r="G15" s="7667" t="s">
        <v>2258</v>
      </c>
      <c r="H15" s="7667" t="s">
        <v>18</v>
      </c>
      <c r="I15" s="7667" t="s">
        <v>714</v>
      </c>
    </row>
    <row customHeight="1" ht="11.25">
      <c r="A16" s="7667" t="s">
        <v>2206</v>
      </c>
      <c r="B16" s="7667" t="s">
        <v>14</v>
      </c>
      <c r="C16" s="7667" t="s">
        <v>2259</v>
      </c>
      <c r="D16" s="7667" t="s">
        <v>2260</v>
      </c>
      <c r="E16" s="7667" t="s">
        <v>2261</v>
      </c>
      <c r="F16" s="7667" t="s">
        <v>46</v>
      </c>
      <c r="G16" s="7667" t="s">
        <v>18</v>
      </c>
      <c r="H16" s="7667" t="s">
        <v>18</v>
      </c>
      <c r="I16" s="7667" t="s">
        <v>714</v>
      </c>
    </row>
    <row customHeight="1" ht="11.25">
      <c r="A17" s="7667" t="s">
        <v>2206</v>
      </c>
      <c r="B17" s="7667" t="s">
        <v>14</v>
      </c>
      <c r="C17" s="7667" t="s">
        <v>2262</v>
      </c>
      <c r="D17" s="7667" t="s">
        <v>2263</v>
      </c>
      <c r="E17" s="7667" t="s">
        <v>2264</v>
      </c>
      <c r="F17" s="7667" t="s">
        <v>2225</v>
      </c>
      <c r="G17" s="7667" t="s">
        <v>18</v>
      </c>
      <c r="H17" s="7667" t="s">
        <v>18</v>
      </c>
      <c r="I17" s="7667" t="s">
        <v>714</v>
      </c>
    </row>
    <row customHeight="1" ht="11.25">
      <c r="A18" s="7667" t="s">
        <v>2206</v>
      </c>
      <c r="B18" s="7667" t="s">
        <v>14</v>
      </c>
      <c r="C18" s="7667" t="s">
        <v>2265</v>
      </c>
      <c r="D18" s="7667" t="s">
        <v>2266</v>
      </c>
      <c r="E18" s="7667" t="s">
        <v>2267</v>
      </c>
      <c r="F18" s="7667" t="s">
        <v>46</v>
      </c>
      <c r="G18" s="7667" t="s">
        <v>18</v>
      </c>
      <c r="H18" s="7667" t="s">
        <v>18</v>
      </c>
      <c r="I18" s="7667" t="s">
        <v>714</v>
      </c>
    </row>
    <row customHeight="1" ht="11.25">
      <c r="A19" s="7667" t="s">
        <v>2206</v>
      </c>
      <c r="B19" s="7667" t="s">
        <v>14</v>
      </c>
      <c r="C19" s="7667" t="s">
        <v>2268</v>
      </c>
      <c r="D19" s="7667" t="s">
        <v>2269</v>
      </c>
      <c r="E19" s="7667" t="s">
        <v>2270</v>
      </c>
      <c r="F19" s="7667" t="s">
        <v>2210</v>
      </c>
      <c r="G19" s="7667" t="s">
        <v>18</v>
      </c>
      <c r="H19" s="7667" t="s">
        <v>18</v>
      </c>
      <c r="I19" s="7667" t="s">
        <v>714</v>
      </c>
    </row>
    <row customHeight="1" ht="11.25">
      <c r="A20" s="7667" t="s">
        <v>2206</v>
      </c>
      <c r="B20" s="7667" t="s">
        <v>14</v>
      </c>
      <c r="C20" s="7667" t="s">
        <v>2271</v>
      </c>
      <c r="D20" s="7667" t="s">
        <v>2272</v>
      </c>
      <c r="E20" s="7667" t="s">
        <v>2273</v>
      </c>
      <c r="F20" s="7667" t="s">
        <v>2225</v>
      </c>
      <c r="G20" s="7667" t="s">
        <v>2274</v>
      </c>
      <c r="H20" s="7667" t="s">
        <v>2275</v>
      </c>
      <c r="I20" s="7667" t="s">
        <v>714</v>
      </c>
    </row>
    <row customHeight="1" ht="11.25">
      <c r="A21" s="7667" t="s">
        <v>2206</v>
      </c>
      <c r="B21" s="7667" t="s">
        <v>14</v>
      </c>
      <c r="C21" s="7667" t="s">
        <v>2276</v>
      </c>
      <c r="D21" s="7667" t="s">
        <v>2277</v>
      </c>
      <c r="E21" s="7667" t="s">
        <v>2278</v>
      </c>
      <c r="F21" s="7667" t="s">
        <v>2279</v>
      </c>
      <c r="G21" s="7667" t="s">
        <v>18</v>
      </c>
      <c r="H21" s="7667" t="s">
        <v>18</v>
      </c>
      <c r="I21" s="7667" t="s">
        <v>714</v>
      </c>
    </row>
    <row customHeight="1" ht="11.25">
      <c r="A22" s="7667" t="s">
        <v>2206</v>
      </c>
      <c r="B22" s="7667" t="s">
        <v>14</v>
      </c>
      <c r="C22" s="7667" t="s">
        <v>2280</v>
      </c>
      <c r="D22" s="7667" t="s">
        <v>2281</v>
      </c>
      <c r="E22" s="7667" t="s">
        <v>2282</v>
      </c>
      <c r="F22" s="7667" t="s">
        <v>2283</v>
      </c>
      <c r="G22" s="7667" t="s">
        <v>18</v>
      </c>
      <c r="H22" s="7667" t="s">
        <v>18</v>
      </c>
      <c r="I22" s="7667" t="s">
        <v>714</v>
      </c>
    </row>
    <row customHeight="1" ht="11.25">
      <c r="A23" s="7667" t="s">
        <v>2206</v>
      </c>
      <c r="B23" s="7667" t="s">
        <v>14</v>
      </c>
      <c r="C23" s="7667" t="s">
        <v>2284</v>
      </c>
      <c r="D23" s="7667" t="s">
        <v>2285</v>
      </c>
      <c r="E23" s="7667" t="s">
        <v>2286</v>
      </c>
      <c r="F23" s="7667" t="s">
        <v>2217</v>
      </c>
      <c r="G23" s="7667" t="s">
        <v>18</v>
      </c>
      <c r="H23" s="7667" t="s">
        <v>18</v>
      </c>
      <c r="I23" s="7667" t="s">
        <v>714</v>
      </c>
    </row>
    <row customHeight="1" ht="11.25">
      <c r="A24" s="7667" t="s">
        <v>2206</v>
      </c>
      <c r="B24" s="7667" t="s">
        <v>14</v>
      </c>
      <c r="C24" s="7667" t="s">
        <v>2287</v>
      </c>
      <c r="D24" s="7667" t="s">
        <v>2288</v>
      </c>
      <c r="E24" s="7667" t="s">
        <v>2289</v>
      </c>
      <c r="F24" s="7667" t="s">
        <v>2217</v>
      </c>
      <c r="G24" s="7667" t="s">
        <v>18</v>
      </c>
      <c r="H24" s="7667" t="s">
        <v>18</v>
      </c>
      <c r="I24" s="7667" t="s">
        <v>714</v>
      </c>
    </row>
    <row customHeight="1" ht="11.25">
      <c r="A25" s="7667" t="s">
        <v>2206</v>
      </c>
      <c r="B25" s="7667" t="s">
        <v>14</v>
      </c>
      <c r="C25" s="7667" t="s">
        <v>2290</v>
      </c>
      <c r="D25" s="7667" t="s">
        <v>2291</v>
      </c>
      <c r="E25" s="7667" t="s">
        <v>2292</v>
      </c>
      <c r="F25" s="7667" t="s">
        <v>2293</v>
      </c>
      <c r="G25" s="7667" t="s">
        <v>18</v>
      </c>
      <c r="H25" s="7667" t="s">
        <v>18</v>
      </c>
      <c r="I25" s="7667" t="s">
        <v>714</v>
      </c>
    </row>
    <row customHeight="1" ht="11.25">
      <c r="A26" s="7667" t="s">
        <v>2206</v>
      </c>
      <c r="B26" s="7667" t="s">
        <v>14</v>
      </c>
      <c r="C26" s="7667" t="s">
        <v>2294</v>
      </c>
      <c r="D26" s="7667" t="s">
        <v>2295</v>
      </c>
      <c r="E26" s="7667" t="s">
        <v>2296</v>
      </c>
      <c r="F26" s="7667" t="s">
        <v>2297</v>
      </c>
      <c r="G26" s="7667" t="s">
        <v>18</v>
      </c>
      <c r="H26" s="7667" t="s">
        <v>18</v>
      </c>
      <c r="I26" s="7667" t="s">
        <v>714</v>
      </c>
    </row>
    <row customHeight="1" ht="11.25">
      <c r="A27" s="7667" t="s">
        <v>2206</v>
      </c>
      <c r="B27" s="7667" t="s">
        <v>14</v>
      </c>
      <c r="C27" s="7667" t="s">
        <v>2298</v>
      </c>
      <c r="D27" s="7667" t="s">
        <v>2299</v>
      </c>
      <c r="E27" s="7667" t="s">
        <v>2300</v>
      </c>
      <c r="F27" s="7667" t="s">
        <v>2210</v>
      </c>
      <c r="G27" s="7667" t="s">
        <v>18</v>
      </c>
      <c r="H27" s="7667" t="s">
        <v>18</v>
      </c>
      <c r="I27" s="7667" t="s">
        <v>714</v>
      </c>
    </row>
    <row customHeight="1" ht="11.25">
      <c r="A28" s="7667" t="s">
        <v>2206</v>
      </c>
      <c r="B28" s="7667" t="s">
        <v>14</v>
      </c>
      <c r="C28" s="7667" t="s">
        <v>2301</v>
      </c>
      <c r="D28" s="7667" t="s">
        <v>2302</v>
      </c>
      <c r="E28" s="7667" t="s">
        <v>2303</v>
      </c>
      <c r="F28" s="7667" t="s">
        <v>46</v>
      </c>
      <c r="G28" s="7667" t="s">
        <v>18</v>
      </c>
      <c r="H28" s="7667" t="s">
        <v>18</v>
      </c>
      <c r="I28" s="7667" t="s">
        <v>714</v>
      </c>
    </row>
    <row customHeight="1" ht="11.25">
      <c r="A29" s="7667" t="s">
        <v>2206</v>
      </c>
      <c r="B29" s="7667" t="s">
        <v>14</v>
      </c>
      <c r="C29" s="7667" t="s">
        <v>2304</v>
      </c>
      <c r="D29" s="7667" t="s">
        <v>2305</v>
      </c>
      <c r="E29" s="7667" t="s">
        <v>2306</v>
      </c>
      <c r="F29" s="7667" t="s">
        <v>2210</v>
      </c>
      <c r="G29" s="7667" t="s">
        <v>18</v>
      </c>
      <c r="H29" s="7667" t="s">
        <v>18</v>
      </c>
      <c r="I29" s="7667" t="s">
        <v>714</v>
      </c>
    </row>
    <row customHeight="1" ht="11.25">
      <c r="A30" s="7667" t="s">
        <v>2206</v>
      </c>
      <c r="B30" s="7667" t="s">
        <v>14</v>
      </c>
      <c r="C30" s="7667" t="s">
        <v>2307</v>
      </c>
      <c r="D30" s="7667" t="s">
        <v>2308</v>
      </c>
      <c r="E30" s="7667" t="s">
        <v>2309</v>
      </c>
      <c r="F30" s="7667" t="s">
        <v>46</v>
      </c>
      <c r="G30" s="7667" t="s">
        <v>18</v>
      </c>
      <c r="H30" s="7667" t="s">
        <v>2310</v>
      </c>
      <c r="I30" s="7667" t="s">
        <v>714</v>
      </c>
    </row>
    <row customHeight="1" ht="11.25">
      <c r="A31" s="7667" t="s">
        <v>2206</v>
      </c>
      <c r="B31" s="7667" t="s">
        <v>14</v>
      </c>
      <c r="C31" s="7667" t="s">
        <v>2311</v>
      </c>
      <c r="D31" s="7667" t="s">
        <v>2312</v>
      </c>
      <c r="E31" s="7667" t="s">
        <v>2313</v>
      </c>
      <c r="F31" s="7667" t="s">
        <v>2217</v>
      </c>
      <c r="G31" s="7667" t="s">
        <v>2314</v>
      </c>
      <c r="H31" s="7667" t="s">
        <v>18</v>
      </c>
      <c r="I31" s="7667" t="s">
        <v>714</v>
      </c>
    </row>
    <row customHeight="1" ht="11.25">
      <c r="A32" s="7667" t="s">
        <v>2206</v>
      </c>
      <c r="B32" s="7667" t="s">
        <v>14</v>
      </c>
      <c r="C32" s="7667" t="s">
        <v>2315</v>
      </c>
      <c r="D32" s="7667" t="s">
        <v>2316</v>
      </c>
      <c r="E32" s="7667" t="s">
        <v>2317</v>
      </c>
      <c r="F32" s="7667" t="s">
        <v>2318</v>
      </c>
      <c r="G32" s="7667" t="s">
        <v>18</v>
      </c>
      <c r="H32" s="7667" t="s">
        <v>18</v>
      </c>
      <c r="I32" s="7667" t="s">
        <v>714</v>
      </c>
    </row>
    <row customHeight="1" ht="11.25">
      <c r="A33" s="7667" t="s">
        <v>2206</v>
      </c>
      <c r="B33" s="7667" t="s">
        <v>14</v>
      </c>
      <c r="C33" s="7667" t="s">
        <v>2319</v>
      </c>
      <c r="D33" s="7667" t="s">
        <v>2320</v>
      </c>
      <c r="E33" s="7667" t="s">
        <v>2321</v>
      </c>
      <c r="F33" s="7667" t="s">
        <v>2322</v>
      </c>
      <c r="G33" s="7667" t="s">
        <v>18</v>
      </c>
      <c r="H33" s="7667" t="s">
        <v>18</v>
      </c>
      <c r="I33" s="7667" t="s">
        <v>714</v>
      </c>
    </row>
    <row customHeight="1" ht="11.25">
      <c r="A34" s="7667" t="s">
        <v>2206</v>
      </c>
      <c r="B34" s="7667" t="s">
        <v>14</v>
      </c>
      <c r="C34" s="7667" t="s">
        <v>2323</v>
      </c>
      <c r="D34" s="7667" t="s">
        <v>2324</v>
      </c>
      <c r="E34" s="7667" t="s">
        <v>2325</v>
      </c>
      <c r="F34" s="7667" t="s">
        <v>2326</v>
      </c>
      <c r="G34" s="7667" t="s">
        <v>18</v>
      </c>
      <c r="H34" s="7667" t="s">
        <v>2327</v>
      </c>
      <c r="I34" s="7667" t="s">
        <v>714</v>
      </c>
    </row>
    <row customHeight="1" ht="11.25">
      <c r="A35" s="7667" t="s">
        <v>2206</v>
      </c>
      <c r="B35" s="7667" t="s">
        <v>14</v>
      </c>
      <c r="C35" s="7667" t="s">
        <v>2328</v>
      </c>
      <c r="D35" s="7667" t="s">
        <v>2329</v>
      </c>
      <c r="E35" s="7667" t="s">
        <v>2330</v>
      </c>
      <c r="F35" s="7667" t="s">
        <v>2331</v>
      </c>
      <c r="G35" s="7667" t="s">
        <v>18</v>
      </c>
      <c r="H35" s="7667" t="s">
        <v>18</v>
      </c>
      <c r="I35" s="7667" t="s">
        <v>714</v>
      </c>
    </row>
    <row customHeight="1" ht="11.25">
      <c r="A36" s="7667" t="s">
        <v>2206</v>
      </c>
      <c r="B36" s="7667" t="s">
        <v>14</v>
      </c>
      <c r="C36" s="7667" t="s">
        <v>2332</v>
      </c>
      <c r="D36" s="7667" t="s">
        <v>2333</v>
      </c>
      <c r="E36" s="7667" t="s">
        <v>2334</v>
      </c>
      <c r="F36" s="7667" t="s">
        <v>2240</v>
      </c>
      <c r="G36" s="7667" t="s">
        <v>18</v>
      </c>
      <c r="H36" s="7667" t="s">
        <v>18</v>
      </c>
      <c r="I36" s="7667" t="s">
        <v>714</v>
      </c>
    </row>
    <row customHeight="1" ht="11.25">
      <c r="A37" s="7667" t="s">
        <v>2206</v>
      </c>
      <c r="B37" s="7667" t="s">
        <v>14</v>
      </c>
      <c r="C37" s="7667" t="s">
        <v>2335</v>
      </c>
      <c r="D37" s="7667" t="s">
        <v>2336</v>
      </c>
      <c r="E37" s="7667" t="s">
        <v>2337</v>
      </c>
      <c r="F37" s="7667" t="s">
        <v>2338</v>
      </c>
      <c r="G37" s="7667" t="s">
        <v>18</v>
      </c>
      <c r="H37" s="7667" t="s">
        <v>18</v>
      </c>
      <c r="I37" s="7667" t="s">
        <v>714</v>
      </c>
    </row>
    <row customHeight="1" ht="11.25">
      <c r="A38" s="7667" t="s">
        <v>2206</v>
      </c>
      <c r="B38" s="7667" t="s">
        <v>14</v>
      </c>
      <c r="C38" s="7667" t="s">
        <v>2339</v>
      </c>
      <c r="D38" s="7667" t="s">
        <v>2340</v>
      </c>
      <c r="E38" s="7667" t="s">
        <v>2341</v>
      </c>
      <c r="F38" s="7667" t="s">
        <v>2225</v>
      </c>
      <c r="G38" s="7667" t="s">
        <v>18</v>
      </c>
      <c r="H38" s="7667" t="s">
        <v>18</v>
      </c>
      <c r="I38" s="7667" t="s">
        <v>714</v>
      </c>
    </row>
    <row customHeight="1" ht="11.25">
      <c r="A39" s="7667" t="s">
        <v>2206</v>
      </c>
      <c r="B39" s="7667" t="s">
        <v>14</v>
      </c>
      <c r="C39" s="7667" t="s">
        <v>2342</v>
      </c>
      <c r="D39" s="7667" t="s">
        <v>2343</v>
      </c>
      <c r="E39" s="7667" t="s">
        <v>2344</v>
      </c>
      <c r="F39" s="7667" t="s">
        <v>2217</v>
      </c>
      <c r="G39" s="7667" t="s">
        <v>18</v>
      </c>
      <c r="H39" s="7667" t="s">
        <v>18</v>
      </c>
      <c r="I39" s="7667" t="s">
        <v>714</v>
      </c>
    </row>
    <row customHeight="1" ht="11.25">
      <c r="A40" s="7667" t="s">
        <v>2206</v>
      </c>
      <c r="B40" s="7667" t="s">
        <v>14</v>
      </c>
      <c r="C40" s="7667" t="s">
        <v>2345</v>
      </c>
      <c r="D40" s="7667" t="s">
        <v>2346</v>
      </c>
      <c r="E40" s="7667" t="s">
        <v>2347</v>
      </c>
      <c r="F40" s="7667" t="s">
        <v>2279</v>
      </c>
      <c r="G40" s="7667" t="s">
        <v>18</v>
      </c>
      <c r="H40" s="7667" t="s">
        <v>18</v>
      </c>
      <c r="I40" s="7667" t="s">
        <v>714</v>
      </c>
    </row>
    <row customHeight="1" ht="11.25">
      <c r="A41" s="7667" t="s">
        <v>2206</v>
      </c>
      <c r="B41" s="7667" t="s">
        <v>14</v>
      </c>
      <c r="C41" s="7667" t="s">
        <v>2348</v>
      </c>
      <c r="D41" s="7667" t="s">
        <v>2349</v>
      </c>
      <c r="E41" s="7667" t="s">
        <v>2350</v>
      </c>
      <c r="F41" s="7667" t="s">
        <v>2210</v>
      </c>
      <c r="G41" s="7667" t="s">
        <v>2351</v>
      </c>
      <c r="H41" s="7667" t="s">
        <v>18</v>
      </c>
      <c r="I41" s="7667" t="s">
        <v>714</v>
      </c>
    </row>
    <row customHeight="1" ht="11.25">
      <c r="A42" s="7667" t="s">
        <v>2206</v>
      </c>
      <c r="B42" s="7667" t="s">
        <v>14</v>
      </c>
      <c r="C42" s="7667" t="s">
        <v>2352</v>
      </c>
      <c r="D42" s="7667" t="s">
        <v>2353</v>
      </c>
      <c r="E42" s="7667" t="s">
        <v>2354</v>
      </c>
      <c r="F42" s="7667" t="s">
        <v>2251</v>
      </c>
      <c r="G42" s="7667" t="s">
        <v>18</v>
      </c>
      <c r="H42" s="7667" t="s">
        <v>18</v>
      </c>
      <c r="I42" s="7667" t="s">
        <v>714</v>
      </c>
    </row>
    <row customHeight="1" ht="11.25">
      <c r="A43" s="7667" t="s">
        <v>2206</v>
      </c>
      <c r="B43" s="7667" t="s">
        <v>14</v>
      </c>
      <c r="C43" s="7667" t="s">
        <v>2355</v>
      </c>
      <c r="D43" s="7667" t="s">
        <v>2356</v>
      </c>
      <c r="E43" s="7667" t="s">
        <v>2357</v>
      </c>
      <c r="F43" s="7667" t="s">
        <v>46</v>
      </c>
      <c r="G43" s="7667" t="s">
        <v>18</v>
      </c>
      <c r="H43" s="7667" t="s">
        <v>18</v>
      </c>
      <c r="I43" s="7667" t="s">
        <v>714</v>
      </c>
    </row>
    <row customHeight="1" ht="11.25">
      <c r="A44" s="7667" t="s">
        <v>2206</v>
      </c>
      <c r="B44" s="7667" t="s">
        <v>14</v>
      </c>
      <c r="C44" s="7667" t="s">
        <v>2358</v>
      </c>
      <c r="D44" s="7667" t="s">
        <v>2359</v>
      </c>
      <c r="E44" s="7667" t="s">
        <v>2360</v>
      </c>
      <c r="F44" s="7667" t="s">
        <v>2251</v>
      </c>
      <c r="G44" s="7667" t="s">
        <v>18</v>
      </c>
      <c r="H44" s="7667" t="s">
        <v>18</v>
      </c>
      <c r="I44" s="7667" t="s">
        <v>714</v>
      </c>
    </row>
    <row customHeight="1" ht="11.25">
      <c r="A45" s="7667" t="s">
        <v>2206</v>
      </c>
      <c r="B45" s="7667" t="s">
        <v>14</v>
      </c>
      <c r="C45" s="7667" t="s">
        <v>2361</v>
      </c>
      <c r="D45" s="7667" t="s">
        <v>2362</v>
      </c>
      <c r="E45" s="7667" t="s">
        <v>2363</v>
      </c>
      <c r="F45" s="7667" t="s">
        <v>2364</v>
      </c>
      <c r="G45" s="7667" t="s">
        <v>18</v>
      </c>
      <c r="H45" s="7667" t="s">
        <v>18</v>
      </c>
      <c r="I45" s="7667" t="s">
        <v>714</v>
      </c>
    </row>
    <row customHeight="1" ht="11.25">
      <c r="A46" s="7667" t="s">
        <v>2206</v>
      </c>
      <c r="B46" s="7667" t="s">
        <v>14</v>
      </c>
      <c r="C46" s="7667" t="s">
        <v>2365</v>
      </c>
      <c r="D46" s="7667" t="s">
        <v>2366</v>
      </c>
      <c r="E46" s="7667" t="s">
        <v>2367</v>
      </c>
      <c r="F46" s="7667" t="s">
        <v>2210</v>
      </c>
      <c r="G46" s="7667" t="s">
        <v>18</v>
      </c>
      <c r="H46" s="7667" t="s">
        <v>18</v>
      </c>
      <c r="I46" s="7667" t="s">
        <v>714</v>
      </c>
    </row>
    <row customHeight="1" ht="11.25">
      <c r="A47" s="7667" t="s">
        <v>2206</v>
      </c>
      <c r="B47" s="7667" t="s">
        <v>14</v>
      </c>
      <c r="C47" s="7667" t="s">
        <v>2368</v>
      </c>
      <c r="D47" s="7667" t="s">
        <v>2369</v>
      </c>
      <c r="E47" s="7667" t="s">
        <v>2370</v>
      </c>
      <c r="F47" s="7667" t="s">
        <v>2225</v>
      </c>
      <c r="G47" s="7667" t="s">
        <v>18</v>
      </c>
      <c r="H47" s="7667" t="s">
        <v>18</v>
      </c>
      <c r="I47" s="7667" t="s">
        <v>714</v>
      </c>
    </row>
    <row customHeight="1" ht="11.25">
      <c r="A48" s="7667" t="s">
        <v>2206</v>
      </c>
      <c r="B48" s="7667" t="s">
        <v>14</v>
      </c>
      <c r="C48" s="7667" t="s">
        <v>2371</v>
      </c>
      <c r="D48" s="7667" t="s">
        <v>2372</v>
      </c>
      <c r="E48" s="7667" t="s">
        <v>2243</v>
      </c>
      <c r="F48" s="7667" t="s">
        <v>2373</v>
      </c>
      <c r="G48" s="7667" t="s">
        <v>2374</v>
      </c>
      <c r="H48" s="7667" t="s">
        <v>18</v>
      </c>
      <c r="I48" s="7667" t="s">
        <v>714</v>
      </c>
    </row>
    <row customHeight="1" ht="11.25">
      <c r="A49" s="7667" t="s">
        <v>2206</v>
      </c>
      <c r="B49" s="7667" t="s">
        <v>14</v>
      </c>
      <c r="C49" s="7667" t="s">
        <v>2375</v>
      </c>
      <c r="D49" s="7667" t="s">
        <v>2376</v>
      </c>
      <c r="E49" s="7667" t="s">
        <v>2377</v>
      </c>
      <c r="F49" s="7667" t="s">
        <v>2225</v>
      </c>
      <c r="G49" s="7667" t="s">
        <v>2378</v>
      </c>
      <c r="H49" s="7667" t="s">
        <v>18</v>
      </c>
      <c r="I49" s="7667" t="s">
        <v>714</v>
      </c>
    </row>
    <row customHeight="1" ht="11.25">
      <c r="A50" s="7667" t="s">
        <v>2206</v>
      </c>
      <c r="B50" s="7667" t="s">
        <v>14</v>
      </c>
      <c r="C50" s="7667" t="s">
        <v>2379</v>
      </c>
      <c r="D50" s="7667" t="s">
        <v>2380</v>
      </c>
      <c r="E50" s="7667" t="s">
        <v>2381</v>
      </c>
      <c r="F50" s="7667" t="s">
        <v>2251</v>
      </c>
      <c r="G50" s="7667" t="s">
        <v>18</v>
      </c>
      <c r="H50" s="7667" t="s">
        <v>18</v>
      </c>
      <c r="I50" s="7667" t="s">
        <v>714</v>
      </c>
    </row>
    <row customHeight="1" ht="11.25">
      <c r="A51" s="7667" t="s">
        <v>2206</v>
      </c>
      <c r="B51" s="7667" t="s">
        <v>14</v>
      </c>
      <c r="C51" s="7667" t="s">
        <v>2382</v>
      </c>
      <c r="D51" s="7667" t="s">
        <v>2383</v>
      </c>
      <c r="E51" s="7667" t="s">
        <v>2384</v>
      </c>
      <c r="F51" s="7667" t="s">
        <v>2385</v>
      </c>
      <c r="G51" s="7667" t="s">
        <v>18</v>
      </c>
      <c r="H51" s="7667" t="s">
        <v>18</v>
      </c>
      <c r="I51" s="7667" t="s">
        <v>714</v>
      </c>
    </row>
    <row customHeight="1" ht="11.25">
      <c r="A52" s="7667" t="s">
        <v>2206</v>
      </c>
      <c r="B52" s="7667" t="s">
        <v>14</v>
      </c>
      <c r="C52" s="7667" t="s">
        <v>2386</v>
      </c>
      <c r="D52" s="7667" t="s">
        <v>2387</v>
      </c>
      <c r="E52" s="7667" t="s">
        <v>2388</v>
      </c>
      <c r="F52" s="7667" t="s">
        <v>2217</v>
      </c>
      <c r="G52" s="7667" t="s">
        <v>18</v>
      </c>
      <c r="H52" s="7667" t="s">
        <v>18</v>
      </c>
      <c r="I52" s="7667" t="s">
        <v>714</v>
      </c>
    </row>
    <row customHeight="1" ht="11.25">
      <c r="A53" s="7667" t="s">
        <v>2206</v>
      </c>
      <c r="B53" s="7667" t="s">
        <v>14</v>
      </c>
      <c r="C53" s="7667" t="s">
        <v>2389</v>
      </c>
      <c r="D53" s="7667" t="s">
        <v>2390</v>
      </c>
      <c r="E53" s="7667" t="s">
        <v>2391</v>
      </c>
      <c r="F53" s="7667" t="s">
        <v>2318</v>
      </c>
      <c r="G53" s="7667" t="s">
        <v>18</v>
      </c>
      <c r="H53" s="7667" t="s">
        <v>18</v>
      </c>
      <c r="I53" s="7667" t="s">
        <v>714</v>
      </c>
    </row>
    <row customHeight="1" ht="11.25">
      <c r="A54" s="7667" t="s">
        <v>2206</v>
      </c>
      <c r="B54" s="7667" t="s">
        <v>14</v>
      </c>
      <c r="C54" s="7667" t="s">
        <v>2392</v>
      </c>
      <c r="D54" s="7667" t="s">
        <v>2393</v>
      </c>
      <c r="E54" s="7667" t="s">
        <v>2394</v>
      </c>
      <c r="F54" s="7667" t="s">
        <v>2318</v>
      </c>
      <c r="G54" s="7667" t="s">
        <v>18</v>
      </c>
      <c r="H54" s="7667" t="s">
        <v>18</v>
      </c>
      <c r="I54" s="7667" t="s">
        <v>714</v>
      </c>
    </row>
    <row customHeight="1" ht="11.25">
      <c r="A55" s="7667" t="s">
        <v>2206</v>
      </c>
      <c r="B55" s="7667" t="s">
        <v>14</v>
      </c>
      <c r="C55" s="7667" t="s">
        <v>2395</v>
      </c>
      <c r="D55" s="7667" t="s">
        <v>2396</v>
      </c>
      <c r="E55" s="7667" t="s">
        <v>2397</v>
      </c>
      <c r="F55" s="7667" t="s">
        <v>2221</v>
      </c>
      <c r="G55" s="7667" t="s">
        <v>18</v>
      </c>
      <c r="H55" s="7667" t="s">
        <v>18</v>
      </c>
      <c r="I55" s="7667" t="s">
        <v>714</v>
      </c>
    </row>
    <row customHeight="1" ht="11.25">
      <c r="A56" s="7667" t="s">
        <v>2206</v>
      </c>
      <c r="B56" s="7667" t="s">
        <v>14</v>
      </c>
      <c r="C56" s="7667" t="s">
        <v>2398</v>
      </c>
      <c r="D56" s="7667" t="s">
        <v>2399</v>
      </c>
      <c r="E56" s="7667" t="s">
        <v>2400</v>
      </c>
      <c r="F56" s="7667" t="s">
        <v>2318</v>
      </c>
      <c r="G56" s="7667" t="s">
        <v>18</v>
      </c>
      <c r="H56" s="7667" t="s">
        <v>2401</v>
      </c>
      <c r="I56" s="7667" t="s">
        <v>714</v>
      </c>
    </row>
    <row customHeight="1" ht="11.25">
      <c r="A57" s="7667" t="s">
        <v>2206</v>
      </c>
      <c r="B57" s="7667" t="s">
        <v>14</v>
      </c>
      <c r="C57" s="7667" t="s">
        <v>2402</v>
      </c>
      <c r="D57" s="7667" t="s">
        <v>2403</v>
      </c>
      <c r="E57" s="7667" t="s">
        <v>2404</v>
      </c>
      <c r="F57" s="7667" t="s">
        <v>2221</v>
      </c>
      <c r="G57" s="7667" t="s">
        <v>18</v>
      </c>
      <c r="H57" s="7667" t="s">
        <v>2401</v>
      </c>
      <c r="I57" s="7667" t="s">
        <v>714</v>
      </c>
    </row>
    <row customHeight="1" ht="11.25">
      <c r="A58" s="7667" t="s">
        <v>2206</v>
      </c>
      <c r="B58" s="7667" t="s">
        <v>14</v>
      </c>
      <c r="C58" s="7667" t="s">
        <v>2405</v>
      </c>
      <c r="D58" s="7667" t="s">
        <v>2406</v>
      </c>
      <c r="E58" s="7667" t="s">
        <v>2407</v>
      </c>
      <c r="F58" s="7667" t="s">
        <v>2318</v>
      </c>
      <c r="G58" s="7667" t="s">
        <v>18</v>
      </c>
      <c r="H58" s="7667" t="s">
        <v>18</v>
      </c>
      <c r="I58" s="7667" t="s">
        <v>714</v>
      </c>
    </row>
    <row customHeight="1" ht="11.25">
      <c r="A59" s="7667" t="s">
        <v>2206</v>
      </c>
      <c r="B59" s="7667" t="s">
        <v>14</v>
      </c>
      <c r="C59" s="7667" t="s">
        <v>2408</v>
      </c>
      <c r="D59" s="7667" t="s">
        <v>2409</v>
      </c>
      <c r="E59" s="7667" t="s">
        <v>2410</v>
      </c>
      <c r="F59" s="7667" t="s">
        <v>2318</v>
      </c>
      <c r="G59" s="7667" t="s">
        <v>18</v>
      </c>
      <c r="H59" s="7667" t="s">
        <v>2411</v>
      </c>
      <c r="I59" s="7667" t="s">
        <v>714</v>
      </c>
    </row>
    <row customHeight="1" ht="11.25">
      <c r="A60" s="7667" t="s">
        <v>2206</v>
      </c>
      <c r="B60" s="7667" t="s">
        <v>14</v>
      </c>
      <c r="C60" s="7667" t="s">
        <v>2412</v>
      </c>
      <c r="D60" s="7667" t="s">
        <v>2413</v>
      </c>
      <c r="E60" s="7667" t="s">
        <v>2414</v>
      </c>
      <c r="F60" s="7667" t="s">
        <v>2283</v>
      </c>
      <c r="G60" s="7667" t="s">
        <v>18</v>
      </c>
      <c r="H60" s="7667" t="s">
        <v>18</v>
      </c>
      <c r="I60" s="7667" t="s">
        <v>714</v>
      </c>
    </row>
    <row customHeight="1" ht="11.25">
      <c r="A61" s="7667" t="s">
        <v>2206</v>
      </c>
      <c r="B61" s="7667" t="s">
        <v>14</v>
      </c>
      <c r="C61" s="7667" t="s">
        <v>2415</v>
      </c>
      <c r="D61" s="7667" t="s">
        <v>2416</v>
      </c>
      <c r="E61" s="7667" t="s">
        <v>2417</v>
      </c>
      <c r="F61" s="7667" t="s">
        <v>2283</v>
      </c>
      <c r="G61" s="7667" t="s">
        <v>18</v>
      </c>
      <c r="H61" s="7667" t="s">
        <v>18</v>
      </c>
      <c r="I61" s="7667" t="s">
        <v>714</v>
      </c>
    </row>
    <row customHeight="1" ht="11.25">
      <c r="A62" s="7667" t="s">
        <v>2206</v>
      </c>
      <c r="B62" s="7667" t="s">
        <v>14</v>
      </c>
      <c r="C62" s="7667" t="s">
        <v>2418</v>
      </c>
      <c r="D62" s="7667" t="s">
        <v>2419</v>
      </c>
      <c r="E62" s="7667" t="s">
        <v>2420</v>
      </c>
      <c r="F62" s="7667" t="s">
        <v>2210</v>
      </c>
      <c r="G62" s="7667" t="s">
        <v>18</v>
      </c>
      <c r="H62" s="7667" t="s">
        <v>18</v>
      </c>
      <c r="I62" s="7667" t="s">
        <v>714</v>
      </c>
    </row>
    <row customHeight="1" ht="11.25">
      <c r="A63" s="7667" t="s">
        <v>2206</v>
      </c>
      <c r="B63" s="7667" t="s">
        <v>14</v>
      </c>
      <c r="C63" s="7667" t="s">
        <v>2421</v>
      </c>
      <c r="D63" s="7667" t="s">
        <v>2422</v>
      </c>
      <c r="E63" s="7667" t="s">
        <v>2423</v>
      </c>
      <c r="F63" s="7667" t="s">
        <v>2424</v>
      </c>
      <c r="G63" s="7667" t="s">
        <v>18</v>
      </c>
      <c r="H63" s="7667" t="s">
        <v>18</v>
      </c>
      <c r="I63" s="7667" t="s">
        <v>714</v>
      </c>
    </row>
    <row customHeight="1" ht="11.25">
      <c r="A64" s="7667" t="s">
        <v>2206</v>
      </c>
      <c r="B64" s="7667" t="s">
        <v>14</v>
      </c>
      <c r="C64" s="7667" t="s">
        <v>2425</v>
      </c>
      <c r="D64" s="7667" t="s">
        <v>2426</v>
      </c>
      <c r="E64" s="7667" t="s">
        <v>2427</v>
      </c>
      <c r="F64" s="7667" t="s">
        <v>2428</v>
      </c>
      <c r="G64" s="7667" t="s">
        <v>18</v>
      </c>
      <c r="H64" s="7667" t="s">
        <v>18</v>
      </c>
      <c r="I64" s="7667" t="s">
        <v>714</v>
      </c>
    </row>
    <row customHeight="1" ht="11.25">
      <c r="A65" s="7667" t="s">
        <v>2206</v>
      </c>
      <c r="B65" s="7667" t="s">
        <v>14</v>
      </c>
      <c r="C65" s="7667" t="s">
        <v>2429</v>
      </c>
      <c r="D65" s="7667" t="s">
        <v>2430</v>
      </c>
      <c r="E65" s="7667" t="s">
        <v>2431</v>
      </c>
      <c r="F65" s="7667" t="s">
        <v>2432</v>
      </c>
      <c r="G65" s="7667" t="s">
        <v>18</v>
      </c>
      <c r="H65" s="7667" t="s">
        <v>18</v>
      </c>
      <c r="I65" s="7667" t="s">
        <v>714</v>
      </c>
    </row>
    <row customHeight="1" ht="11.25">
      <c r="A66" s="7667" t="s">
        <v>2206</v>
      </c>
      <c r="B66" s="7667" t="s">
        <v>14</v>
      </c>
      <c r="C66" s="7667" t="s">
        <v>2433</v>
      </c>
      <c r="D66" s="7667" t="s">
        <v>2434</v>
      </c>
      <c r="E66" s="7667" t="s">
        <v>2435</v>
      </c>
      <c r="F66" s="7667" t="s">
        <v>2251</v>
      </c>
      <c r="G66" s="7667" t="s">
        <v>18</v>
      </c>
      <c r="H66" s="7667" t="s">
        <v>2436</v>
      </c>
      <c r="I66" s="7667" t="s">
        <v>714</v>
      </c>
    </row>
    <row customHeight="1" ht="11.25">
      <c r="A67" s="7667" t="s">
        <v>2206</v>
      </c>
      <c r="B67" s="7667" t="s">
        <v>14</v>
      </c>
      <c r="C67" s="7667" t="s">
        <v>2437</v>
      </c>
      <c r="D67" s="7667" t="s">
        <v>2438</v>
      </c>
      <c r="E67" s="7667" t="s">
        <v>2439</v>
      </c>
      <c r="F67" s="7667" t="s">
        <v>2297</v>
      </c>
      <c r="G67" s="7667" t="s">
        <v>18</v>
      </c>
      <c r="H67" s="7667" t="s">
        <v>18</v>
      </c>
      <c r="I67" s="7667" t="s">
        <v>714</v>
      </c>
    </row>
    <row customHeight="1" ht="11.25">
      <c r="A68" s="7667" t="s">
        <v>2206</v>
      </c>
      <c r="B68" s="7667" t="s">
        <v>14</v>
      </c>
      <c r="C68" s="7667" t="s">
        <v>2440</v>
      </c>
      <c r="D68" s="7667" t="s">
        <v>2441</v>
      </c>
      <c r="E68" s="7667" t="s">
        <v>2442</v>
      </c>
      <c r="F68" s="7667" t="s">
        <v>2225</v>
      </c>
      <c r="G68" s="7667" t="s">
        <v>18</v>
      </c>
      <c r="H68" s="7667" t="s">
        <v>2443</v>
      </c>
      <c r="I68" s="7667" t="s">
        <v>714</v>
      </c>
    </row>
    <row customHeight="1" ht="11.25">
      <c r="A69" s="7667" t="s">
        <v>2206</v>
      </c>
      <c r="B69" s="7667" t="s">
        <v>14</v>
      </c>
      <c r="C69" s="7667" t="s">
        <v>2444</v>
      </c>
      <c r="D69" s="7667" t="s">
        <v>2445</v>
      </c>
      <c r="E69" s="7667" t="s">
        <v>2446</v>
      </c>
      <c r="F69" s="7667" t="s">
        <v>2447</v>
      </c>
      <c r="G69" s="7667" t="s">
        <v>18</v>
      </c>
      <c r="H69" s="7667" t="s">
        <v>18</v>
      </c>
      <c r="I69" s="7667" t="s">
        <v>714</v>
      </c>
    </row>
    <row customHeight="1" ht="11.25">
      <c r="A70" s="7667" t="s">
        <v>2206</v>
      </c>
      <c r="B70" s="7667" t="s">
        <v>14</v>
      </c>
      <c r="C70" s="7667" t="s">
        <v>2448</v>
      </c>
      <c r="D70" s="7667" t="s">
        <v>2449</v>
      </c>
      <c r="E70" s="7667" t="s">
        <v>2450</v>
      </c>
      <c r="F70" s="7667" t="s">
        <v>2279</v>
      </c>
      <c r="G70" s="7667" t="s">
        <v>18</v>
      </c>
      <c r="H70" s="7667" t="s">
        <v>2451</v>
      </c>
      <c r="I70" s="7667" t="s">
        <v>714</v>
      </c>
    </row>
    <row customHeight="1" ht="11.25">
      <c r="A71" s="7667" t="s">
        <v>2206</v>
      </c>
      <c r="B71" s="7667" t="s">
        <v>14</v>
      </c>
      <c r="C71" s="7667" t="s">
        <v>2452</v>
      </c>
      <c r="D71" s="7667" t="s">
        <v>2453</v>
      </c>
      <c r="E71" s="7667" t="s">
        <v>2454</v>
      </c>
      <c r="F71" s="7667" t="s">
        <v>2455</v>
      </c>
      <c r="G71" s="7667" t="s">
        <v>18</v>
      </c>
      <c r="H71" s="7667" t="s">
        <v>2456</v>
      </c>
      <c r="I71" s="7667" t="s">
        <v>714</v>
      </c>
    </row>
    <row customHeight="1" ht="11.25">
      <c r="A72" s="7667" t="s">
        <v>2206</v>
      </c>
      <c r="B72" s="7667" t="s">
        <v>14</v>
      </c>
      <c r="C72" s="7667" t="s">
        <v>2457</v>
      </c>
      <c r="D72" s="7667" t="s">
        <v>2458</v>
      </c>
      <c r="E72" s="7667" t="s">
        <v>2459</v>
      </c>
      <c r="F72" s="7667" t="s">
        <v>2225</v>
      </c>
      <c r="G72" s="7667" t="s">
        <v>18</v>
      </c>
      <c r="H72" s="7667" t="s">
        <v>18</v>
      </c>
      <c r="I72" s="7667" t="s">
        <v>714</v>
      </c>
    </row>
    <row customHeight="1" ht="11.25">
      <c r="A73" s="7667" t="s">
        <v>2206</v>
      </c>
      <c r="B73" s="7667" t="s">
        <v>14</v>
      </c>
      <c r="C73" s="7667" t="s">
        <v>2460</v>
      </c>
      <c r="D73" s="7667" t="s">
        <v>2461</v>
      </c>
      <c r="E73" s="7667" t="s">
        <v>2462</v>
      </c>
      <c r="F73" s="7667" t="s">
        <v>2463</v>
      </c>
      <c r="G73" s="7667" t="s">
        <v>18</v>
      </c>
      <c r="H73" s="7667" t="s">
        <v>18</v>
      </c>
      <c r="I73" s="7667" t="s">
        <v>714</v>
      </c>
    </row>
    <row customHeight="1" ht="11.25">
      <c r="A74" s="7667" t="s">
        <v>2206</v>
      </c>
      <c r="B74" s="7667" t="s">
        <v>14</v>
      </c>
      <c r="C74" s="7667" t="s">
        <v>2464</v>
      </c>
      <c r="D74" s="7667" t="s">
        <v>2465</v>
      </c>
      <c r="E74" s="7667" t="s">
        <v>2466</v>
      </c>
      <c r="F74" s="7667" t="s">
        <v>2217</v>
      </c>
      <c r="G74" s="7667" t="s">
        <v>18</v>
      </c>
      <c r="H74" s="7667" t="s">
        <v>18</v>
      </c>
      <c r="I74" s="7667" t="s">
        <v>714</v>
      </c>
    </row>
    <row customHeight="1" ht="11.25">
      <c r="A75" s="7667" t="s">
        <v>2206</v>
      </c>
      <c r="B75" s="7667" t="s">
        <v>14</v>
      </c>
      <c r="C75" s="7667" t="s">
        <v>2467</v>
      </c>
      <c r="D75" s="7667" t="s">
        <v>2468</v>
      </c>
      <c r="E75" s="7667" t="s">
        <v>2469</v>
      </c>
      <c r="F75" s="7667" t="s">
        <v>2236</v>
      </c>
      <c r="G75" s="7667" t="s">
        <v>18</v>
      </c>
      <c r="H75" s="7667" t="s">
        <v>18</v>
      </c>
      <c r="I75" s="7667" t="s">
        <v>714</v>
      </c>
    </row>
    <row customHeight="1" ht="11.25">
      <c r="A76" s="7667" t="s">
        <v>2206</v>
      </c>
      <c r="B76" s="7667" t="s">
        <v>14</v>
      </c>
      <c r="C76" s="7667" t="s">
        <v>2470</v>
      </c>
      <c r="D76" s="7667" t="s">
        <v>2471</v>
      </c>
      <c r="E76" s="7667" t="s">
        <v>2472</v>
      </c>
      <c r="F76" s="7667" t="s">
        <v>2283</v>
      </c>
      <c r="G76" s="7667" t="s">
        <v>18</v>
      </c>
      <c r="H76" s="7667" t="s">
        <v>2473</v>
      </c>
      <c r="I76" s="7667" t="s">
        <v>714</v>
      </c>
    </row>
    <row customHeight="1" ht="11.25">
      <c r="A77" s="7667" t="s">
        <v>2206</v>
      </c>
      <c r="B77" s="7667" t="s">
        <v>14</v>
      </c>
      <c r="C77" s="7667" t="s">
        <v>2474</v>
      </c>
      <c r="D77" s="7667" t="s">
        <v>2475</v>
      </c>
      <c r="E77" s="7667" t="s">
        <v>2476</v>
      </c>
      <c r="F77" s="7667" t="s">
        <v>2217</v>
      </c>
      <c r="G77" s="7667" t="s">
        <v>18</v>
      </c>
      <c r="H77" s="7667" t="s">
        <v>18</v>
      </c>
      <c r="I77" s="7667" t="s">
        <v>714</v>
      </c>
    </row>
    <row customHeight="1" ht="11.25">
      <c r="A78" s="7667" t="s">
        <v>2206</v>
      </c>
      <c r="B78" s="7667" t="s">
        <v>14</v>
      </c>
      <c r="C78" s="7667" t="s">
        <v>2477</v>
      </c>
      <c r="D78" s="7667" t="s">
        <v>2478</v>
      </c>
      <c r="E78" s="7667" t="s">
        <v>2479</v>
      </c>
      <c r="F78" s="7667" t="s">
        <v>2322</v>
      </c>
      <c r="G78" s="7667" t="s">
        <v>18</v>
      </c>
      <c r="H78" s="7667" t="s">
        <v>18</v>
      </c>
      <c r="I78" s="7667" t="s">
        <v>714</v>
      </c>
    </row>
    <row customHeight="1" ht="11.25">
      <c r="A79" s="7667" t="s">
        <v>2206</v>
      </c>
      <c r="B79" s="7667" t="s">
        <v>14</v>
      </c>
      <c r="C79" s="7667" t="s">
        <v>2480</v>
      </c>
      <c r="D79" s="7667" t="s">
        <v>2481</v>
      </c>
      <c r="E79" s="7667" t="s">
        <v>2482</v>
      </c>
      <c r="F79" s="7667" t="s">
        <v>46</v>
      </c>
      <c r="G79" s="7667" t="s">
        <v>18</v>
      </c>
      <c r="H79" s="7667" t="s">
        <v>2436</v>
      </c>
      <c r="I79" s="7667" t="s">
        <v>714</v>
      </c>
    </row>
    <row customHeight="1" ht="11.25">
      <c r="A80" s="7667" t="s">
        <v>2206</v>
      </c>
      <c r="B80" s="7667" t="s">
        <v>14</v>
      </c>
      <c r="C80" s="7667" t="s">
        <v>2483</v>
      </c>
      <c r="D80" s="7667" t="s">
        <v>2484</v>
      </c>
      <c r="E80" s="7667" t="s">
        <v>2485</v>
      </c>
      <c r="F80" s="7667" t="s">
        <v>2225</v>
      </c>
      <c r="G80" s="7667" t="s">
        <v>18</v>
      </c>
      <c r="H80" s="7667" t="s">
        <v>18</v>
      </c>
      <c r="I80" s="7667" t="s">
        <v>714</v>
      </c>
    </row>
    <row customHeight="1" ht="11.25">
      <c r="A81" s="7667" t="s">
        <v>2206</v>
      </c>
      <c r="B81" s="7667" t="s">
        <v>14</v>
      </c>
      <c r="C81" s="7667" t="s">
        <v>2486</v>
      </c>
      <c r="D81" s="7667" t="s">
        <v>2487</v>
      </c>
      <c r="E81" s="7667" t="s">
        <v>2488</v>
      </c>
      <c r="F81" s="7667" t="s">
        <v>2432</v>
      </c>
      <c r="G81" s="7667" t="s">
        <v>18</v>
      </c>
      <c r="H81" s="7667" t="s">
        <v>18</v>
      </c>
      <c r="I81" s="7667" t="s">
        <v>714</v>
      </c>
    </row>
    <row customHeight="1" ht="11.25">
      <c r="A82" s="7667" t="s">
        <v>2206</v>
      </c>
      <c r="B82" s="7667" t="s">
        <v>14</v>
      </c>
      <c r="C82" s="7667" t="s">
        <v>2489</v>
      </c>
      <c r="D82" s="7667" t="s">
        <v>2490</v>
      </c>
      <c r="E82" s="7667" t="s">
        <v>2491</v>
      </c>
      <c r="F82" s="7667" t="s">
        <v>2424</v>
      </c>
      <c r="G82" s="7667" t="s">
        <v>18</v>
      </c>
      <c r="H82" s="7667" t="s">
        <v>18</v>
      </c>
      <c r="I82" s="7667" t="s">
        <v>714</v>
      </c>
    </row>
    <row customHeight="1" ht="11.25">
      <c r="A83" s="7667" t="s">
        <v>2206</v>
      </c>
      <c r="B83" s="7667" t="s">
        <v>14</v>
      </c>
      <c r="C83" s="7667" t="s">
        <v>2492</v>
      </c>
      <c r="D83" s="7667" t="s">
        <v>2493</v>
      </c>
      <c r="E83" s="7667" t="s">
        <v>2494</v>
      </c>
      <c r="F83" s="7667" t="s">
        <v>46</v>
      </c>
      <c r="G83" s="7667" t="s">
        <v>18</v>
      </c>
      <c r="H83" s="7667" t="s">
        <v>2495</v>
      </c>
      <c r="I83" s="7667" t="s">
        <v>714</v>
      </c>
    </row>
    <row customHeight="1" ht="11.25">
      <c r="A84" s="7667" t="s">
        <v>2206</v>
      </c>
      <c r="B84" s="7667" t="s">
        <v>14</v>
      </c>
      <c r="C84" s="7667" t="s">
        <v>2496</v>
      </c>
      <c r="D84" s="7667" t="s">
        <v>2497</v>
      </c>
      <c r="E84" s="7667" t="s">
        <v>2498</v>
      </c>
      <c r="F84" s="7667" t="s">
        <v>2217</v>
      </c>
      <c r="G84" s="7667" t="s">
        <v>18</v>
      </c>
      <c r="H84" s="7667" t="s">
        <v>18</v>
      </c>
      <c r="I84" s="7667" t="s">
        <v>714</v>
      </c>
    </row>
    <row customHeight="1" ht="11.25">
      <c r="A85" s="7667" t="s">
        <v>2206</v>
      </c>
      <c r="B85" s="7667" t="s">
        <v>14</v>
      </c>
      <c r="C85" s="7667" t="s">
        <v>2499</v>
      </c>
      <c r="D85" s="7667" t="s">
        <v>2500</v>
      </c>
      <c r="E85" s="7667" t="s">
        <v>2501</v>
      </c>
      <c r="F85" s="7667" t="s">
        <v>2424</v>
      </c>
      <c r="G85" s="7667" t="s">
        <v>18</v>
      </c>
      <c r="H85" s="7667" t="s">
        <v>18</v>
      </c>
      <c r="I85" s="7667" t="s">
        <v>714</v>
      </c>
    </row>
    <row customHeight="1" ht="11.25">
      <c r="A86" s="7667" t="s">
        <v>2206</v>
      </c>
      <c r="B86" s="7667" t="s">
        <v>14</v>
      </c>
      <c r="C86" s="7667" t="s">
        <v>2502</v>
      </c>
      <c r="D86" s="7667" t="s">
        <v>2503</v>
      </c>
      <c r="E86" s="7667" t="s">
        <v>2504</v>
      </c>
      <c r="F86" s="7667" t="s">
        <v>46</v>
      </c>
      <c r="G86" s="7667" t="s">
        <v>18</v>
      </c>
      <c r="H86" s="7667" t="s">
        <v>2505</v>
      </c>
      <c r="I86" s="7667" t="s">
        <v>714</v>
      </c>
    </row>
    <row customHeight="1" ht="11.25">
      <c r="A87" s="7667" t="s">
        <v>2206</v>
      </c>
      <c r="B87" s="7667" t="s">
        <v>14</v>
      </c>
      <c r="C87" s="7667" t="s">
        <v>2506</v>
      </c>
      <c r="D87" s="7667" t="s">
        <v>2507</v>
      </c>
      <c r="E87" s="7667" t="s">
        <v>2508</v>
      </c>
      <c r="F87" s="7667" t="s">
        <v>2251</v>
      </c>
      <c r="G87" s="7667" t="s">
        <v>18</v>
      </c>
      <c r="H87" s="7667" t="s">
        <v>2436</v>
      </c>
      <c r="I87" s="7667" t="s">
        <v>714</v>
      </c>
    </row>
    <row customHeight="1" ht="11.25">
      <c r="A88" s="7667" t="s">
        <v>2206</v>
      </c>
      <c r="B88" s="7667" t="s">
        <v>14</v>
      </c>
      <c r="C88" s="7667" t="s">
        <v>2509</v>
      </c>
      <c r="D88" s="7667" t="s">
        <v>2510</v>
      </c>
      <c r="E88" s="7667" t="s">
        <v>2511</v>
      </c>
      <c r="F88" s="7667" t="s">
        <v>2217</v>
      </c>
      <c r="G88" s="7667" t="s">
        <v>18</v>
      </c>
      <c r="H88" s="7667" t="s">
        <v>2401</v>
      </c>
      <c r="I88" s="7667" t="s">
        <v>714</v>
      </c>
    </row>
    <row customHeight="1" ht="11.25">
      <c r="A89" s="7667" t="s">
        <v>2206</v>
      </c>
      <c r="B89" s="7667" t="s">
        <v>14</v>
      </c>
      <c r="C89" s="7667" t="s">
        <v>2512</v>
      </c>
      <c r="D89" s="7667" t="s">
        <v>2513</v>
      </c>
      <c r="E89" s="7667" t="s">
        <v>2514</v>
      </c>
      <c r="F89" s="7667" t="s">
        <v>2217</v>
      </c>
      <c r="G89" s="7667" t="s">
        <v>18</v>
      </c>
      <c r="H89" s="7667" t="s">
        <v>18</v>
      </c>
      <c r="I89" s="7667" t="s">
        <v>714</v>
      </c>
    </row>
    <row customHeight="1" ht="11.25">
      <c r="A90" s="7667" t="s">
        <v>2206</v>
      </c>
      <c r="B90" s="7667" t="s">
        <v>14</v>
      </c>
      <c r="C90" s="7667" t="s">
        <v>2515</v>
      </c>
      <c r="D90" s="7667" t="s">
        <v>2516</v>
      </c>
      <c r="E90" s="7667" t="s">
        <v>2517</v>
      </c>
      <c r="F90" s="7667" t="s">
        <v>2221</v>
      </c>
      <c r="G90" s="7667" t="s">
        <v>18</v>
      </c>
      <c r="H90" s="7667" t="s">
        <v>2518</v>
      </c>
      <c r="I90" s="7667" t="s">
        <v>714</v>
      </c>
    </row>
    <row customHeight="1" ht="11.25">
      <c r="A91" s="7667" t="s">
        <v>2206</v>
      </c>
      <c r="B91" s="7667" t="s">
        <v>14</v>
      </c>
      <c r="C91" s="7667" t="s">
        <v>2519</v>
      </c>
      <c r="D91" s="7667" t="s">
        <v>2520</v>
      </c>
      <c r="E91" s="7667" t="s">
        <v>2521</v>
      </c>
      <c r="F91" s="7667" t="s">
        <v>2385</v>
      </c>
      <c r="G91" s="7667" t="s">
        <v>18</v>
      </c>
      <c r="H91" s="7667" t="s">
        <v>18</v>
      </c>
      <c r="I91" s="7667" t="s">
        <v>714</v>
      </c>
    </row>
    <row customHeight="1" ht="11.25">
      <c r="A92" s="7667" t="s">
        <v>2206</v>
      </c>
      <c r="B92" s="7667" t="s">
        <v>14</v>
      </c>
      <c r="C92" s="7667" t="s">
        <v>2522</v>
      </c>
      <c r="D92" s="7667" t="s">
        <v>2523</v>
      </c>
      <c r="E92" s="7667" t="s">
        <v>2524</v>
      </c>
      <c r="F92" s="7667" t="s">
        <v>2217</v>
      </c>
      <c r="G92" s="7667" t="s">
        <v>18</v>
      </c>
      <c r="H92" s="7667" t="s">
        <v>18</v>
      </c>
      <c r="I92" s="7667" t="s">
        <v>714</v>
      </c>
    </row>
    <row customHeight="1" ht="11.25">
      <c r="A93" s="7667" t="s">
        <v>2206</v>
      </c>
      <c r="B93" s="7667" t="s">
        <v>14</v>
      </c>
      <c r="C93" s="7667" t="s">
        <v>2525</v>
      </c>
      <c r="D93" s="7667" t="s">
        <v>2526</v>
      </c>
      <c r="E93" s="7667" t="s">
        <v>2527</v>
      </c>
      <c r="F93" s="7667" t="s">
        <v>2528</v>
      </c>
      <c r="G93" s="7667" t="s">
        <v>18</v>
      </c>
      <c r="H93" s="7667" t="s">
        <v>2401</v>
      </c>
      <c r="I93" s="7667" t="s">
        <v>714</v>
      </c>
    </row>
    <row customHeight="1" ht="11.25">
      <c r="A94" s="7667" t="s">
        <v>2206</v>
      </c>
      <c r="B94" s="7667" t="s">
        <v>14</v>
      </c>
      <c r="C94" s="7667" t="s">
        <v>2529</v>
      </c>
      <c r="D94" s="7667" t="s">
        <v>2530</v>
      </c>
      <c r="E94" s="7667" t="s">
        <v>2531</v>
      </c>
      <c r="F94" s="7667" t="s">
        <v>2279</v>
      </c>
      <c r="G94" s="7667" t="s">
        <v>18</v>
      </c>
      <c r="H94" s="7667" t="s">
        <v>18</v>
      </c>
      <c r="I94" s="7667" t="s">
        <v>714</v>
      </c>
    </row>
    <row customHeight="1" ht="11.25">
      <c r="A95" s="7667" t="s">
        <v>2206</v>
      </c>
      <c r="B95" s="7667" t="s">
        <v>14</v>
      </c>
      <c r="C95" s="7667" t="s">
        <v>2532</v>
      </c>
      <c r="D95" s="7667" t="s">
        <v>2533</v>
      </c>
      <c r="E95" s="7667" t="s">
        <v>2534</v>
      </c>
      <c r="F95" s="7667" t="s">
        <v>2225</v>
      </c>
      <c r="G95" s="7667" t="s">
        <v>18</v>
      </c>
      <c r="H95" s="7667" t="s">
        <v>18</v>
      </c>
      <c r="I95" s="7667" t="s">
        <v>714</v>
      </c>
    </row>
    <row customHeight="1" ht="11.25">
      <c r="A96" s="7667" t="s">
        <v>2206</v>
      </c>
      <c r="B96" s="7667" t="s">
        <v>14</v>
      </c>
      <c r="C96" s="7667" t="s">
        <v>2535</v>
      </c>
      <c r="D96" s="7667" t="s">
        <v>2536</v>
      </c>
      <c r="E96" s="7667" t="s">
        <v>2537</v>
      </c>
      <c r="F96" s="7667" t="s">
        <v>2385</v>
      </c>
      <c r="G96" s="7667" t="s">
        <v>18</v>
      </c>
      <c r="H96" s="7667" t="s">
        <v>18</v>
      </c>
      <c r="I96" s="7667" t="s">
        <v>714</v>
      </c>
    </row>
    <row customHeight="1" ht="11.25">
      <c r="A97" s="7667" t="s">
        <v>2206</v>
      </c>
      <c r="B97" s="7667" t="s">
        <v>14</v>
      </c>
      <c r="C97" s="7667" t="s">
        <v>2538</v>
      </c>
      <c r="D97" s="7667" t="s">
        <v>2539</v>
      </c>
      <c r="E97" s="7667" t="s">
        <v>2540</v>
      </c>
      <c r="F97" s="7667" t="s">
        <v>2217</v>
      </c>
      <c r="G97" s="7667" t="s">
        <v>18</v>
      </c>
      <c r="H97" s="7667" t="s">
        <v>18</v>
      </c>
      <c r="I97" s="7667" t="s">
        <v>714</v>
      </c>
    </row>
    <row customHeight="1" ht="11.25">
      <c r="A98" s="7667" t="s">
        <v>2206</v>
      </c>
      <c r="B98" s="7667" t="s">
        <v>14</v>
      </c>
      <c r="C98" s="7667" t="s">
        <v>2541</v>
      </c>
      <c r="D98" s="7667" t="s">
        <v>2542</v>
      </c>
      <c r="E98" s="7667" t="s">
        <v>2543</v>
      </c>
      <c r="F98" s="7667" t="s">
        <v>46</v>
      </c>
      <c r="G98" s="7667" t="s">
        <v>18</v>
      </c>
      <c r="H98" s="7667" t="s">
        <v>18</v>
      </c>
      <c r="I98" s="7667" t="s">
        <v>714</v>
      </c>
    </row>
    <row customHeight="1" ht="11.25">
      <c r="A99" s="7667" t="s">
        <v>2206</v>
      </c>
      <c r="B99" s="7667" t="s">
        <v>14</v>
      </c>
      <c r="C99" s="7667" t="s">
        <v>2544</v>
      </c>
      <c r="D99" s="7667" t="s">
        <v>2545</v>
      </c>
      <c r="E99" s="7667" t="s">
        <v>2546</v>
      </c>
      <c r="F99" s="7667" t="s">
        <v>2221</v>
      </c>
      <c r="G99" s="7667" t="s">
        <v>18</v>
      </c>
      <c r="H99" s="7667" t="s">
        <v>18</v>
      </c>
      <c r="I99" s="7667" t="s">
        <v>714</v>
      </c>
    </row>
    <row customHeight="1" ht="11.25">
      <c r="A100" s="7667" t="s">
        <v>2206</v>
      </c>
      <c r="B100" s="7667" t="s">
        <v>14</v>
      </c>
      <c r="C100" s="7667" t="s">
        <v>2547</v>
      </c>
      <c r="D100" s="7667" t="s">
        <v>2548</v>
      </c>
      <c r="E100" s="7667" t="s">
        <v>2549</v>
      </c>
      <c r="F100" s="7667" t="s">
        <v>2550</v>
      </c>
      <c r="G100" s="7667" t="s">
        <v>2551</v>
      </c>
      <c r="H100" s="7667" t="s">
        <v>2552</v>
      </c>
      <c r="I100" s="7667" t="s">
        <v>714</v>
      </c>
    </row>
    <row customHeight="1" ht="11.25">
      <c r="A101" s="7667" t="s">
        <v>2206</v>
      </c>
      <c r="B101" s="7667" t="s">
        <v>14</v>
      </c>
      <c r="C101" s="7667" t="s">
        <v>2553</v>
      </c>
      <c r="D101" s="7667" t="s">
        <v>2554</v>
      </c>
      <c r="E101" s="7667" t="s">
        <v>2549</v>
      </c>
      <c r="F101" s="7667" t="s">
        <v>2555</v>
      </c>
      <c r="G101" s="7667" t="s">
        <v>2552</v>
      </c>
      <c r="H101" s="7667" t="s">
        <v>18</v>
      </c>
      <c r="I101" s="7667" t="s">
        <v>714</v>
      </c>
    </row>
    <row customHeight="1" ht="11.25">
      <c r="A102" s="7667" t="s">
        <v>2206</v>
      </c>
      <c r="B102" s="7667" t="s">
        <v>14</v>
      </c>
      <c r="C102" s="7667" t="s">
        <v>2556</v>
      </c>
      <c r="D102" s="7667" t="s">
        <v>2557</v>
      </c>
      <c r="E102" s="7667" t="s">
        <v>2558</v>
      </c>
      <c r="F102" s="7667" t="s">
        <v>2210</v>
      </c>
      <c r="G102" s="7667" t="s">
        <v>18</v>
      </c>
      <c r="H102" s="7667" t="s">
        <v>18</v>
      </c>
      <c r="I102" s="7667" t="s">
        <v>714</v>
      </c>
    </row>
    <row customHeight="1" ht="11.25">
      <c r="A103" s="7667" t="s">
        <v>2206</v>
      </c>
      <c r="B103" s="7667" t="s">
        <v>14</v>
      </c>
      <c r="C103" s="7667" t="s">
        <v>2559</v>
      </c>
      <c r="D103" s="7667" t="s">
        <v>2560</v>
      </c>
      <c r="E103" s="7667" t="s">
        <v>2561</v>
      </c>
      <c r="F103" s="7667" t="s">
        <v>2217</v>
      </c>
      <c r="G103" s="7667" t="s">
        <v>2562</v>
      </c>
      <c r="H103" s="7667" t="s">
        <v>18</v>
      </c>
      <c r="I103" s="7667" t="s">
        <v>714</v>
      </c>
    </row>
    <row customHeight="1" ht="11.25">
      <c r="A104" s="7667" t="s">
        <v>2206</v>
      </c>
      <c r="B104" s="7667" t="s">
        <v>14</v>
      </c>
      <c r="C104" s="7667" t="s">
        <v>2563</v>
      </c>
      <c r="D104" s="7667" t="s">
        <v>2564</v>
      </c>
      <c r="E104" s="7667" t="s">
        <v>2565</v>
      </c>
      <c r="F104" s="7667" t="s">
        <v>2225</v>
      </c>
      <c r="G104" s="7667" t="s">
        <v>18</v>
      </c>
      <c r="H104" s="7667" t="s">
        <v>2436</v>
      </c>
      <c r="I104" s="7667" t="s">
        <v>714</v>
      </c>
    </row>
    <row customHeight="1" ht="11.25">
      <c r="A105" s="7667" t="s">
        <v>2206</v>
      </c>
      <c r="B105" s="7667" t="s">
        <v>14</v>
      </c>
      <c r="C105" s="7667" t="s">
        <v>2566</v>
      </c>
      <c r="D105" s="7667" t="s">
        <v>2567</v>
      </c>
      <c r="E105" s="7667" t="s">
        <v>2568</v>
      </c>
      <c r="F105" s="7667" t="s">
        <v>2424</v>
      </c>
      <c r="G105" s="7667" t="s">
        <v>18</v>
      </c>
      <c r="H105" s="7667" t="s">
        <v>18</v>
      </c>
      <c r="I105" s="7667" t="s">
        <v>714</v>
      </c>
    </row>
    <row customHeight="1" ht="11.25">
      <c r="A106" s="7667" t="s">
        <v>2206</v>
      </c>
      <c r="B106" s="7667" t="s">
        <v>14</v>
      </c>
      <c r="C106" s="7667" t="s">
        <v>2569</v>
      </c>
      <c r="D106" s="7667" t="s">
        <v>2570</v>
      </c>
      <c r="E106" s="7667" t="s">
        <v>2571</v>
      </c>
      <c r="F106" s="7667" t="s">
        <v>2424</v>
      </c>
      <c r="G106" s="7667" t="s">
        <v>18</v>
      </c>
      <c r="H106" s="7667" t="s">
        <v>18</v>
      </c>
      <c r="I106" s="7667" t="s">
        <v>714</v>
      </c>
    </row>
    <row customHeight="1" ht="11.25">
      <c r="A107" s="7667" t="s">
        <v>2206</v>
      </c>
      <c r="B107" s="7667" t="s">
        <v>14</v>
      </c>
      <c r="C107" s="7667" t="s">
        <v>2572</v>
      </c>
      <c r="D107" s="7667" t="s">
        <v>2573</v>
      </c>
      <c r="E107" s="7667" t="s">
        <v>2574</v>
      </c>
      <c r="F107" s="7667" t="s">
        <v>2424</v>
      </c>
      <c r="G107" s="7667" t="s">
        <v>18</v>
      </c>
      <c r="H107" s="7667" t="s">
        <v>18</v>
      </c>
      <c r="I107" s="7667" t="s">
        <v>714</v>
      </c>
    </row>
    <row customHeight="1" ht="11.25">
      <c r="A108" s="7667" t="s">
        <v>2206</v>
      </c>
      <c r="B108" s="7667" t="s">
        <v>14</v>
      </c>
      <c r="C108" s="7667" t="s">
        <v>2575</v>
      </c>
      <c r="D108" s="7667" t="s">
        <v>2576</v>
      </c>
      <c r="E108" s="7667" t="s">
        <v>2577</v>
      </c>
      <c r="F108" s="7667" t="s">
        <v>2279</v>
      </c>
      <c r="G108" s="7667" t="s">
        <v>18</v>
      </c>
      <c r="H108" s="7667" t="s">
        <v>18</v>
      </c>
      <c r="I108" s="7667" t="s">
        <v>714</v>
      </c>
    </row>
    <row customHeight="1" ht="11.25">
      <c r="A109" s="7667" t="s">
        <v>2206</v>
      </c>
      <c r="B109" s="7667" t="s">
        <v>14</v>
      </c>
      <c r="C109" s="7667" t="s">
        <v>2578</v>
      </c>
      <c r="D109" s="7667" t="s">
        <v>2579</v>
      </c>
      <c r="E109" s="7667" t="s">
        <v>2580</v>
      </c>
      <c r="F109" s="7667" t="s">
        <v>2318</v>
      </c>
      <c r="G109" s="7667" t="s">
        <v>18</v>
      </c>
      <c r="H109" s="7667" t="s">
        <v>18</v>
      </c>
      <c r="I109" s="7667" t="s">
        <v>714</v>
      </c>
    </row>
    <row customHeight="1" ht="11.25">
      <c r="A110" s="7667" t="s">
        <v>2206</v>
      </c>
      <c r="B110" s="7667" t="s">
        <v>14</v>
      </c>
      <c r="C110" s="7667" t="s">
        <v>2581</v>
      </c>
      <c r="D110" s="7667" t="s">
        <v>2582</v>
      </c>
      <c r="E110" s="7667" t="s">
        <v>2583</v>
      </c>
      <c r="F110" s="7667" t="s">
        <v>2584</v>
      </c>
      <c r="G110" s="7667" t="s">
        <v>18</v>
      </c>
      <c r="H110" s="7667" t="s">
        <v>18</v>
      </c>
      <c r="I110" s="7667" t="s">
        <v>714</v>
      </c>
    </row>
    <row customHeight="1" ht="11.25">
      <c r="A111" s="7667" t="s">
        <v>2206</v>
      </c>
      <c r="B111" s="7667" t="s">
        <v>14</v>
      </c>
      <c r="C111" s="7667" t="s">
        <v>2585</v>
      </c>
      <c r="D111" s="7667" t="s">
        <v>2586</v>
      </c>
      <c r="E111" s="7667" t="s">
        <v>2587</v>
      </c>
      <c r="F111" s="7667" t="s">
        <v>2251</v>
      </c>
      <c r="G111" s="7667" t="s">
        <v>18</v>
      </c>
      <c r="H111" s="7667" t="s">
        <v>18</v>
      </c>
      <c r="I111" s="7667" t="s">
        <v>714</v>
      </c>
    </row>
    <row customHeight="1" ht="11.25">
      <c r="A112" s="7667" t="s">
        <v>2206</v>
      </c>
      <c r="B112" s="7667" t="s">
        <v>14</v>
      </c>
      <c r="C112" s="7667" t="s">
        <v>2588</v>
      </c>
      <c r="D112" s="7667" t="s">
        <v>2589</v>
      </c>
      <c r="E112" s="7667" t="s">
        <v>2590</v>
      </c>
      <c r="F112" s="7667" t="s">
        <v>2318</v>
      </c>
      <c r="G112" s="7667" t="s">
        <v>18</v>
      </c>
      <c r="H112" s="7667" t="s">
        <v>18</v>
      </c>
      <c r="I112" s="7667" t="s">
        <v>714</v>
      </c>
    </row>
    <row customHeight="1" ht="11.25">
      <c r="A113" s="7667" t="s">
        <v>2206</v>
      </c>
      <c r="B113" s="7667" t="s">
        <v>14</v>
      </c>
      <c r="C113" s="7667" t="s">
        <v>2591</v>
      </c>
      <c r="D113" s="7667" t="s">
        <v>2592</v>
      </c>
      <c r="E113" s="7667" t="s">
        <v>2593</v>
      </c>
      <c r="F113" s="7667" t="s">
        <v>2318</v>
      </c>
      <c r="G113" s="7667" t="s">
        <v>18</v>
      </c>
      <c r="H113" s="7667" t="s">
        <v>18</v>
      </c>
      <c r="I113" s="7667" t="s">
        <v>714</v>
      </c>
    </row>
    <row customHeight="1" ht="11.25">
      <c r="A114" s="7667" t="s">
        <v>2206</v>
      </c>
      <c r="B114" s="7667" t="s">
        <v>14</v>
      </c>
      <c r="C114" s="7667" t="s">
        <v>2594</v>
      </c>
      <c r="D114" s="7667" t="s">
        <v>2595</v>
      </c>
      <c r="E114" s="7667" t="s">
        <v>2596</v>
      </c>
      <c r="F114" s="7667" t="s">
        <v>46</v>
      </c>
      <c r="G114" s="7667" t="s">
        <v>18</v>
      </c>
      <c r="H114" s="7667" t="s">
        <v>18</v>
      </c>
      <c r="I114" s="7667" t="s">
        <v>714</v>
      </c>
    </row>
    <row customHeight="1" ht="11.25">
      <c r="A115" s="7667" t="s">
        <v>2206</v>
      </c>
      <c r="B115" s="7667" t="s">
        <v>14</v>
      </c>
      <c r="C115" s="7667" t="s">
        <v>2597</v>
      </c>
      <c r="D115" s="7667" t="s">
        <v>2598</v>
      </c>
      <c r="E115" s="7667" t="s">
        <v>2599</v>
      </c>
      <c r="F115" s="7667" t="s">
        <v>46</v>
      </c>
      <c r="G115" s="7667" t="s">
        <v>18</v>
      </c>
      <c r="H115" s="7667" t="s">
        <v>2436</v>
      </c>
      <c r="I115" s="7667" t="s">
        <v>714</v>
      </c>
    </row>
    <row customHeight="1" ht="11.25">
      <c r="A116" s="7667" t="s">
        <v>2206</v>
      </c>
      <c r="B116" s="7667" t="s">
        <v>14</v>
      </c>
      <c r="C116" s="7667" t="s">
        <v>2600</v>
      </c>
      <c r="D116" s="7667" t="s">
        <v>2601</v>
      </c>
      <c r="E116" s="7667" t="s">
        <v>2602</v>
      </c>
      <c r="F116" s="7667" t="s">
        <v>2225</v>
      </c>
      <c r="G116" s="7667" t="s">
        <v>18</v>
      </c>
      <c r="H116" s="7667" t="s">
        <v>2603</v>
      </c>
      <c r="I116" s="7667" t="s">
        <v>714</v>
      </c>
    </row>
    <row customHeight="1" ht="11.25">
      <c r="A117" s="7667" t="s">
        <v>2206</v>
      </c>
      <c r="B117" s="7667" t="s">
        <v>14</v>
      </c>
      <c r="C117" s="7667" t="s">
        <v>2604</v>
      </c>
      <c r="D117" s="7667" t="s">
        <v>2605</v>
      </c>
      <c r="E117" s="7667" t="s">
        <v>2606</v>
      </c>
      <c r="F117" s="7667" t="s">
        <v>2607</v>
      </c>
      <c r="G117" s="7667" t="s">
        <v>18</v>
      </c>
      <c r="H117" s="7667" t="s">
        <v>18</v>
      </c>
      <c r="I117" s="7667" t="s">
        <v>714</v>
      </c>
    </row>
    <row customHeight="1" ht="11.25">
      <c r="A118" s="7667" t="s">
        <v>2206</v>
      </c>
      <c r="B118" s="7667" t="s">
        <v>14</v>
      </c>
      <c r="C118" s="7667" t="s">
        <v>2608</v>
      </c>
      <c r="D118" s="7667" t="s">
        <v>2609</v>
      </c>
      <c r="E118" s="7667" t="s">
        <v>2610</v>
      </c>
      <c r="F118" s="7667" t="s">
        <v>2611</v>
      </c>
      <c r="G118" s="7667" t="s">
        <v>18</v>
      </c>
      <c r="H118" s="7667" t="s">
        <v>18</v>
      </c>
      <c r="I118" s="7667" t="s">
        <v>714</v>
      </c>
    </row>
    <row customHeight="1" ht="11.25">
      <c r="A119" s="7667" t="s">
        <v>2206</v>
      </c>
      <c r="B119" s="7667" t="s">
        <v>14</v>
      </c>
      <c r="C119" s="7667" t="s">
        <v>2612</v>
      </c>
      <c r="D119" s="7667" t="s">
        <v>2613</v>
      </c>
      <c r="E119" s="7667" t="s">
        <v>2614</v>
      </c>
      <c r="F119" s="7667" t="s">
        <v>2236</v>
      </c>
      <c r="G119" s="7667" t="s">
        <v>18</v>
      </c>
      <c r="H119" s="7667" t="s">
        <v>18</v>
      </c>
      <c r="I119" s="7667" t="s">
        <v>714</v>
      </c>
    </row>
    <row customHeight="1" ht="11.25">
      <c r="A120" s="7667" t="s">
        <v>2206</v>
      </c>
      <c r="B120" s="7667" t="s">
        <v>14</v>
      </c>
      <c r="C120" s="7667" t="s">
        <v>2615</v>
      </c>
      <c r="D120" s="7667" t="s">
        <v>2616</v>
      </c>
      <c r="E120" s="7667" t="s">
        <v>2617</v>
      </c>
      <c r="F120" s="7667" t="s">
        <v>2318</v>
      </c>
      <c r="G120" s="7667" t="s">
        <v>18</v>
      </c>
      <c r="H120" s="7667" t="s">
        <v>18</v>
      </c>
      <c r="I120" s="7667" t="s">
        <v>714</v>
      </c>
    </row>
    <row customHeight="1" ht="11.25">
      <c r="A121" s="7667" t="s">
        <v>2206</v>
      </c>
      <c r="B121" s="7667" t="s">
        <v>14</v>
      </c>
      <c r="C121" s="7667" t="s">
        <v>2618</v>
      </c>
      <c r="D121" s="7667" t="s">
        <v>2619</v>
      </c>
      <c r="E121" s="7667" t="s">
        <v>2620</v>
      </c>
      <c r="F121" s="7667" t="s">
        <v>2318</v>
      </c>
      <c r="G121" s="7667" t="s">
        <v>18</v>
      </c>
      <c r="H121" s="7667" t="s">
        <v>2401</v>
      </c>
      <c r="I121" s="7667" t="s">
        <v>714</v>
      </c>
    </row>
    <row customHeight="1" ht="11.25">
      <c r="A122" s="7667" t="s">
        <v>2206</v>
      </c>
      <c r="B122" s="7667" t="s">
        <v>14</v>
      </c>
      <c r="C122" s="7667" t="s">
        <v>2621</v>
      </c>
      <c r="D122" s="7667" t="s">
        <v>2622</v>
      </c>
      <c r="E122" s="7667" t="s">
        <v>2623</v>
      </c>
      <c r="F122" s="7667" t="s">
        <v>2251</v>
      </c>
      <c r="G122" s="7667" t="s">
        <v>18</v>
      </c>
      <c r="H122" s="7667" t="s">
        <v>18</v>
      </c>
      <c r="I122" s="7667" t="s">
        <v>714</v>
      </c>
    </row>
    <row customHeight="1" ht="11.25">
      <c r="A123" s="7667" t="s">
        <v>2206</v>
      </c>
      <c r="B123" s="7667" t="s">
        <v>14</v>
      </c>
      <c r="C123" s="7667" t="s">
        <v>2624</v>
      </c>
      <c r="D123" s="7667" t="s">
        <v>2625</v>
      </c>
      <c r="E123" s="7667" t="s">
        <v>2626</v>
      </c>
      <c r="F123" s="7667" t="s">
        <v>2428</v>
      </c>
      <c r="G123" s="7667" t="s">
        <v>18</v>
      </c>
      <c r="H123" s="7667" t="s">
        <v>18</v>
      </c>
      <c r="I123" s="7667" t="s">
        <v>714</v>
      </c>
    </row>
    <row customHeight="1" ht="11.25">
      <c r="A124" s="7667" t="s">
        <v>2206</v>
      </c>
      <c r="B124" s="7667" t="s">
        <v>14</v>
      </c>
      <c r="C124" s="7667" t="s">
        <v>2627</v>
      </c>
      <c r="D124" s="7667" t="s">
        <v>2628</v>
      </c>
      <c r="E124" s="7667" t="s">
        <v>2629</v>
      </c>
      <c r="F124" s="7667" t="s">
        <v>2630</v>
      </c>
      <c r="G124" s="7667" t="s">
        <v>2631</v>
      </c>
      <c r="H124" s="7667" t="s">
        <v>18</v>
      </c>
      <c r="I124" s="7667" t="s">
        <v>714</v>
      </c>
    </row>
    <row customHeight="1" ht="11.25">
      <c r="A125" s="7667" t="s">
        <v>2206</v>
      </c>
      <c r="B125" s="7667" t="s">
        <v>14</v>
      </c>
      <c r="C125" s="7667" t="s">
        <v>2632</v>
      </c>
      <c r="D125" s="7667" t="s">
        <v>2628</v>
      </c>
      <c r="E125" s="7667" t="s">
        <v>2629</v>
      </c>
      <c r="F125" s="7667" t="s">
        <v>2633</v>
      </c>
      <c r="G125" s="7667" t="s">
        <v>18</v>
      </c>
      <c r="H125" s="7667" t="s">
        <v>18</v>
      </c>
      <c r="I125" s="7667" t="s">
        <v>714</v>
      </c>
    </row>
    <row customHeight="1" ht="11.25">
      <c r="A126" s="7667" t="s">
        <v>2206</v>
      </c>
      <c r="B126" s="7667" t="s">
        <v>14</v>
      </c>
      <c r="C126" s="7667" t="s">
        <v>2634</v>
      </c>
      <c r="D126" s="7667" t="s">
        <v>2635</v>
      </c>
      <c r="E126" s="7667" t="s">
        <v>2636</v>
      </c>
      <c r="F126" s="7667" t="s">
        <v>2283</v>
      </c>
      <c r="G126" s="7667" t="s">
        <v>18</v>
      </c>
      <c r="H126" s="7667" t="s">
        <v>2637</v>
      </c>
      <c r="I126" s="7667" t="s">
        <v>714</v>
      </c>
    </row>
    <row customHeight="1" ht="11.25">
      <c r="A127" s="7667" t="s">
        <v>2206</v>
      </c>
      <c r="B127" s="7667" t="s">
        <v>14</v>
      </c>
      <c r="C127" s="7667" t="s">
        <v>2638</v>
      </c>
      <c r="D127" s="7667" t="s">
        <v>2639</v>
      </c>
      <c r="E127" s="7667" t="s">
        <v>2640</v>
      </c>
      <c r="F127" s="7667" t="s">
        <v>2221</v>
      </c>
      <c r="G127" s="7667" t="s">
        <v>18</v>
      </c>
      <c r="H127" s="7667" t="s">
        <v>2641</v>
      </c>
      <c r="I127" s="7667" t="s">
        <v>714</v>
      </c>
    </row>
    <row customHeight="1" ht="11.25">
      <c r="A128" s="7667" t="s">
        <v>2206</v>
      </c>
      <c r="B128" s="7667" t="s">
        <v>14</v>
      </c>
      <c r="C128" s="7667" t="s">
        <v>2642</v>
      </c>
      <c r="D128" s="7667" t="s">
        <v>2643</v>
      </c>
      <c r="E128" s="7667" t="s">
        <v>2644</v>
      </c>
      <c r="F128" s="7667" t="s">
        <v>2645</v>
      </c>
      <c r="G128" s="7667" t="s">
        <v>2646</v>
      </c>
      <c r="H128" s="7667" t="s">
        <v>18</v>
      </c>
      <c r="I128" s="7667" t="s">
        <v>714</v>
      </c>
    </row>
    <row customHeight="1" ht="11.25">
      <c r="A129" s="7667" t="s">
        <v>2206</v>
      </c>
      <c r="B129" s="7667" t="s">
        <v>14</v>
      </c>
      <c r="C129" s="7667" t="s">
        <v>2647</v>
      </c>
      <c r="D129" s="7667" t="s">
        <v>2648</v>
      </c>
      <c r="E129" s="7667" t="s">
        <v>2649</v>
      </c>
      <c r="F129" s="7667" t="s">
        <v>2318</v>
      </c>
      <c r="G129" s="7667" t="s">
        <v>18</v>
      </c>
      <c r="H129" s="7667" t="s">
        <v>2650</v>
      </c>
      <c r="I129" s="7667" t="s">
        <v>714</v>
      </c>
    </row>
    <row customHeight="1" ht="11.25">
      <c r="A130" s="7667" t="s">
        <v>2206</v>
      </c>
      <c r="B130" s="7667" t="s">
        <v>14</v>
      </c>
      <c r="C130" s="7667" t="s">
        <v>2651</v>
      </c>
      <c r="D130" s="7667" t="s">
        <v>2652</v>
      </c>
      <c r="E130" s="7667" t="s">
        <v>2653</v>
      </c>
      <c r="F130" s="7667" t="s">
        <v>2424</v>
      </c>
      <c r="G130" s="7667" t="s">
        <v>18</v>
      </c>
      <c r="H130" s="7667" t="s">
        <v>2654</v>
      </c>
      <c r="I130" s="7667" t="s">
        <v>714</v>
      </c>
    </row>
    <row customHeight="1" ht="11.25">
      <c r="A131" s="7667" t="s">
        <v>2206</v>
      </c>
      <c r="B131" s="7667" t="s">
        <v>14</v>
      </c>
      <c r="C131" s="7667" t="s">
        <v>2655</v>
      </c>
      <c r="D131" s="7667" t="s">
        <v>2656</v>
      </c>
      <c r="E131" s="7667" t="s">
        <v>2657</v>
      </c>
      <c r="F131" s="7667" t="s">
        <v>2279</v>
      </c>
      <c r="G131" s="7667" t="s">
        <v>18</v>
      </c>
      <c r="H131" s="7667" t="s">
        <v>18</v>
      </c>
      <c r="I131" s="7667" t="s">
        <v>714</v>
      </c>
    </row>
    <row customHeight="1" ht="11.25">
      <c r="A132" s="7667" t="s">
        <v>2206</v>
      </c>
      <c r="B132" s="7667" t="s">
        <v>14</v>
      </c>
      <c r="C132" s="7667" t="s">
        <v>2658</v>
      </c>
      <c r="D132" s="7667" t="s">
        <v>2659</v>
      </c>
      <c r="E132" s="7667" t="s">
        <v>2660</v>
      </c>
      <c r="F132" s="7667" t="s">
        <v>2210</v>
      </c>
      <c r="G132" s="7667" t="s">
        <v>18</v>
      </c>
      <c r="H132" s="7667" t="s">
        <v>18</v>
      </c>
      <c r="I132" s="7667" t="s">
        <v>714</v>
      </c>
    </row>
    <row customHeight="1" ht="11.25">
      <c r="A133" s="7667" t="s">
        <v>2206</v>
      </c>
      <c r="B133" s="7667" t="s">
        <v>14</v>
      </c>
      <c r="C133" s="7667" t="s">
        <v>2661</v>
      </c>
      <c r="D133" s="7667" t="s">
        <v>2662</v>
      </c>
      <c r="E133" s="7667" t="s">
        <v>2663</v>
      </c>
      <c r="F133" s="7667" t="s">
        <v>2221</v>
      </c>
      <c r="G133" s="7667" t="s">
        <v>18</v>
      </c>
      <c r="H133" s="7667" t="s">
        <v>18</v>
      </c>
      <c r="I133" s="7667" t="s">
        <v>714</v>
      </c>
    </row>
    <row customHeight="1" ht="11.25">
      <c r="A134" s="7667" t="s">
        <v>2206</v>
      </c>
      <c r="B134" s="7667" t="s">
        <v>14</v>
      </c>
      <c r="C134" s="7667" t="s">
        <v>2664</v>
      </c>
      <c r="D134" s="7667" t="s">
        <v>2665</v>
      </c>
      <c r="E134" s="7667" t="s">
        <v>2666</v>
      </c>
      <c r="F134" s="7667" t="s">
        <v>2225</v>
      </c>
      <c r="G134" s="7667" t="s">
        <v>2667</v>
      </c>
      <c r="H134" s="7667" t="s">
        <v>18</v>
      </c>
      <c r="I134" s="7667" t="s">
        <v>714</v>
      </c>
    </row>
    <row customHeight="1" ht="11.25">
      <c r="A135" s="7667" t="s">
        <v>2206</v>
      </c>
      <c r="B135" s="7667" t="s">
        <v>14</v>
      </c>
      <c r="C135" s="7667" t="s">
        <v>2668</v>
      </c>
      <c r="D135" s="7667" t="s">
        <v>2669</v>
      </c>
      <c r="E135" s="7667" t="s">
        <v>2670</v>
      </c>
      <c r="F135" s="7667" t="s">
        <v>2240</v>
      </c>
      <c r="G135" s="7667" t="s">
        <v>18</v>
      </c>
      <c r="H135" s="7667" t="s">
        <v>2401</v>
      </c>
      <c r="I135" s="7667" t="s">
        <v>714</v>
      </c>
    </row>
    <row customHeight="1" ht="11.25">
      <c r="A136" s="7667" t="s">
        <v>2206</v>
      </c>
      <c r="B136" s="7667" t="s">
        <v>14</v>
      </c>
      <c r="C136" s="7667" t="s">
        <v>2671</v>
      </c>
      <c r="D136" s="7667" t="s">
        <v>2672</v>
      </c>
      <c r="E136" s="7667" t="s">
        <v>2673</v>
      </c>
      <c r="F136" s="7667" t="s">
        <v>46</v>
      </c>
      <c r="G136" s="7667" t="s">
        <v>18</v>
      </c>
      <c r="H136" s="7667" t="s">
        <v>18</v>
      </c>
      <c r="I136" s="7667" t="s">
        <v>714</v>
      </c>
    </row>
    <row customHeight="1" ht="11.25">
      <c r="A137" s="7667" t="s">
        <v>2206</v>
      </c>
      <c r="B137" s="7667" t="s">
        <v>14</v>
      </c>
      <c r="C137" s="7667" t="s">
        <v>2674</v>
      </c>
      <c r="D137" s="7667" t="s">
        <v>2675</v>
      </c>
      <c r="E137" s="7667" t="s">
        <v>2676</v>
      </c>
      <c r="F137" s="7667" t="s">
        <v>2221</v>
      </c>
      <c r="G137" s="7667" t="s">
        <v>18</v>
      </c>
      <c r="H137" s="7667" t="s">
        <v>2650</v>
      </c>
      <c r="I137" s="7667" t="s">
        <v>714</v>
      </c>
    </row>
    <row customHeight="1" ht="11.25">
      <c r="A138" s="7667" t="s">
        <v>2206</v>
      </c>
      <c r="B138" s="7667" t="s">
        <v>14</v>
      </c>
      <c r="C138" s="7667" t="s">
        <v>2677</v>
      </c>
      <c r="D138" s="7667" t="s">
        <v>2678</v>
      </c>
      <c r="E138" s="7667" t="s">
        <v>2679</v>
      </c>
      <c r="F138" s="7667" t="s">
        <v>2221</v>
      </c>
      <c r="G138" s="7667" t="s">
        <v>2680</v>
      </c>
      <c r="H138" s="7667" t="s">
        <v>18</v>
      </c>
      <c r="I138" s="7667" t="s">
        <v>714</v>
      </c>
    </row>
    <row customHeight="1" ht="11.25">
      <c r="A139" s="7667" t="s">
        <v>2206</v>
      </c>
      <c r="B139" s="7667" t="s">
        <v>14</v>
      </c>
      <c r="C139" s="7667" t="s">
        <v>2681</v>
      </c>
      <c r="D139" s="7667" t="s">
        <v>2682</v>
      </c>
      <c r="E139" s="7667" t="s">
        <v>2683</v>
      </c>
      <c r="F139" s="7667" t="s">
        <v>2297</v>
      </c>
      <c r="G139" s="7667" t="s">
        <v>18</v>
      </c>
      <c r="H139" s="7667" t="s">
        <v>18</v>
      </c>
      <c r="I139" s="7667" t="s">
        <v>714</v>
      </c>
    </row>
    <row customHeight="1" ht="11.25">
      <c r="A140" s="7667" t="s">
        <v>2206</v>
      </c>
      <c r="B140" s="7667" t="s">
        <v>14</v>
      </c>
      <c r="C140" s="7667" t="s">
        <v>2684</v>
      </c>
      <c r="D140" s="7667" t="s">
        <v>2685</v>
      </c>
      <c r="E140" s="7667" t="s">
        <v>2686</v>
      </c>
      <c r="F140" s="7667" t="s">
        <v>2687</v>
      </c>
      <c r="G140" s="7667" t="s">
        <v>2688</v>
      </c>
      <c r="H140" s="7667" t="s">
        <v>18</v>
      </c>
      <c r="I140" s="7667" t="s">
        <v>714</v>
      </c>
    </row>
    <row customHeight="1" ht="11.25">
      <c r="A141" s="7667" t="s">
        <v>2206</v>
      </c>
      <c r="B141" s="7667" t="s">
        <v>14</v>
      </c>
      <c r="C141" s="7667" t="s">
        <v>2689</v>
      </c>
      <c r="D141" s="7667" t="s">
        <v>2690</v>
      </c>
      <c r="E141" s="7667" t="s">
        <v>2691</v>
      </c>
      <c r="F141" s="7667" t="s">
        <v>2692</v>
      </c>
      <c r="G141" s="7667" t="s">
        <v>18</v>
      </c>
      <c r="H141" s="7667" t="s">
        <v>18</v>
      </c>
      <c r="I141" s="7667" t="s">
        <v>714</v>
      </c>
    </row>
    <row customHeight="1" ht="11.25">
      <c r="A142" s="7667" t="s">
        <v>2206</v>
      </c>
      <c r="B142" s="7667" t="s">
        <v>14</v>
      </c>
      <c r="C142" s="7667" t="s">
        <v>2693</v>
      </c>
      <c r="D142" s="7667" t="s">
        <v>2694</v>
      </c>
      <c r="E142" s="7667" t="s">
        <v>2695</v>
      </c>
      <c r="F142" s="7667" t="s">
        <v>2221</v>
      </c>
      <c r="G142" s="7667" t="s">
        <v>2696</v>
      </c>
      <c r="H142" s="7667" t="s">
        <v>2697</v>
      </c>
      <c r="I142" s="7667" t="s">
        <v>714</v>
      </c>
    </row>
    <row customHeight="1" ht="11.25">
      <c r="A143" s="7667" t="s">
        <v>2206</v>
      </c>
      <c r="B143" s="7667" t="s">
        <v>14</v>
      </c>
      <c r="C143" s="7667" t="s">
        <v>2698</v>
      </c>
      <c r="D143" s="7667" t="s">
        <v>2699</v>
      </c>
      <c r="E143" s="7667" t="s">
        <v>2700</v>
      </c>
      <c r="F143" s="7667" t="s">
        <v>2251</v>
      </c>
      <c r="G143" s="7667" t="s">
        <v>18</v>
      </c>
      <c r="H143" s="7667" t="s">
        <v>18</v>
      </c>
      <c r="I143" s="7667" t="s">
        <v>714</v>
      </c>
    </row>
    <row customHeight="1" ht="11.25">
      <c r="A144" s="7667" t="s">
        <v>2206</v>
      </c>
      <c r="B144" s="7667" t="s">
        <v>14</v>
      </c>
      <c r="C144" s="7667" t="s">
        <v>2701</v>
      </c>
      <c r="D144" s="7667" t="s">
        <v>2702</v>
      </c>
      <c r="E144" s="7667" t="s">
        <v>2703</v>
      </c>
      <c r="F144" s="7667" t="s">
        <v>2217</v>
      </c>
      <c r="G144" s="7667" t="s">
        <v>18</v>
      </c>
      <c r="H144" s="7667" t="s">
        <v>2704</v>
      </c>
      <c r="I144" s="7667" t="s">
        <v>714</v>
      </c>
    </row>
    <row customHeight="1" ht="11.25">
      <c r="A145" s="7667" t="s">
        <v>2206</v>
      </c>
      <c r="B145" s="7667" t="s">
        <v>14</v>
      </c>
      <c r="C145" s="7667" t="s">
        <v>2705</v>
      </c>
      <c r="D145" s="7667" t="s">
        <v>2706</v>
      </c>
      <c r="E145" s="7667" t="s">
        <v>2707</v>
      </c>
      <c r="F145" s="7667" t="s">
        <v>2297</v>
      </c>
      <c r="G145" s="7667" t="s">
        <v>18</v>
      </c>
      <c r="H145" s="7667" t="s">
        <v>2708</v>
      </c>
      <c r="I145" s="7667" t="s">
        <v>714</v>
      </c>
    </row>
    <row customHeight="1" ht="11.25">
      <c r="A146" s="7667" t="s">
        <v>2206</v>
      </c>
      <c r="B146" s="7667" t="s">
        <v>14</v>
      </c>
      <c r="C146" s="7667" t="s">
        <v>2709</v>
      </c>
      <c r="D146" s="7667" t="s">
        <v>2710</v>
      </c>
      <c r="E146" s="7667" t="s">
        <v>2711</v>
      </c>
      <c r="F146" s="7667" t="s">
        <v>2217</v>
      </c>
      <c r="G146" s="7667" t="s">
        <v>18</v>
      </c>
      <c r="H146" s="7667" t="s">
        <v>2712</v>
      </c>
      <c r="I146" s="7667" t="s">
        <v>714</v>
      </c>
    </row>
    <row customHeight="1" ht="11.25">
      <c r="A147" s="7667" t="s">
        <v>2206</v>
      </c>
      <c r="B147" s="7667" t="s">
        <v>14</v>
      </c>
      <c r="C147" s="7667" t="s">
        <v>2713</v>
      </c>
      <c r="D147" s="7667" t="s">
        <v>2710</v>
      </c>
      <c r="E147" s="7667" t="s">
        <v>2711</v>
      </c>
      <c r="F147" s="7667" t="s">
        <v>2714</v>
      </c>
      <c r="G147" s="7667" t="s">
        <v>18</v>
      </c>
      <c r="H147" s="7667" t="s">
        <v>18</v>
      </c>
      <c r="I147" s="7667" t="s">
        <v>714</v>
      </c>
    </row>
    <row customHeight="1" ht="11.25">
      <c r="A148" s="7667" t="s">
        <v>2206</v>
      </c>
      <c r="B148" s="7667" t="s">
        <v>14</v>
      </c>
      <c r="C148" s="7667" t="s">
        <v>2715</v>
      </c>
      <c r="D148" s="7667" t="s">
        <v>2716</v>
      </c>
      <c r="E148" s="7667" t="s">
        <v>2717</v>
      </c>
      <c r="F148" s="7667" t="s">
        <v>2318</v>
      </c>
      <c r="G148" s="7667" t="s">
        <v>18</v>
      </c>
      <c r="H148" s="7667" t="s">
        <v>2436</v>
      </c>
      <c r="I148" s="7667" t="s">
        <v>714</v>
      </c>
    </row>
    <row customHeight="1" ht="11.25">
      <c r="A149" s="7667" t="s">
        <v>2206</v>
      </c>
      <c r="B149" s="7667" t="s">
        <v>14</v>
      </c>
      <c r="C149" s="7667" t="s">
        <v>2718</v>
      </c>
      <c r="D149" s="7667" t="s">
        <v>2719</v>
      </c>
      <c r="E149" s="7667" t="s">
        <v>2720</v>
      </c>
      <c r="F149" s="7667" t="s">
        <v>2221</v>
      </c>
      <c r="G149" s="7667" t="s">
        <v>18</v>
      </c>
      <c r="H149" s="7667" t="s">
        <v>18</v>
      </c>
      <c r="I149" s="7667" t="s">
        <v>714</v>
      </c>
    </row>
    <row customHeight="1" ht="11.25">
      <c r="A150" s="7667" t="s">
        <v>2206</v>
      </c>
      <c r="B150" s="7667" t="s">
        <v>14</v>
      </c>
      <c r="C150" s="7667" t="s">
        <v>2721</v>
      </c>
      <c r="D150" s="7667" t="s">
        <v>2722</v>
      </c>
      <c r="E150" s="7667" t="s">
        <v>2723</v>
      </c>
      <c r="F150" s="7667" t="s">
        <v>2432</v>
      </c>
      <c r="G150" s="7667" t="s">
        <v>18</v>
      </c>
      <c r="H150" s="7667" t="s">
        <v>18</v>
      </c>
      <c r="I150" s="7667" t="s">
        <v>714</v>
      </c>
    </row>
    <row customHeight="1" ht="11.25">
      <c r="A151" s="7667" t="s">
        <v>2206</v>
      </c>
      <c r="B151" s="7667" t="s">
        <v>14</v>
      </c>
      <c r="C151" s="7667" t="s">
        <v>2724</v>
      </c>
      <c r="D151" s="7667" t="s">
        <v>2725</v>
      </c>
      <c r="E151" s="7667" t="s">
        <v>2726</v>
      </c>
      <c r="F151" s="7667" t="s">
        <v>2318</v>
      </c>
      <c r="G151" s="7667" t="s">
        <v>18</v>
      </c>
      <c r="H151" s="7667" t="s">
        <v>2727</v>
      </c>
      <c r="I151" s="7667" t="s">
        <v>714</v>
      </c>
    </row>
    <row customHeight="1" ht="11.25">
      <c r="A152" s="7667" t="s">
        <v>2206</v>
      </c>
      <c r="B152" s="7667" t="s">
        <v>14</v>
      </c>
      <c r="C152" s="7667" t="s">
        <v>2728</v>
      </c>
      <c r="D152" s="7667" t="s">
        <v>2729</v>
      </c>
      <c r="E152" s="7667" t="s">
        <v>2730</v>
      </c>
      <c r="F152" s="7667" t="s">
        <v>2251</v>
      </c>
      <c r="G152" s="7667" t="s">
        <v>18</v>
      </c>
      <c r="H152" s="7667" t="s">
        <v>2731</v>
      </c>
      <c r="I152" s="7667" t="s">
        <v>714</v>
      </c>
    </row>
    <row customHeight="1" ht="11.25">
      <c r="A153" s="7667" t="s">
        <v>2206</v>
      </c>
      <c r="B153" s="7667" t="s">
        <v>14</v>
      </c>
      <c r="C153" s="7667" t="s">
        <v>2732</v>
      </c>
      <c r="D153" s="7667" t="s">
        <v>2733</v>
      </c>
      <c r="E153" s="7667" t="s">
        <v>2734</v>
      </c>
      <c r="F153" s="7667" t="s">
        <v>2251</v>
      </c>
      <c r="G153" s="7667" t="s">
        <v>18</v>
      </c>
      <c r="H153" s="7667" t="s">
        <v>18</v>
      </c>
      <c r="I153" s="7667" t="s">
        <v>714</v>
      </c>
    </row>
    <row customHeight="1" ht="11.25">
      <c r="A154" s="7667" t="s">
        <v>2206</v>
      </c>
      <c r="B154" s="7667" t="s">
        <v>14</v>
      </c>
      <c r="C154" s="7667" t="s">
        <v>2735</v>
      </c>
      <c r="D154" s="7667" t="s">
        <v>2736</v>
      </c>
      <c r="E154" s="7667" t="s">
        <v>2737</v>
      </c>
      <c r="F154" s="7667" t="s">
        <v>2240</v>
      </c>
      <c r="G154" s="7667" t="s">
        <v>18</v>
      </c>
      <c r="H154" s="7667" t="s">
        <v>2436</v>
      </c>
      <c r="I154" s="7667" t="s">
        <v>714</v>
      </c>
    </row>
    <row customHeight="1" ht="11.25">
      <c r="A155" s="7667" t="s">
        <v>2206</v>
      </c>
      <c r="B155" s="7667" t="s">
        <v>14</v>
      </c>
      <c r="C155" s="7667" t="s">
        <v>2738</v>
      </c>
      <c r="D155" s="7667" t="s">
        <v>2739</v>
      </c>
      <c r="E155" s="7667" t="s">
        <v>2740</v>
      </c>
      <c r="F155" s="7667" t="s">
        <v>2251</v>
      </c>
      <c r="G155" s="7667" t="s">
        <v>18</v>
      </c>
      <c r="H155" s="7667" t="s">
        <v>18</v>
      </c>
      <c r="I155" s="7667" t="s">
        <v>714</v>
      </c>
    </row>
    <row customHeight="1" ht="11.25">
      <c r="A156" s="7667" t="s">
        <v>2206</v>
      </c>
      <c r="B156" s="7667" t="s">
        <v>14</v>
      </c>
      <c r="C156" s="7667" t="s">
        <v>2741</v>
      </c>
      <c r="D156" s="7667" t="s">
        <v>2742</v>
      </c>
      <c r="E156" s="7667" t="s">
        <v>2743</v>
      </c>
      <c r="F156" s="7667" t="s">
        <v>2221</v>
      </c>
      <c r="G156" s="7667" t="s">
        <v>18</v>
      </c>
      <c r="H156" s="7667" t="s">
        <v>2744</v>
      </c>
      <c r="I156" s="7667" t="s">
        <v>714</v>
      </c>
    </row>
    <row customHeight="1" ht="11.25">
      <c r="A157" s="7667" t="s">
        <v>2206</v>
      </c>
      <c r="B157" s="7667" t="s">
        <v>14</v>
      </c>
      <c r="C157" s="7667" t="s">
        <v>2745</v>
      </c>
      <c r="D157" s="7667" t="s">
        <v>2746</v>
      </c>
      <c r="E157" s="7667" t="s">
        <v>2747</v>
      </c>
      <c r="F157" s="7667" t="s">
        <v>2251</v>
      </c>
      <c r="G157" s="7667" t="s">
        <v>18</v>
      </c>
      <c r="H157" s="7667" t="s">
        <v>18</v>
      </c>
      <c r="I157" s="7667" t="s">
        <v>714</v>
      </c>
    </row>
    <row customHeight="1" ht="11.25">
      <c r="A158" s="7667" t="s">
        <v>2206</v>
      </c>
      <c r="B158" s="7667" t="s">
        <v>14</v>
      </c>
      <c r="C158" s="7667" t="s">
        <v>2748</v>
      </c>
      <c r="D158" s="7667" t="s">
        <v>2749</v>
      </c>
      <c r="E158" s="7667" t="s">
        <v>2750</v>
      </c>
      <c r="F158" s="7667" t="s">
        <v>2221</v>
      </c>
      <c r="G158" s="7667" t="s">
        <v>18</v>
      </c>
      <c r="H158" s="7667" t="s">
        <v>18</v>
      </c>
      <c r="I158" s="7667" t="s">
        <v>714</v>
      </c>
    </row>
    <row customHeight="1" ht="11.25">
      <c r="A159" s="7667" t="s">
        <v>2206</v>
      </c>
      <c r="B159" s="7667" t="s">
        <v>14</v>
      </c>
      <c r="C159" s="7667" t="s">
        <v>2751</v>
      </c>
      <c r="D159" s="7667" t="s">
        <v>2752</v>
      </c>
      <c r="E159" s="7667" t="s">
        <v>2753</v>
      </c>
      <c r="F159" s="7667" t="s">
        <v>2221</v>
      </c>
      <c r="G159" s="7667" t="s">
        <v>18</v>
      </c>
      <c r="H159" s="7667" t="s">
        <v>18</v>
      </c>
      <c r="I159" s="7667" t="s">
        <v>714</v>
      </c>
    </row>
    <row customHeight="1" ht="11.25">
      <c r="A160" s="7667" t="s">
        <v>2206</v>
      </c>
      <c r="B160" s="7667" t="s">
        <v>14</v>
      </c>
      <c r="C160" s="7667" t="s">
        <v>2754</v>
      </c>
      <c r="D160" s="7667" t="s">
        <v>2755</v>
      </c>
      <c r="E160" s="7667" t="s">
        <v>2756</v>
      </c>
      <c r="F160" s="7667" t="s">
        <v>46</v>
      </c>
      <c r="G160" s="7667" t="s">
        <v>18</v>
      </c>
      <c r="H160" s="7667" t="s">
        <v>2757</v>
      </c>
      <c r="I160" s="7667" t="s">
        <v>714</v>
      </c>
    </row>
    <row customHeight="1" ht="11.25">
      <c r="A161" s="7667" t="s">
        <v>2206</v>
      </c>
      <c r="B161" s="7667" t="s">
        <v>14</v>
      </c>
      <c r="C161" s="7667" t="s">
        <v>2758</v>
      </c>
      <c r="D161" s="7667" t="s">
        <v>2759</v>
      </c>
      <c r="E161" s="7667" t="s">
        <v>2760</v>
      </c>
      <c r="F161" s="7667" t="s">
        <v>2714</v>
      </c>
      <c r="G161" s="7667" t="s">
        <v>18</v>
      </c>
      <c r="H161" s="7667" t="s">
        <v>18</v>
      </c>
      <c r="I161" s="7667" t="s">
        <v>714</v>
      </c>
    </row>
    <row customHeight="1" ht="11.25">
      <c r="A162" s="7667" t="s">
        <v>2206</v>
      </c>
      <c r="B162" s="7667" t="s">
        <v>14</v>
      </c>
      <c r="C162" s="7667" t="s">
        <v>2761</v>
      </c>
      <c r="D162" s="7667" t="s">
        <v>2762</v>
      </c>
      <c r="E162" s="7667" t="s">
        <v>2763</v>
      </c>
      <c r="F162" s="7667" t="s">
        <v>2428</v>
      </c>
      <c r="G162" s="7667" t="s">
        <v>18</v>
      </c>
      <c r="H162" s="7667" t="s">
        <v>2436</v>
      </c>
      <c r="I162" s="7667" t="s">
        <v>714</v>
      </c>
    </row>
    <row customHeight="1" ht="11.25">
      <c r="A163" s="7667" t="s">
        <v>2206</v>
      </c>
      <c r="B163" s="7667" t="s">
        <v>14</v>
      </c>
      <c r="C163" s="7667" t="s">
        <v>2764</v>
      </c>
      <c r="D163" s="7667" t="s">
        <v>2765</v>
      </c>
      <c r="E163" s="7667" t="s">
        <v>2766</v>
      </c>
      <c r="F163" s="7667" t="s">
        <v>2221</v>
      </c>
      <c r="G163" s="7667" t="s">
        <v>2767</v>
      </c>
      <c r="H163" s="7667" t="s">
        <v>18</v>
      </c>
      <c r="I163" s="7667" t="s">
        <v>714</v>
      </c>
    </row>
    <row customHeight="1" ht="11.25">
      <c r="A164" s="7667" t="s">
        <v>2206</v>
      </c>
      <c r="B164" s="7667" t="s">
        <v>14</v>
      </c>
      <c r="C164" s="7667" t="s">
        <v>2768</v>
      </c>
      <c r="D164" s="7667" t="s">
        <v>2769</v>
      </c>
      <c r="E164" s="7667" t="s">
        <v>2770</v>
      </c>
      <c r="F164" s="7667" t="s">
        <v>2225</v>
      </c>
      <c r="G164" s="7667" t="s">
        <v>18</v>
      </c>
      <c r="H164" s="7667" t="s">
        <v>18</v>
      </c>
      <c r="I164" s="7667" t="s">
        <v>714</v>
      </c>
    </row>
    <row customHeight="1" ht="11.25">
      <c r="A165" s="7667" t="s">
        <v>2206</v>
      </c>
      <c r="B165" s="7667" t="s">
        <v>14</v>
      </c>
      <c r="C165" s="7667" t="s">
        <v>2771</v>
      </c>
      <c r="D165" s="7667" t="s">
        <v>2772</v>
      </c>
      <c r="E165" s="7667" t="s">
        <v>2773</v>
      </c>
      <c r="F165" s="7667" t="s">
        <v>2584</v>
      </c>
      <c r="G165" s="7667" t="s">
        <v>2774</v>
      </c>
      <c r="H165" s="7667" t="s">
        <v>18</v>
      </c>
      <c r="I165" s="7667" t="s">
        <v>714</v>
      </c>
    </row>
    <row customHeight="1" ht="11.25">
      <c r="A166" s="7667" t="s">
        <v>2206</v>
      </c>
      <c r="B166" s="7667" t="s">
        <v>14</v>
      </c>
      <c r="C166" s="7667" t="s">
        <v>2775</v>
      </c>
      <c r="D166" s="7667" t="s">
        <v>2776</v>
      </c>
      <c r="E166" s="7667" t="s">
        <v>2777</v>
      </c>
      <c r="F166" s="7667" t="s">
        <v>2385</v>
      </c>
      <c r="G166" s="7667" t="s">
        <v>18</v>
      </c>
      <c r="H166" s="7667" t="s">
        <v>18</v>
      </c>
      <c r="I166" s="7667" t="s">
        <v>714</v>
      </c>
    </row>
    <row customHeight="1" ht="11.25">
      <c r="A167" s="7667" t="s">
        <v>2206</v>
      </c>
      <c r="B167" s="7667" t="s">
        <v>14</v>
      </c>
      <c r="C167" s="7667" t="s">
        <v>2778</v>
      </c>
      <c r="D167" s="7667" t="s">
        <v>2779</v>
      </c>
      <c r="E167" s="7667" t="s">
        <v>2780</v>
      </c>
      <c r="F167" s="7667" t="s">
        <v>2251</v>
      </c>
      <c r="G167" s="7667" t="s">
        <v>18</v>
      </c>
      <c r="H167" s="7667" t="s">
        <v>18</v>
      </c>
      <c r="I167" s="7667" t="s">
        <v>714</v>
      </c>
    </row>
    <row customHeight="1" ht="11.25">
      <c r="A168" s="7667" t="s">
        <v>2206</v>
      </c>
      <c r="B168" s="7667" t="s">
        <v>14</v>
      </c>
      <c r="C168" s="7667" t="s">
        <v>2781</v>
      </c>
      <c r="D168" s="7667" t="s">
        <v>2782</v>
      </c>
      <c r="E168" s="7667" t="s">
        <v>2783</v>
      </c>
      <c r="F168" s="7667" t="s">
        <v>2385</v>
      </c>
      <c r="G168" s="7667" t="s">
        <v>18</v>
      </c>
      <c r="H168" s="7667" t="s">
        <v>18</v>
      </c>
      <c r="I168" s="7667" t="s">
        <v>714</v>
      </c>
    </row>
    <row customHeight="1" ht="11.25">
      <c r="A169" s="7667" t="s">
        <v>2206</v>
      </c>
      <c r="B169" s="7667" t="s">
        <v>14</v>
      </c>
      <c r="C169" s="7667" t="s">
        <v>2784</v>
      </c>
      <c r="D169" s="7667" t="s">
        <v>2785</v>
      </c>
      <c r="E169" s="7667" t="s">
        <v>2786</v>
      </c>
      <c r="F169" s="7667" t="s">
        <v>2385</v>
      </c>
      <c r="G169" s="7667" t="s">
        <v>2787</v>
      </c>
      <c r="H169" s="7667" t="s">
        <v>18</v>
      </c>
      <c r="I169" s="7667" t="s">
        <v>714</v>
      </c>
    </row>
    <row customHeight="1" ht="11.25">
      <c r="A170" s="7667" t="s">
        <v>2206</v>
      </c>
      <c r="B170" s="7667" t="s">
        <v>14</v>
      </c>
      <c r="C170" s="7667" t="s">
        <v>2788</v>
      </c>
      <c r="D170" s="7667" t="s">
        <v>2789</v>
      </c>
      <c r="E170" s="7667" t="s">
        <v>2790</v>
      </c>
      <c r="F170" s="7667" t="s">
        <v>2236</v>
      </c>
      <c r="G170" s="7667" t="s">
        <v>18</v>
      </c>
      <c r="H170" s="7667" t="s">
        <v>18</v>
      </c>
      <c r="I170" s="7667" t="s">
        <v>714</v>
      </c>
    </row>
    <row customHeight="1" ht="11.25">
      <c r="A171" s="7667" t="s">
        <v>2206</v>
      </c>
      <c r="B171" s="7667" t="s">
        <v>14</v>
      </c>
      <c r="C171" s="7667" t="s">
        <v>2791</v>
      </c>
      <c r="D171" s="7667" t="s">
        <v>2792</v>
      </c>
      <c r="E171" s="7667" t="s">
        <v>2793</v>
      </c>
      <c r="F171" s="7667" t="s">
        <v>2424</v>
      </c>
      <c r="G171" s="7667" t="s">
        <v>18</v>
      </c>
      <c r="H171" s="7667" t="s">
        <v>18</v>
      </c>
      <c r="I171" s="7667" t="s">
        <v>714</v>
      </c>
    </row>
    <row customHeight="1" ht="11.25">
      <c r="A172" s="7667" t="s">
        <v>2206</v>
      </c>
      <c r="B172" s="7667" t="s">
        <v>14</v>
      </c>
      <c r="C172" s="7667" t="s">
        <v>2794</v>
      </c>
      <c r="D172" s="7667" t="s">
        <v>2795</v>
      </c>
      <c r="E172" s="7667" t="s">
        <v>2796</v>
      </c>
      <c r="F172" s="7667" t="s">
        <v>2297</v>
      </c>
      <c r="G172" s="7667" t="s">
        <v>18</v>
      </c>
      <c r="H172" s="7667" t="s">
        <v>2797</v>
      </c>
      <c r="I172" s="7667" t="s">
        <v>714</v>
      </c>
    </row>
    <row customHeight="1" ht="11.25">
      <c r="A173" s="7667" t="s">
        <v>2206</v>
      </c>
      <c r="B173" s="7667" t="s">
        <v>14</v>
      </c>
      <c r="C173" s="7667" t="s">
        <v>2798</v>
      </c>
      <c r="D173" s="7667" t="s">
        <v>2799</v>
      </c>
      <c r="E173" s="7667" t="s">
        <v>2800</v>
      </c>
      <c r="F173" s="7667" t="s">
        <v>2714</v>
      </c>
      <c r="G173" s="7667" t="s">
        <v>18</v>
      </c>
      <c r="H173" s="7667" t="s">
        <v>18</v>
      </c>
      <c r="I173" s="7667" t="s">
        <v>714</v>
      </c>
    </row>
    <row customHeight="1" ht="11.25">
      <c r="A174" s="7667" t="s">
        <v>2206</v>
      </c>
      <c r="B174" s="7667" t="s">
        <v>14</v>
      </c>
      <c r="C174" s="7667" t="s">
        <v>2801</v>
      </c>
      <c r="D174" s="7667" t="s">
        <v>2802</v>
      </c>
      <c r="E174" s="7667" t="s">
        <v>2803</v>
      </c>
      <c r="F174" s="7667" t="s">
        <v>2584</v>
      </c>
      <c r="G174" s="7667" t="s">
        <v>18</v>
      </c>
      <c r="H174" s="7667" t="s">
        <v>18</v>
      </c>
      <c r="I174" s="7667" t="s">
        <v>714</v>
      </c>
    </row>
    <row customHeight="1" ht="11.25">
      <c r="A175" s="7667" t="s">
        <v>2206</v>
      </c>
      <c r="B175" s="7667" t="s">
        <v>14</v>
      </c>
      <c r="C175" s="7667" t="s">
        <v>2804</v>
      </c>
      <c r="D175" s="7667" t="s">
        <v>2805</v>
      </c>
      <c r="E175" s="7667" t="s">
        <v>2806</v>
      </c>
      <c r="F175" s="7667" t="s">
        <v>2297</v>
      </c>
      <c r="G175" s="7667" t="s">
        <v>18</v>
      </c>
      <c r="H175" s="7667" t="s">
        <v>18</v>
      </c>
      <c r="I175" s="7667" t="s">
        <v>714</v>
      </c>
    </row>
    <row customHeight="1" ht="11.25">
      <c r="A176" s="7667" t="s">
        <v>2206</v>
      </c>
      <c r="B176" s="7667" t="s">
        <v>14</v>
      </c>
      <c r="C176" s="7667" t="s">
        <v>2807</v>
      </c>
      <c r="D176" s="7667" t="s">
        <v>2808</v>
      </c>
      <c r="E176" s="7667" t="s">
        <v>2809</v>
      </c>
      <c r="F176" s="7667" t="s">
        <v>2428</v>
      </c>
      <c r="G176" s="7667" t="s">
        <v>18</v>
      </c>
      <c r="H176" s="7667" t="s">
        <v>18</v>
      </c>
      <c r="I176" s="7667" t="s">
        <v>714</v>
      </c>
    </row>
    <row customHeight="1" ht="11.25">
      <c r="A177" s="7667" t="s">
        <v>2206</v>
      </c>
      <c r="B177" s="7667" t="s">
        <v>14</v>
      </c>
      <c r="C177" s="7667" t="s">
        <v>2810</v>
      </c>
      <c r="D177" s="7667" t="s">
        <v>2811</v>
      </c>
      <c r="E177" s="7667" t="s">
        <v>2812</v>
      </c>
      <c r="F177" s="7667" t="s">
        <v>46</v>
      </c>
      <c r="G177" s="7667" t="s">
        <v>18</v>
      </c>
      <c r="H177" s="7667" t="s">
        <v>2813</v>
      </c>
      <c r="I177" s="7667" t="s">
        <v>714</v>
      </c>
    </row>
    <row customHeight="1" ht="11.25">
      <c r="A178" s="7667" t="s">
        <v>2206</v>
      </c>
      <c r="B178" s="7667" t="s">
        <v>14</v>
      </c>
      <c r="C178" s="7667" t="s">
        <v>2814</v>
      </c>
      <c r="D178" s="7667" t="s">
        <v>2815</v>
      </c>
      <c r="E178" s="7667" t="s">
        <v>2816</v>
      </c>
      <c r="F178" s="7667" t="s">
        <v>2817</v>
      </c>
      <c r="G178" s="7667" t="s">
        <v>18</v>
      </c>
      <c r="H178" s="7667" t="s">
        <v>18</v>
      </c>
      <c r="I178" s="7667" t="s">
        <v>714</v>
      </c>
    </row>
    <row customHeight="1" ht="11.25">
      <c r="A179" s="7667" t="s">
        <v>2206</v>
      </c>
      <c r="B179" s="7667" t="s">
        <v>14</v>
      </c>
      <c r="C179" s="7667" t="s">
        <v>2818</v>
      </c>
      <c r="D179" s="7667" t="s">
        <v>2819</v>
      </c>
      <c r="E179" s="7667" t="s">
        <v>2820</v>
      </c>
      <c r="F179" s="7667" t="s">
        <v>46</v>
      </c>
      <c r="G179" s="7667" t="s">
        <v>18</v>
      </c>
      <c r="H179" s="7667" t="s">
        <v>18</v>
      </c>
      <c r="I179" s="7667" t="s">
        <v>714</v>
      </c>
    </row>
    <row customHeight="1" ht="11.25">
      <c r="A180" s="7667" t="s">
        <v>2206</v>
      </c>
      <c r="B180" s="7667" t="s">
        <v>14</v>
      </c>
      <c r="C180" s="7667" t="s">
        <v>2821</v>
      </c>
      <c r="D180" s="7667" t="s">
        <v>2822</v>
      </c>
      <c r="E180" s="7667" t="s">
        <v>2823</v>
      </c>
      <c r="F180" s="7667" t="s">
        <v>46</v>
      </c>
      <c r="G180" s="7667" t="s">
        <v>18</v>
      </c>
      <c r="H180" s="7667" t="s">
        <v>18</v>
      </c>
      <c r="I180" s="7667" t="s">
        <v>714</v>
      </c>
    </row>
    <row customHeight="1" ht="11.25">
      <c r="A181" s="7667" t="s">
        <v>2206</v>
      </c>
      <c r="B181" s="7667" t="s">
        <v>14</v>
      </c>
      <c r="C181" s="7667" t="s">
        <v>2824</v>
      </c>
      <c r="D181" s="7667" t="s">
        <v>2825</v>
      </c>
      <c r="E181" s="7667" t="s">
        <v>2826</v>
      </c>
      <c r="F181" s="7667" t="s">
        <v>2279</v>
      </c>
      <c r="G181" s="7667" t="s">
        <v>18</v>
      </c>
      <c r="H181" s="7667" t="s">
        <v>18</v>
      </c>
      <c r="I181" s="7667" t="s">
        <v>714</v>
      </c>
    </row>
    <row customHeight="1" ht="11.25">
      <c r="A182" s="7667" t="s">
        <v>2206</v>
      </c>
      <c r="B182" s="7667" t="s">
        <v>14</v>
      </c>
      <c r="C182" s="7667" t="s">
        <v>2827</v>
      </c>
      <c r="D182" s="7667" t="s">
        <v>2828</v>
      </c>
      <c r="E182" s="7667" t="s">
        <v>2829</v>
      </c>
      <c r="F182" s="7667" t="s">
        <v>2714</v>
      </c>
      <c r="G182" s="7667" t="s">
        <v>18</v>
      </c>
      <c r="H182" s="7667" t="s">
        <v>18</v>
      </c>
      <c r="I182" s="7667" t="s">
        <v>714</v>
      </c>
    </row>
    <row customHeight="1" ht="11.25">
      <c r="A183" s="7667" t="s">
        <v>2206</v>
      </c>
      <c r="B183" s="7667" t="s">
        <v>14</v>
      </c>
      <c r="C183" s="7667" t="s">
        <v>2830</v>
      </c>
      <c r="D183" s="7667" t="s">
        <v>2831</v>
      </c>
      <c r="E183" s="7667" t="s">
        <v>2832</v>
      </c>
      <c r="F183" s="7667" t="s">
        <v>2225</v>
      </c>
      <c r="G183" s="7667" t="s">
        <v>18</v>
      </c>
      <c r="H183" s="7667" t="s">
        <v>18</v>
      </c>
      <c r="I183" s="7667" t="s">
        <v>714</v>
      </c>
    </row>
    <row customHeight="1" ht="11.25">
      <c r="A184" s="7667" t="s">
        <v>2206</v>
      </c>
      <c r="B184" s="7667" t="s">
        <v>14</v>
      </c>
      <c r="C184" s="7667" t="s">
        <v>2833</v>
      </c>
      <c r="D184" s="7667" t="s">
        <v>2834</v>
      </c>
      <c r="E184" s="7667" t="s">
        <v>2835</v>
      </c>
      <c r="F184" s="7667" t="s">
        <v>2251</v>
      </c>
      <c r="G184" s="7667" t="s">
        <v>18</v>
      </c>
      <c r="H184" s="7667" t="s">
        <v>18</v>
      </c>
      <c r="I184" s="7667" t="s">
        <v>714</v>
      </c>
    </row>
    <row customHeight="1" ht="11.25">
      <c r="A185" s="7667" t="s">
        <v>2206</v>
      </c>
      <c r="B185" s="7667" t="s">
        <v>14</v>
      </c>
      <c r="C185" s="7667" t="s">
        <v>2836</v>
      </c>
      <c r="D185" s="7667" t="s">
        <v>2837</v>
      </c>
      <c r="E185" s="7667" t="s">
        <v>2838</v>
      </c>
      <c r="F185" s="7667" t="s">
        <v>2424</v>
      </c>
      <c r="G185" s="7667" t="s">
        <v>18</v>
      </c>
      <c r="H185" s="7667" t="s">
        <v>2839</v>
      </c>
      <c r="I185" s="7667" t="s">
        <v>714</v>
      </c>
    </row>
    <row customHeight="1" ht="11.25">
      <c r="A186" s="7667" t="s">
        <v>2206</v>
      </c>
      <c r="B186" s="7667" t="s">
        <v>14</v>
      </c>
      <c r="C186" s="7667" t="s">
        <v>2840</v>
      </c>
      <c r="D186" s="7667" t="s">
        <v>2841</v>
      </c>
      <c r="E186" s="7667" t="s">
        <v>2842</v>
      </c>
      <c r="F186" s="7667" t="s">
        <v>2318</v>
      </c>
      <c r="G186" s="7667" t="s">
        <v>18</v>
      </c>
      <c r="H186" s="7667" t="s">
        <v>18</v>
      </c>
      <c r="I186" s="7667" t="s">
        <v>714</v>
      </c>
    </row>
    <row customHeight="1" ht="11.25">
      <c r="A187" s="7667" t="s">
        <v>2206</v>
      </c>
      <c r="B187" s="7667" t="s">
        <v>14</v>
      </c>
      <c r="C187" s="7667" t="s">
        <v>2843</v>
      </c>
      <c r="D187" s="7667" t="s">
        <v>2844</v>
      </c>
      <c r="E187" s="7667" t="s">
        <v>2845</v>
      </c>
      <c r="F187" s="7667" t="s">
        <v>2424</v>
      </c>
      <c r="G187" s="7667" t="s">
        <v>18</v>
      </c>
      <c r="H187" s="7667" t="s">
        <v>18</v>
      </c>
      <c r="I187" s="7667" t="s">
        <v>714</v>
      </c>
    </row>
    <row customHeight="1" ht="11.25">
      <c r="A188" s="7667" t="s">
        <v>2206</v>
      </c>
      <c r="B188" s="7667" t="s">
        <v>14</v>
      </c>
      <c r="C188" s="7667" t="s">
        <v>2846</v>
      </c>
      <c r="D188" s="7667" t="s">
        <v>2847</v>
      </c>
      <c r="E188" s="7667" t="s">
        <v>2848</v>
      </c>
      <c r="F188" s="7667" t="s">
        <v>2221</v>
      </c>
      <c r="G188" s="7667" t="s">
        <v>18</v>
      </c>
      <c r="H188" s="7667" t="s">
        <v>18</v>
      </c>
      <c r="I188" s="7667" t="s">
        <v>714</v>
      </c>
    </row>
    <row customHeight="1" ht="11.25">
      <c r="A189" s="7667" t="s">
        <v>2206</v>
      </c>
      <c r="B189" s="7667" t="s">
        <v>14</v>
      </c>
      <c r="C189" s="7667" t="s">
        <v>2849</v>
      </c>
      <c r="D189" s="7667" t="s">
        <v>2847</v>
      </c>
      <c r="E189" s="7667" t="s">
        <v>2848</v>
      </c>
      <c r="F189" s="7667" t="s">
        <v>2240</v>
      </c>
      <c r="G189" s="7667" t="s">
        <v>18</v>
      </c>
      <c r="H189" s="7667" t="s">
        <v>18</v>
      </c>
      <c r="I189" s="7667" t="s">
        <v>714</v>
      </c>
    </row>
    <row customHeight="1" ht="11.25">
      <c r="A190" s="7667" t="s">
        <v>2206</v>
      </c>
      <c r="B190" s="7667" t="s">
        <v>14</v>
      </c>
      <c r="C190" s="7667" t="s">
        <v>2850</v>
      </c>
      <c r="D190" s="7667" t="s">
        <v>2851</v>
      </c>
      <c r="E190" s="7667" t="s">
        <v>2848</v>
      </c>
      <c r="F190" s="7667" t="s">
        <v>2297</v>
      </c>
      <c r="G190" s="7667" t="s">
        <v>18</v>
      </c>
      <c r="H190" s="7667" t="s">
        <v>2852</v>
      </c>
      <c r="I190" s="7667" t="s">
        <v>714</v>
      </c>
    </row>
    <row customHeight="1" ht="11.25">
      <c r="A191" s="7667" t="s">
        <v>2206</v>
      </c>
      <c r="B191" s="7667" t="s">
        <v>14</v>
      </c>
      <c r="C191" s="7667" t="s">
        <v>2853</v>
      </c>
      <c r="D191" s="7667" t="s">
        <v>2854</v>
      </c>
      <c r="E191" s="7667" t="s">
        <v>2855</v>
      </c>
      <c r="F191" s="7667" t="s">
        <v>2210</v>
      </c>
      <c r="G191" s="7667" t="s">
        <v>18</v>
      </c>
      <c r="H191" s="7667" t="s">
        <v>18</v>
      </c>
      <c r="I191" s="7667" t="s">
        <v>714</v>
      </c>
    </row>
    <row customHeight="1" ht="11.25">
      <c r="A192" s="7667" t="s">
        <v>2206</v>
      </c>
      <c r="B192" s="7667" t="s">
        <v>14</v>
      </c>
      <c r="C192" s="7667" t="s">
        <v>2856</v>
      </c>
      <c r="D192" s="7667" t="s">
        <v>2857</v>
      </c>
      <c r="E192" s="7667" t="s">
        <v>2858</v>
      </c>
      <c r="F192" s="7667" t="s">
        <v>46</v>
      </c>
      <c r="G192" s="7667" t="s">
        <v>18</v>
      </c>
      <c r="H192" s="7667" t="s">
        <v>18</v>
      </c>
      <c r="I192" s="7667" t="s">
        <v>714</v>
      </c>
    </row>
    <row customHeight="1" ht="11.25">
      <c r="A193" s="7667" t="s">
        <v>2206</v>
      </c>
      <c r="B193" s="7667" t="s">
        <v>14</v>
      </c>
      <c r="C193" s="7667" t="s">
        <v>2859</v>
      </c>
      <c r="D193" s="7667" t="s">
        <v>2860</v>
      </c>
      <c r="E193" s="7667" t="s">
        <v>2861</v>
      </c>
      <c r="F193" s="7667" t="s">
        <v>2225</v>
      </c>
      <c r="G193" s="7667" t="s">
        <v>18</v>
      </c>
      <c r="H193" s="7667" t="s">
        <v>2401</v>
      </c>
      <c r="I193" s="7667" t="s">
        <v>714</v>
      </c>
    </row>
    <row customHeight="1" ht="11.25">
      <c r="A194" s="7667" t="s">
        <v>2206</v>
      </c>
      <c r="B194" s="7667" t="s">
        <v>14</v>
      </c>
      <c r="C194" s="7667" t="s">
        <v>2862</v>
      </c>
      <c r="D194" s="7667" t="s">
        <v>2863</v>
      </c>
      <c r="E194" s="7667" t="s">
        <v>2864</v>
      </c>
      <c r="F194" s="7667" t="s">
        <v>2318</v>
      </c>
      <c r="G194" s="7667" t="s">
        <v>18</v>
      </c>
      <c r="H194" s="7667" t="s">
        <v>2401</v>
      </c>
      <c r="I194" s="7667" t="s">
        <v>714</v>
      </c>
    </row>
    <row customHeight="1" ht="11.25">
      <c r="A195" s="7667" t="s">
        <v>2206</v>
      </c>
      <c r="B195" s="7667" t="s">
        <v>14</v>
      </c>
      <c r="C195" s="7667" t="s">
        <v>2865</v>
      </c>
      <c r="D195" s="7667" t="s">
        <v>2866</v>
      </c>
      <c r="E195" s="7667" t="s">
        <v>2867</v>
      </c>
      <c r="F195" s="7667" t="s">
        <v>2714</v>
      </c>
      <c r="G195" s="7667" t="s">
        <v>18</v>
      </c>
      <c r="H195" s="7667" t="s">
        <v>18</v>
      </c>
      <c r="I195" s="7667" t="s">
        <v>714</v>
      </c>
    </row>
    <row customHeight="1" ht="11.25">
      <c r="A196" s="7667" t="s">
        <v>2206</v>
      </c>
      <c r="B196" s="7667" t="s">
        <v>14</v>
      </c>
      <c r="C196" s="7667" t="s">
        <v>2868</v>
      </c>
      <c r="D196" s="7667" t="s">
        <v>2869</v>
      </c>
      <c r="E196" s="7667" t="s">
        <v>2870</v>
      </c>
      <c r="F196" s="7667" t="s">
        <v>2236</v>
      </c>
      <c r="G196" s="7667" t="s">
        <v>18</v>
      </c>
      <c r="H196" s="7667" t="s">
        <v>18</v>
      </c>
      <c r="I196" s="7667" t="s">
        <v>714</v>
      </c>
    </row>
    <row customHeight="1" ht="11.25">
      <c r="A197" s="7667" t="s">
        <v>2206</v>
      </c>
      <c r="B197" s="7667" t="s">
        <v>14</v>
      </c>
      <c r="C197" s="7667" t="s">
        <v>2871</v>
      </c>
      <c r="D197" s="7667" t="s">
        <v>2872</v>
      </c>
      <c r="E197" s="7667" t="s">
        <v>2873</v>
      </c>
      <c r="F197" s="7667" t="s">
        <v>2714</v>
      </c>
      <c r="G197" s="7667" t="s">
        <v>18</v>
      </c>
      <c r="H197" s="7667" t="s">
        <v>18</v>
      </c>
      <c r="I197" s="7667" t="s">
        <v>714</v>
      </c>
    </row>
    <row customHeight="1" ht="11.25">
      <c r="A198" s="7667" t="s">
        <v>2206</v>
      </c>
      <c r="B198" s="7667" t="s">
        <v>14</v>
      </c>
      <c r="C198" s="7667" t="s">
        <v>2874</v>
      </c>
      <c r="D198" s="7667" t="s">
        <v>2875</v>
      </c>
      <c r="E198" s="7667" t="s">
        <v>2876</v>
      </c>
      <c r="F198" s="7667" t="s">
        <v>46</v>
      </c>
      <c r="G198" s="7667" t="s">
        <v>2877</v>
      </c>
      <c r="H198" s="7667" t="s">
        <v>18</v>
      </c>
      <c r="I198" s="7667" t="s">
        <v>714</v>
      </c>
    </row>
    <row customHeight="1" ht="11.25">
      <c r="A199" s="7667" t="s">
        <v>2206</v>
      </c>
      <c r="B199" s="7667" t="s">
        <v>14</v>
      </c>
      <c r="C199" s="7667" t="s">
        <v>2878</v>
      </c>
      <c r="D199" s="7667" t="s">
        <v>2879</v>
      </c>
      <c r="E199" s="7667" t="s">
        <v>2880</v>
      </c>
      <c r="F199" s="7667" t="s">
        <v>2247</v>
      </c>
      <c r="G199" s="7667" t="s">
        <v>18</v>
      </c>
      <c r="H199" s="7667" t="s">
        <v>18</v>
      </c>
      <c r="I199" s="7667" t="s">
        <v>714</v>
      </c>
    </row>
    <row customHeight="1" ht="11.25">
      <c r="A200" s="7667" t="s">
        <v>2206</v>
      </c>
      <c r="B200" s="7667" t="s">
        <v>14</v>
      </c>
      <c r="C200" s="7667" t="s">
        <v>2881</v>
      </c>
      <c r="D200" s="7667" t="s">
        <v>2882</v>
      </c>
      <c r="E200" s="7667" t="s">
        <v>2883</v>
      </c>
      <c r="F200" s="7667" t="s">
        <v>2364</v>
      </c>
      <c r="G200" s="7667" t="s">
        <v>18</v>
      </c>
      <c r="H200" s="7667" t="s">
        <v>18</v>
      </c>
      <c r="I200" s="7667" t="s">
        <v>714</v>
      </c>
    </row>
    <row customHeight="1" ht="11.25">
      <c r="A201" s="7667" t="s">
        <v>2206</v>
      </c>
      <c r="B201" s="7667" t="s">
        <v>14</v>
      </c>
      <c r="C201" s="7667" t="s">
        <v>2884</v>
      </c>
      <c r="D201" s="7667" t="s">
        <v>2885</v>
      </c>
      <c r="E201" s="7667" t="s">
        <v>44</v>
      </c>
      <c r="F201" s="7667" t="s">
        <v>2886</v>
      </c>
      <c r="G201" s="7667" t="s">
        <v>18</v>
      </c>
      <c r="H201" s="7667" t="s">
        <v>18</v>
      </c>
      <c r="I201" s="7667" t="s">
        <v>714</v>
      </c>
    </row>
    <row customHeight="1" ht="11.25">
      <c r="A202" s="7667" t="s">
        <v>2206</v>
      </c>
      <c r="B202" s="7667" t="s">
        <v>14</v>
      </c>
      <c r="C202" s="7667" t="s">
        <v>2887</v>
      </c>
      <c r="D202" s="7667" t="s">
        <v>41</v>
      </c>
      <c r="E202" s="7667" t="s">
        <v>44</v>
      </c>
      <c r="F202" s="7667" t="s">
        <v>46</v>
      </c>
      <c r="G202" s="7667" t="s">
        <v>18</v>
      </c>
      <c r="H202" s="7667" t="s">
        <v>18</v>
      </c>
      <c r="I202" s="7667" t="s">
        <v>714</v>
      </c>
    </row>
    <row customHeight="1" ht="11.25">
      <c r="A203" s="7667" t="s">
        <v>2206</v>
      </c>
      <c r="B203" s="7667" t="s">
        <v>14</v>
      </c>
      <c r="C203" s="7667" t="s">
        <v>2888</v>
      </c>
      <c r="D203" s="7667" t="s">
        <v>2889</v>
      </c>
      <c r="E203" s="7667" t="s">
        <v>2890</v>
      </c>
      <c r="F203" s="7667" t="s">
        <v>2251</v>
      </c>
      <c r="G203" s="7667" t="s">
        <v>18</v>
      </c>
      <c r="H203" s="7667" t="s">
        <v>18</v>
      </c>
      <c r="I203" s="7667" t="s">
        <v>714</v>
      </c>
    </row>
    <row customHeight="1" ht="11.25">
      <c r="A204" s="7667" t="s">
        <v>2206</v>
      </c>
      <c r="B204" s="7667" t="s">
        <v>14</v>
      </c>
      <c r="C204" s="7667" t="s">
        <v>2891</v>
      </c>
      <c r="D204" s="7667" t="s">
        <v>2892</v>
      </c>
      <c r="E204" s="7667" t="s">
        <v>2893</v>
      </c>
      <c r="F204" s="7667" t="s">
        <v>2210</v>
      </c>
      <c r="G204" s="7667" t="s">
        <v>18</v>
      </c>
      <c r="H204" s="7667" t="s">
        <v>18</v>
      </c>
      <c r="I204" s="7667" t="s">
        <v>714</v>
      </c>
    </row>
    <row customHeight="1" ht="11.25">
      <c r="A205" s="7667" t="s">
        <v>2206</v>
      </c>
      <c r="B205" s="7667" t="s">
        <v>14</v>
      </c>
      <c r="C205" s="7667" t="s">
        <v>2894</v>
      </c>
      <c r="D205" s="7667" t="s">
        <v>2895</v>
      </c>
      <c r="E205" s="7667" t="s">
        <v>2896</v>
      </c>
      <c r="F205" s="7667" t="s">
        <v>2428</v>
      </c>
      <c r="G205" s="7667" t="s">
        <v>18</v>
      </c>
      <c r="H205" s="7667" t="s">
        <v>18</v>
      </c>
      <c r="I205" s="7667" t="s">
        <v>714</v>
      </c>
    </row>
    <row customHeight="1" ht="11.25">
      <c r="A206" s="7667" t="s">
        <v>2206</v>
      </c>
      <c r="B206" s="7667" t="s">
        <v>14</v>
      </c>
      <c r="C206" s="7667" t="s">
        <v>2897</v>
      </c>
      <c r="D206" s="7667" t="s">
        <v>2898</v>
      </c>
      <c r="E206" s="7667" t="s">
        <v>2899</v>
      </c>
      <c r="F206" s="7667" t="s">
        <v>2428</v>
      </c>
      <c r="G206" s="7667" t="s">
        <v>18</v>
      </c>
      <c r="H206" s="7667" t="s">
        <v>18</v>
      </c>
      <c r="I206" s="7667" t="s">
        <v>714</v>
      </c>
    </row>
    <row customHeight="1" ht="11.25">
      <c r="A207" s="7667" t="s">
        <v>2206</v>
      </c>
      <c r="B207" s="7667" t="s">
        <v>14</v>
      </c>
      <c r="C207" s="7667" t="s">
        <v>2900</v>
      </c>
      <c r="D207" s="7667" t="s">
        <v>2901</v>
      </c>
      <c r="E207" s="7667" t="s">
        <v>2902</v>
      </c>
      <c r="F207" s="7667" t="s">
        <v>2217</v>
      </c>
      <c r="G207" s="7667" t="s">
        <v>18</v>
      </c>
      <c r="H207" s="7667" t="s">
        <v>18</v>
      </c>
      <c r="I207" s="7667" t="s">
        <v>714</v>
      </c>
    </row>
    <row customHeight="1" ht="11.25">
      <c r="A208" s="7667" t="s">
        <v>2206</v>
      </c>
      <c r="B208" s="7667" t="s">
        <v>14</v>
      </c>
      <c r="C208" s="7667" t="s">
        <v>2903</v>
      </c>
      <c r="D208" s="7667" t="s">
        <v>2904</v>
      </c>
      <c r="E208" s="7667" t="s">
        <v>2905</v>
      </c>
      <c r="F208" s="7667" t="s">
        <v>2906</v>
      </c>
      <c r="G208" s="7667" t="s">
        <v>18</v>
      </c>
      <c r="H208" s="7667" t="s">
        <v>2907</v>
      </c>
      <c r="I208" s="7667" t="s">
        <v>714</v>
      </c>
    </row>
    <row customHeight="1" ht="11.25">
      <c r="A209" s="7667" t="s">
        <v>2206</v>
      </c>
      <c r="B209" s="7667" t="s">
        <v>14</v>
      </c>
      <c r="C209" s="7667" t="s">
        <v>2908</v>
      </c>
      <c r="D209" s="7667" t="s">
        <v>2909</v>
      </c>
      <c r="E209" s="7667" t="s">
        <v>2910</v>
      </c>
      <c r="F209" s="7667" t="s">
        <v>2911</v>
      </c>
      <c r="G209" s="7667" t="s">
        <v>18</v>
      </c>
      <c r="H209" s="7667" t="s">
        <v>2912</v>
      </c>
      <c r="I209" s="7667" t="s">
        <v>714</v>
      </c>
    </row>
    <row customHeight="1" ht="11.25">
      <c r="A210" s="7667" t="s">
        <v>2206</v>
      </c>
      <c r="B210" s="7667" t="s">
        <v>14</v>
      </c>
      <c r="C210" s="7667" t="s">
        <v>2913</v>
      </c>
      <c r="D210" s="7667" t="s">
        <v>2914</v>
      </c>
      <c r="E210" s="7667" t="s">
        <v>2915</v>
      </c>
      <c r="F210" s="7667" t="s">
        <v>46</v>
      </c>
      <c r="G210" s="7667" t="s">
        <v>18</v>
      </c>
      <c r="H210" s="7667" t="s">
        <v>18</v>
      </c>
      <c r="I210" s="7667" t="s">
        <v>714</v>
      </c>
    </row>
    <row customHeight="1" ht="11.25">
      <c r="A211" s="7667" t="s">
        <v>2206</v>
      </c>
      <c r="B211" s="7667" t="s">
        <v>14</v>
      </c>
      <c r="C211" s="7667" t="s">
        <v>2916</v>
      </c>
      <c r="D211" s="7667" t="s">
        <v>2917</v>
      </c>
      <c r="E211" s="7667" t="s">
        <v>2918</v>
      </c>
      <c r="F211" s="7667" t="s">
        <v>2279</v>
      </c>
      <c r="G211" s="7667" t="s">
        <v>18</v>
      </c>
      <c r="H211" s="7667" t="s">
        <v>18</v>
      </c>
      <c r="I211" s="7667" t="s">
        <v>714</v>
      </c>
    </row>
    <row customHeight="1" ht="11.25">
      <c r="A212" s="7667" t="s">
        <v>2206</v>
      </c>
      <c r="B212" s="7667" t="s">
        <v>14</v>
      </c>
      <c r="C212" s="7667" t="s">
        <v>2919</v>
      </c>
      <c r="D212" s="7667" t="s">
        <v>2920</v>
      </c>
      <c r="E212" s="7667" t="s">
        <v>2921</v>
      </c>
      <c r="F212" s="7667" t="s">
        <v>2584</v>
      </c>
      <c r="G212" s="7667" t="s">
        <v>18</v>
      </c>
      <c r="H212" s="7667" t="s">
        <v>18</v>
      </c>
      <c r="I212" s="7667" t="s">
        <v>714</v>
      </c>
    </row>
    <row customHeight="1" ht="11.25">
      <c r="A213" s="7667" t="s">
        <v>2206</v>
      </c>
      <c r="B213" s="7667" t="s">
        <v>14</v>
      </c>
      <c r="C213" s="7667" t="s">
        <v>2922</v>
      </c>
      <c r="D213" s="7667" t="s">
        <v>2923</v>
      </c>
      <c r="E213" s="7667" t="s">
        <v>2924</v>
      </c>
      <c r="F213" s="7667" t="s">
        <v>2210</v>
      </c>
      <c r="G213" s="7667" t="s">
        <v>18</v>
      </c>
      <c r="H213" s="7667" t="s">
        <v>18</v>
      </c>
      <c r="I213" s="7667" t="s">
        <v>714</v>
      </c>
    </row>
    <row customHeight="1" ht="11.25">
      <c r="A214" s="7667" t="s">
        <v>2206</v>
      </c>
      <c r="B214" s="7667" t="s">
        <v>14</v>
      </c>
      <c r="C214" s="7667" t="s">
        <v>2925</v>
      </c>
      <c r="D214" s="7667" t="s">
        <v>2926</v>
      </c>
      <c r="E214" s="7667" t="s">
        <v>2927</v>
      </c>
      <c r="F214" s="7667" t="s">
        <v>2584</v>
      </c>
      <c r="G214" s="7667" t="s">
        <v>18</v>
      </c>
      <c r="H214" s="7667" t="s">
        <v>18</v>
      </c>
      <c r="I214" s="7667" t="s">
        <v>714</v>
      </c>
    </row>
    <row customHeight="1" ht="11.25">
      <c r="A215" s="7667" t="s">
        <v>2206</v>
      </c>
      <c r="B215" s="7667" t="s">
        <v>14</v>
      </c>
      <c r="C215" s="7667" t="s">
        <v>2928</v>
      </c>
      <c r="D215" s="7667" t="s">
        <v>2929</v>
      </c>
      <c r="E215" s="7667" t="s">
        <v>2930</v>
      </c>
      <c r="F215" s="7667" t="s">
        <v>2251</v>
      </c>
      <c r="G215" s="7667" t="s">
        <v>18</v>
      </c>
      <c r="H215" s="7667" t="s">
        <v>18</v>
      </c>
      <c r="I215" s="7667" t="s">
        <v>714</v>
      </c>
    </row>
    <row customHeight="1" ht="11.25">
      <c r="A216" s="7667" t="s">
        <v>2206</v>
      </c>
      <c r="B216" s="7667" t="s">
        <v>14</v>
      </c>
      <c r="C216" s="7667" t="s">
        <v>2931</v>
      </c>
      <c r="D216" s="7667" t="s">
        <v>2932</v>
      </c>
      <c r="E216" s="7667" t="s">
        <v>2933</v>
      </c>
      <c r="F216" s="7667" t="s">
        <v>2934</v>
      </c>
      <c r="G216" s="7667" t="s">
        <v>18</v>
      </c>
      <c r="H216" s="7667" t="s">
        <v>18</v>
      </c>
      <c r="I216" s="7667" t="s">
        <v>714</v>
      </c>
    </row>
    <row customHeight="1" ht="11.25">
      <c r="A217" s="7667" t="s">
        <v>2206</v>
      </c>
      <c r="B217" s="7667" t="s">
        <v>14</v>
      </c>
      <c r="C217" s="7667" t="s">
        <v>2935</v>
      </c>
      <c r="D217" s="7667" t="s">
        <v>2936</v>
      </c>
      <c r="E217" s="7667" t="s">
        <v>2937</v>
      </c>
      <c r="F217" s="7667" t="s">
        <v>46</v>
      </c>
      <c r="G217" s="7667" t="s">
        <v>18</v>
      </c>
      <c r="H217" s="7667" t="s">
        <v>18</v>
      </c>
      <c r="I217" s="7667" t="s">
        <v>714</v>
      </c>
    </row>
    <row customHeight="1" ht="11.25">
      <c r="A218" s="7667" t="s">
        <v>2206</v>
      </c>
      <c r="B218" s="7667" t="s">
        <v>14</v>
      </c>
      <c r="C218" s="7667" t="s">
        <v>2938</v>
      </c>
      <c r="D218" s="7667" t="s">
        <v>2939</v>
      </c>
      <c r="E218" s="7667" t="s">
        <v>2940</v>
      </c>
      <c r="F218" s="7667" t="s">
        <v>2240</v>
      </c>
      <c r="G218" s="7667" t="s">
        <v>18</v>
      </c>
      <c r="H218" s="7667" t="s">
        <v>18</v>
      </c>
      <c r="I218" s="7667" t="s">
        <v>714</v>
      </c>
    </row>
    <row customHeight="1" ht="11.25">
      <c r="A219" s="7667" t="s">
        <v>2206</v>
      </c>
      <c r="B219" s="7667" t="s">
        <v>14</v>
      </c>
      <c r="C219" s="7667" t="s">
        <v>2941</v>
      </c>
      <c r="D219" s="7667" t="s">
        <v>2942</v>
      </c>
      <c r="E219" s="7667" t="s">
        <v>2943</v>
      </c>
      <c r="F219" s="7667" t="s">
        <v>2225</v>
      </c>
      <c r="G219" s="7667" t="s">
        <v>18</v>
      </c>
      <c r="H219" s="7667" t="s">
        <v>2944</v>
      </c>
      <c r="I219" s="7667" t="s">
        <v>714</v>
      </c>
    </row>
    <row customHeight="1" ht="11.25">
      <c r="A220" s="7667" t="s">
        <v>2206</v>
      </c>
      <c r="B220" s="7667" t="s">
        <v>14</v>
      </c>
      <c r="C220" s="7667" t="s">
        <v>2945</v>
      </c>
      <c r="D220" s="7667" t="s">
        <v>2946</v>
      </c>
      <c r="E220" s="7667" t="s">
        <v>2947</v>
      </c>
      <c r="F220" s="7667" t="s">
        <v>2217</v>
      </c>
      <c r="G220" s="7667" t="s">
        <v>18</v>
      </c>
      <c r="H220" s="7667" t="s">
        <v>2912</v>
      </c>
      <c r="I220" s="7667" t="s">
        <v>714</v>
      </c>
    </row>
    <row customHeight="1" ht="11.25">
      <c r="A221" s="7667" t="s">
        <v>2206</v>
      </c>
      <c r="B221" s="7667" t="s">
        <v>14</v>
      </c>
      <c r="C221" s="7667" t="s">
        <v>2948</v>
      </c>
      <c r="D221" s="7667" t="s">
        <v>2949</v>
      </c>
      <c r="E221" s="7667" t="s">
        <v>2950</v>
      </c>
      <c r="F221" s="7667" t="s">
        <v>2217</v>
      </c>
      <c r="G221" s="7667" t="s">
        <v>18</v>
      </c>
      <c r="H221" s="7667" t="s">
        <v>2314</v>
      </c>
      <c r="I221" s="7667" t="s">
        <v>714</v>
      </c>
    </row>
    <row customHeight="1" ht="11.25">
      <c r="A222" s="7667" t="s">
        <v>2206</v>
      </c>
      <c r="B222" s="7667" t="s">
        <v>14</v>
      </c>
      <c r="C222" s="7667" t="s">
        <v>2951</v>
      </c>
      <c r="D222" s="7667" t="s">
        <v>2952</v>
      </c>
      <c r="E222" s="7667" t="s">
        <v>2953</v>
      </c>
      <c r="F222" s="7667" t="s">
        <v>2428</v>
      </c>
      <c r="G222" s="7667" t="s">
        <v>18</v>
      </c>
      <c r="H222" s="7667" t="s">
        <v>18</v>
      </c>
      <c r="I222" s="7667" t="s">
        <v>714</v>
      </c>
    </row>
    <row customHeight="1" ht="11.25">
      <c r="A223" s="7667" t="s">
        <v>2206</v>
      </c>
      <c r="B223" s="7667" t="s">
        <v>14</v>
      </c>
      <c r="C223" s="7667" t="s">
        <v>2954</v>
      </c>
      <c r="D223" s="7667" t="s">
        <v>2955</v>
      </c>
      <c r="E223" s="7667" t="s">
        <v>2956</v>
      </c>
      <c r="F223" s="7667" t="s">
        <v>2957</v>
      </c>
      <c r="G223" s="7667" t="s">
        <v>18</v>
      </c>
      <c r="H223" s="7667" t="s">
        <v>18</v>
      </c>
      <c r="I223" s="7667" t="s">
        <v>714</v>
      </c>
    </row>
    <row customHeight="1" ht="11.25">
      <c r="A224" s="7667" t="s">
        <v>2206</v>
      </c>
      <c r="B224" s="7667" t="s">
        <v>14</v>
      </c>
      <c r="C224" s="7667" t="s">
        <v>2958</v>
      </c>
      <c r="D224" s="7667" t="s">
        <v>2959</v>
      </c>
      <c r="E224" s="7667" t="s">
        <v>2933</v>
      </c>
      <c r="F224" s="7667" t="s">
        <v>2463</v>
      </c>
      <c r="G224" s="7667" t="s">
        <v>18</v>
      </c>
      <c r="H224" s="7667" t="s">
        <v>18</v>
      </c>
      <c r="I224" s="7667" t="s">
        <v>714</v>
      </c>
    </row>
    <row customHeight="1" ht="11.25">
      <c r="A225" s="7667" t="s">
        <v>2206</v>
      </c>
      <c r="B225" s="7667" t="s">
        <v>14</v>
      </c>
      <c r="C225" s="7667" t="s">
        <v>2960</v>
      </c>
      <c r="D225" s="7667" t="s">
        <v>2961</v>
      </c>
      <c r="E225" s="7667" t="s">
        <v>2910</v>
      </c>
      <c r="F225" s="7667" t="s">
        <v>2911</v>
      </c>
      <c r="G225" s="7667" t="s">
        <v>18</v>
      </c>
      <c r="H225" s="7667" t="s">
        <v>2962</v>
      </c>
      <c r="I225" s="7667" t="s">
        <v>714</v>
      </c>
    </row>
    <row customHeight="1" ht="11.25">
      <c r="A226" s="7667" t="s">
        <v>2206</v>
      </c>
      <c r="B226" s="7667" t="s">
        <v>14</v>
      </c>
      <c r="C226" s="7667" t="s">
        <v>2218</v>
      </c>
      <c r="D226" s="7667" t="s">
        <v>2219</v>
      </c>
      <c r="E226" s="7667" t="s">
        <v>2220</v>
      </c>
      <c r="F226" s="7667" t="s">
        <v>2221</v>
      </c>
      <c r="G226" s="7667" t="s">
        <v>18</v>
      </c>
      <c r="H226" s="7667" t="s">
        <v>18</v>
      </c>
      <c r="I226" s="7667" t="s">
        <v>801</v>
      </c>
    </row>
    <row customHeight="1" ht="11.25">
      <c r="A227" s="7667" t="s">
        <v>2206</v>
      </c>
      <c r="B227" s="7667" t="s">
        <v>14</v>
      </c>
      <c r="C227" s="7667" t="s">
        <v>2226</v>
      </c>
      <c r="D227" s="7667" t="s">
        <v>2227</v>
      </c>
      <c r="E227" s="7667" t="s">
        <v>2228</v>
      </c>
      <c r="F227" s="7667" t="s">
        <v>2217</v>
      </c>
      <c r="G227" s="7667" t="s">
        <v>18</v>
      </c>
      <c r="H227" s="7667" t="s">
        <v>2229</v>
      </c>
      <c r="I227" s="7667" t="s">
        <v>801</v>
      </c>
    </row>
    <row customHeight="1" ht="11.25">
      <c r="A228" s="7667" t="s">
        <v>2206</v>
      </c>
      <c r="B228" s="7667" t="s">
        <v>14</v>
      </c>
      <c r="C228" s="7667" t="s">
        <v>2237</v>
      </c>
      <c r="D228" s="7667" t="s">
        <v>2238</v>
      </c>
      <c r="E228" s="7667" t="s">
        <v>2239</v>
      </c>
      <c r="F228" s="7667" t="s">
        <v>2240</v>
      </c>
      <c r="G228" s="7667" t="s">
        <v>18</v>
      </c>
      <c r="H228" s="7667" t="s">
        <v>18</v>
      </c>
      <c r="I228" s="7667" t="s">
        <v>801</v>
      </c>
    </row>
    <row customHeight="1" ht="11.25">
      <c r="A229" s="7667" t="s">
        <v>2206</v>
      </c>
      <c r="B229" s="7667" t="s">
        <v>14</v>
      </c>
      <c r="C229" s="7667" t="s">
        <v>2241</v>
      </c>
      <c r="D229" s="7667" t="s">
        <v>2242</v>
      </c>
      <c r="E229" s="7667" t="s">
        <v>2243</v>
      </c>
      <c r="F229" s="7667" t="s">
        <v>2244</v>
      </c>
      <c r="G229" s="7667" t="s">
        <v>2245</v>
      </c>
      <c r="H229" s="7667" t="s">
        <v>18</v>
      </c>
      <c r="I229" s="7667" t="s">
        <v>801</v>
      </c>
    </row>
    <row customHeight="1" ht="11.25">
      <c r="A230" s="7667" t="s">
        <v>2206</v>
      </c>
      <c r="B230" s="7667" t="s">
        <v>14</v>
      </c>
      <c r="C230" s="7667" t="s">
        <v>2246</v>
      </c>
      <c r="D230" s="7667" t="s">
        <v>2242</v>
      </c>
      <c r="E230" s="7667" t="s">
        <v>2243</v>
      </c>
      <c r="F230" s="7667" t="s">
        <v>2247</v>
      </c>
      <c r="G230" s="7667" t="s">
        <v>18</v>
      </c>
      <c r="H230" s="7667" t="s">
        <v>18</v>
      </c>
      <c r="I230" s="7667" t="s">
        <v>801</v>
      </c>
    </row>
    <row customHeight="1" ht="11.25">
      <c r="A231" s="7667" t="s">
        <v>2206</v>
      </c>
      <c r="B231" s="7667" t="s">
        <v>14</v>
      </c>
      <c r="C231" s="7667" t="s">
        <v>2248</v>
      </c>
      <c r="D231" s="7667" t="s">
        <v>2249</v>
      </c>
      <c r="E231" s="7667" t="s">
        <v>2250</v>
      </c>
      <c r="F231" s="7667" t="s">
        <v>2251</v>
      </c>
      <c r="G231" s="7667" t="s">
        <v>18</v>
      </c>
      <c r="H231" s="7667" t="s">
        <v>18</v>
      </c>
      <c r="I231" s="7667" t="s">
        <v>801</v>
      </c>
    </row>
    <row customHeight="1" ht="11.25">
      <c r="A232" s="7667" t="s">
        <v>2206</v>
      </c>
      <c r="B232" s="7667" t="s">
        <v>14</v>
      </c>
      <c r="C232" s="7667" t="s">
        <v>2287</v>
      </c>
      <c r="D232" s="7667" t="s">
        <v>2288</v>
      </c>
      <c r="E232" s="7667" t="s">
        <v>2289</v>
      </c>
      <c r="F232" s="7667" t="s">
        <v>2217</v>
      </c>
      <c r="G232" s="7667" t="s">
        <v>18</v>
      </c>
      <c r="H232" s="7667" t="s">
        <v>18</v>
      </c>
      <c r="I232" s="7667" t="s">
        <v>801</v>
      </c>
    </row>
    <row customHeight="1" ht="11.25">
      <c r="A233" s="7667" t="s">
        <v>2206</v>
      </c>
      <c r="B233" s="7667" t="s">
        <v>14</v>
      </c>
      <c r="C233" s="7667" t="s">
        <v>2298</v>
      </c>
      <c r="D233" s="7667" t="s">
        <v>2299</v>
      </c>
      <c r="E233" s="7667" t="s">
        <v>2300</v>
      </c>
      <c r="F233" s="7667" t="s">
        <v>2210</v>
      </c>
      <c r="G233" s="7667" t="s">
        <v>18</v>
      </c>
      <c r="H233" s="7667" t="s">
        <v>18</v>
      </c>
      <c r="I233" s="7667" t="s">
        <v>801</v>
      </c>
    </row>
    <row customHeight="1" ht="11.25">
      <c r="A234" s="7667" t="s">
        <v>2206</v>
      </c>
      <c r="B234" s="7667" t="s">
        <v>14</v>
      </c>
      <c r="C234" s="7667" t="s">
        <v>2335</v>
      </c>
      <c r="D234" s="7667" t="s">
        <v>2336</v>
      </c>
      <c r="E234" s="7667" t="s">
        <v>2337</v>
      </c>
      <c r="F234" s="7667" t="s">
        <v>2338</v>
      </c>
      <c r="G234" s="7667" t="s">
        <v>18</v>
      </c>
      <c r="H234" s="7667" t="s">
        <v>18</v>
      </c>
      <c r="I234" s="7667" t="s">
        <v>801</v>
      </c>
    </row>
    <row customHeight="1" ht="11.25">
      <c r="A235" s="7667" t="s">
        <v>2206</v>
      </c>
      <c r="B235" s="7667" t="s">
        <v>14</v>
      </c>
      <c r="C235" s="7667" t="s">
        <v>2365</v>
      </c>
      <c r="D235" s="7667" t="s">
        <v>2366</v>
      </c>
      <c r="E235" s="7667" t="s">
        <v>2367</v>
      </c>
      <c r="F235" s="7667" t="s">
        <v>2210</v>
      </c>
      <c r="G235" s="7667" t="s">
        <v>18</v>
      </c>
      <c r="H235" s="7667" t="s">
        <v>18</v>
      </c>
      <c r="I235" s="7667" t="s">
        <v>801</v>
      </c>
    </row>
    <row customHeight="1" ht="11.25">
      <c r="A236" s="7667" t="s">
        <v>2206</v>
      </c>
      <c r="B236" s="7667" t="s">
        <v>14</v>
      </c>
      <c r="C236" s="7667" t="s">
        <v>2371</v>
      </c>
      <c r="D236" s="7667" t="s">
        <v>2372</v>
      </c>
      <c r="E236" s="7667" t="s">
        <v>2243</v>
      </c>
      <c r="F236" s="7667" t="s">
        <v>2373</v>
      </c>
      <c r="G236" s="7667" t="s">
        <v>2374</v>
      </c>
      <c r="H236" s="7667" t="s">
        <v>18</v>
      </c>
      <c r="I236" s="7667" t="s">
        <v>801</v>
      </c>
    </row>
    <row customHeight="1" ht="11.25">
      <c r="A237" s="7667" t="s">
        <v>2206</v>
      </c>
      <c r="B237" s="7667" t="s">
        <v>14</v>
      </c>
      <c r="C237" s="7667" t="s">
        <v>2379</v>
      </c>
      <c r="D237" s="7667" t="s">
        <v>2380</v>
      </c>
      <c r="E237" s="7667" t="s">
        <v>2381</v>
      </c>
      <c r="F237" s="7667" t="s">
        <v>2251</v>
      </c>
      <c r="G237" s="7667" t="s">
        <v>18</v>
      </c>
      <c r="H237" s="7667" t="s">
        <v>18</v>
      </c>
      <c r="I237" s="7667" t="s">
        <v>801</v>
      </c>
    </row>
    <row customHeight="1" ht="11.25">
      <c r="A238" s="7667" t="s">
        <v>2206</v>
      </c>
      <c r="B238" s="7667" t="s">
        <v>14</v>
      </c>
      <c r="C238" s="7667" t="s">
        <v>2386</v>
      </c>
      <c r="D238" s="7667" t="s">
        <v>2387</v>
      </c>
      <c r="E238" s="7667" t="s">
        <v>2388</v>
      </c>
      <c r="F238" s="7667" t="s">
        <v>2217</v>
      </c>
      <c r="G238" s="7667" t="s">
        <v>18</v>
      </c>
      <c r="H238" s="7667" t="s">
        <v>18</v>
      </c>
      <c r="I238" s="7667" t="s">
        <v>801</v>
      </c>
    </row>
    <row customHeight="1" ht="11.25">
      <c r="A239" s="7667" t="s">
        <v>2206</v>
      </c>
      <c r="B239" s="7667" t="s">
        <v>14</v>
      </c>
      <c r="C239" s="7667" t="s">
        <v>2412</v>
      </c>
      <c r="D239" s="7667" t="s">
        <v>2413</v>
      </c>
      <c r="E239" s="7667" t="s">
        <v>2414</v>
      </c>
      <c r="F239" s="7667" t="s">
        <v>2283</v>
      </c>
      <c r="G239" s="7667" t="s">
        <v>18</v>
      </c>
      <c r="H239" s="7667" t="s">
        <v>18</v>
      </c>
      <c r="I239" s="7667" t="s">
        <v>801</v>
      </c>
    </row>
    <row customHeight="1" ht="11.25">
      <c r="A240" s="7667" t="s">
        <v>2206</v>
      </c>
      <c r="B240" s="7667" t="s">
        <v>14</v>
      </c>
      <c r="C240" s="7667" t="s">
        <v>2464</v>
      </c>
      <c r="D240" s="7667" t="s">
        <v>2465</v>
      </c>
      <c r="E240" s="7667" t="s">
        <v>2466</v>
      </c>
      <c r="F240" s="7667" t="s">
        <v>2217</v>
      </c>
      <c r="G240" s="7667" t="s">
        <v>18</v>
      </c>
      <c r="H240" s="7667" t="s">
        <v>18</v>
      </c>
      <c r="I240" s="7667" t="s">
        <v>801</v>
      </c>
    </row>
    <row customHeight="1" ht="11.25">
      <c r="A241" s="7667" t="s">
        <v>2206</v>
      </c>
      <c r="B241" s="7667" t="s">
        <v>14</v>
      </c>
      <c r="C241" s="7667" t="s">
        <v>2535</v>
      </c>
      <c r="D241" s="7667" t="s">
        <v>2536</v>
      </c>
      <c r="E241" s="7667" t="s">
        <v>2537</v>
      </c>
      <c r="F241" s="7667" t="s">
        <v>2385</v>
      </c>
      <c r="G241" s="7667" t="s">
        <v>18</v>
      </c>
      <c r="H241" s="7667" t="s">
        <v>18</v>
      </c>
      <c r="I241" s="7667" t="s">
        <v>801</v>
      </c>
    </row>
    <row customHeight="1" ht="11.25">
      <c r="A242" s="7667" t="s">
        <v>2206</v>
      </c>
      <c r="B242" s="7667" t="s">
        <v>14</v>
      </c>
      <c r="C242" s="7667" t="s">
        <v>2553</v>
      </c>
      <c r="D242" s="7667" t="s">
        <v>2554</v>
      </c>
      <c r="E242" s="7667" t="s">
        <v>2549</v>
      </c>
      <c r="F242" s="7667" t="s">
        <v>2555</v>
      </c>
      <c r="G242" s="7667" t="s">
        <v>2552</v>
      </c>
      <c r="H242" s="7667" t="s">
        <v>18</v>
      </c>
      <c r="I242" s="7667" t="s">
        <v>801</v>
      </c>
    </row>
    <row customHeight="1" ht="11.25">
      <c r="A243" s="7667" t="s">
        <v>2206</v>
      </c>
      <c r="B243" s="7667" t="s">
        <v>14</v>
      </c>
      <c r="C243" s="7667" t="s">
        <v>2612</v>
      </c>
      <c r="D243" s="7667" t="s">
        <v>2613</v>
      </c>
      <c r="E243" s="7667" t="s">
        <v>2614</v>
      </c>
      <c r="F243" s="7667" t="s">
        <v>2236</v>
      </c>
      <c r="G243" s="7667" t="s">
        <v>18</v>
      </c>
      <c r="H243" s="7667" t="s">
        <v>18</v>
      </c>
      <c r="I243" s="7667" t="s">
        <v>801</v>
      </c>
    </row>
    <row customHeight="1" ht="11.25">
      <c r="A244" s="7667" t="s">
        <v>2206</v>
      </c>
      <c r="B244" s="7667" t="s">
        <v>14</v>
      </c>
      <c r="C244" s="7667" t="s">
        <v>2615</v>
      </c>
      <c r="D244" s="7667" t="s">
        <v>2616</v>
      </c>
      <c r="E244" s="7667" t="s">
        <v>2617</v>
      </c>
      <c r="F244" s="7667" t="s">
        <v>2318</v>
      </c>
      <c r="G244" s="7667" t="s">
        <v>18</v>
      </c>
      <c r="H244" s="7667" t="s">
        <v>18</v>
      </c>
      <c r="I244" s="7667" t="s">
        <v>801</v>
      </c>
    </row>
    <row customHeight="1" ht="11.25">
      <c r="A245" s="7667" t="s">
        <v>2206</v>
      </c>
      <c r="B245" s="7667" t="s">
        <v>14</v>
      </c>
      <c r="C245" s="7667" t="s">
        <v>2627</v>
      </c>
      <c r="D245" s="7667" t="s">
        <v>2628</v>
      </c>
      <c r="E245" s="7667" t="s">
        <v>2629</v>
      </c>
      <c r="F245" s="7667" t="s">
        <v>2630</v>
      </c>
      <c r="G245" s="7667" t="s">
        <v>2631</v>
      </c>
      <c r="H245" s="7667" t="s">
        <v>18</v>
      </c>
      <c r="I245" s="7667" t="s">
        <v>801</v>
      </c>
    </row>
    <row customHeight="1" ht="11.25">
      <c r="A246" s="7667" t="s">
        <v>2206</v>
      </c>
      <c r="B246" s="7667" t="s">
        <v>14</v>
      </c>
      <c r="C246" s="7667" t="s">
        <v>2632</v>
      </c>
      <c r="D246" s="7667" t="s">
        <v>2628</v>
      </c>
      <c r="E246" s="7667" t="s">
        <v>2629</v>
      </c>
      <c r="F246" s="7667" t="s">
        <v>2633</v>
      </c>
      <c r="G246" s="7667" t="s">
        <v>18</v>
      </c>
      <c r="H246" s="7667" t="s">
        <v>18</v>
      </c>
      <c r="I246" s="7667" t="s">
        <v>801</v>
      </c>
    </row>
    <row customHeight="1" ht="11.25">
      <c r="A247" s="7667" t="s">
        <v>2206</v>
      </c>
      <c r="B247" s="7667" t="s">
        <v>14</v>
      </c>
      <c r="C247" s="7667" t="s">
        <v>2634</v>
      </c>
      <c r="D247" s="7667" t="s">
        <v>2635</v>
      </c>
      <c r="E247" s="7667" t="s">
        <v>2636</v>
      </c>
      <c r="F247" s="7667" t="s">
        <v>2283</v>
      </c>
      <c r="G247" s="7667" t="s">
        <v>18</v>
      </c>
      <c r="H247" s="7667" t="s">
        <v>2637</v>
      </c>
      <c r="I247" s="7667" t="s">
        <v>801</v>
      </c>
    </row>
    <row customHeight="1" ht="11.25">
      <c r="A248" s="7667" t="s">
        <v>2206</v>
      </c>
      <c r="B248" s="7667" t="s">
        <v>14</v>
      </c>
      <c r="C248" s="7667" t="s">
        <v>2642</v>
      </c>
      <c r="D248" s="7667" t="s">
        <v>2643</v>
      </c>
      <c r="E248" s="7667" t="s">
        <v>2644</v>
      </c>
      <c r="F248" s="7667" t="s">
        <v>2645</v>
      </c>
      <c r="G248" s="7667" t="s">
        <v>2646</v>
      </c>
      <c r="H248" s="7667" t="s">
        <v>18</v>
      </c>
      <c r="I248" s="7667" t="s">
        <v>801</v>
      </c>
    </row>
    <row customHeight="1" ht="11.25">
      <c r="A249" s="7667" t="s">
        <v>2206</v>
      </c>
      <c r="B249" s="7667" t="s">
        <v>14</v>
      </c>
      <c r="C249" s="7667" t="s">
        <v>2661</v>
      </c>
      <c r="D249" s="7667" t="s">
        <v>2662</v>
      </c>
      <c r="E249" s="7667" t="s">
        <v>2663</v>
      </c>
      <c r="F249" s="7667" t="s">
        <v>2221</v>
      </c>
      <c r="G249" s="7667" t="s">
        <v>18</v>
      </c>
      <c r="H249" s="7667" t="s">
        <v>18</v>
      </c>
      <c r="I249" s="7667" t="s">
        <v>801</v>
      </c>
    </row>
    <row customHeight="1" ht="11.25">
      <c r="A250" s="7667" t="s">
        <v>2206</v>
      </c>
      <c r="B250" s="7667" t="s">
        <v>14</v>
      </c>
      <c r="C250" s="7667" t="s">
        <v>2664</v>
      </c>
      <c r="D250" s="7667" t="s">
        <v>2665</v>
      </c>
      <c r="E250" s="7667" t="s">
        <v>2666</v>
      </c>
      <c r="F250" s="7667" t="s">
        <v>2225</v>
      </c>
      <c r="G250" s="7667" t="s">
        <v>2667</v>
      </c>
      <c r="H250" s="7667" t="s">
        <v>18</v>
      </c>
      <c r="I250" s="7667" t="s">
        <v>801</v>
      </c>
    </row>
    <row customHeight="1" ht="11.25">
      <c r="A251" s="7667" t="s">
        <v>2206</v>
      </c>
      <c r="B251" s="7667" t="s">
        <v>14</v>
      </c>
      <c r="C251" s="7667" t="s">
        <v>2681</v>
      </c>
      <c r="D251" s="7667" t="s">
        <v>2682</v>
      </c>
      <c r="E251" s="7667" t="s">
        <v>2683</v>
      </c>
      <c r="F251" s="7667" t="s">
        <v>2297</v>
      </c>
      <c r="G251" s="7667" t="s">
        <v>18</v>
      </c>
      <c r="H251" s="7667" t="s">
        <v>18</v>
      </c>
      <c r="I251" s="7667" t="s">
        <v>801</v>
      </c>
    </row>
    <row customHeight="1" ht="11.25">
      <c r="A252" s="7667" t="s">
        <v>2206</v>
      </c>
      <c r="B252" s="7667" t="s">
        <v>14</v>
      </c>
      <c r="C252" s="7667" t="s">
        <v>2698</v>
      </c>
      <c r="D252" s="7667" t="s">
        <v>2699</v>
      </c>
      <c r="E252" s="7667" t="s">
        <v>2700</v>
      </c>
      <c r="F252" s="7667" t="s">
        <v>2251</v>
      </c>
      <c r="G252" s="7667" t="s">
        <v>18</v>
      </c>
      <c r="H252" s="7667" t="s">
        <v>18</v>
      </c>
      <c r="I252" s="7667" t="s">
        <v>801</v>
      </c>
    </row>
    <row customHeight="1" ht="11.25">
      <c r="A253" s="7667" t="s">
        <v>2206</v>
      </c>
      <c r="B253" s="7667" t="s">
        <v>14</v>
      </c>
      <c r="C253" s="7667" t="s">
        <v>2709</v>
      </c>
      <c r="D253" s="7667" t="s">
        <v>2710</v>
      </c>
      <c r="E253" s="7667" t="s">
        <v>2711</v>
      </c>
      <c r="F253" s="7667" t="s">
        <v>2217</v>
      </c>
      <c r="G253" s="7667" t="s">
        <v>18</v>
      </c>
      <c r="H253" s="7667" t="s">
        <v>2712</v>
      </c>
      <c r="I253" s="7667" t="s">
        <v>801</v>
      </c>
    </row>
    <row customHeight="1" ht="11.25">
      <c r="A254" s="7667" t="s">
        <v>2206</v>
      </c>
      <c r="B254" s="7667" t="s">
        <v>14</v>
      </c>
      <c r="C254" s="7667" t="s">
        <v>2713</v>
      </c>
      <c r="D254" s="7667" t="s">
        <v>2710</v>
      </c>
      <c r="E254" s="7667" t="s">
        <v>2711</v>
      </c>
      <c r="F254" s="7667" t="s">
        <v>2714</v>
      </c>
      <c r="G254" s="7667" t="s">
        <v>18</v>
      </c>
      <c r="H254" s="7667" t="s">
        <v>18</v>
      </c>
      <c r="I254" s="7667" t="s">
        <v>801</v>
      </c>
    </row>
    <row customHeight="1" ht="11.25">
      <c r="A255" s="7667" t="s">
        <v>2206</v>
      </c>
      <c r="B255" s="7667" t="s">
        <v>14</v>
      </c>
      <c r="C255" s="7667" t="s">
        <v>2754</v>
      </c>
      <c r="D255" s="7667" t="s">
        <v>2755</v>
      </c>
      <c r="E255" s="7667" t="s">
        <v>2756</v>
      </c>
      <c r="F255" s="7667" t="s">
        <v>46</v>
      </c>
      <c r="G255" s="7667" t="s">
        <v>18</v>
      </c>
      <c r="H255" s="7667" t="s">
        <v>2757</v>
      </c>
      <c r="I255" s="7667" t="s">
        <v>801</v>
      </c>
    </row>
    <row customHeight="1" ht="11.25">
      <c r="A256" s="7667" t="s">
        <v>2206</v>
      </c>
      <c r="B256" s="7667" t="s">
        <v>14</v>
      </c>
      <c r="C256" s="7667" t="s">
        <v>2758</v>
      </c>
      <c r="D256" s="7667" t="s">
        <v>2759</v>
      </c>
      <c r="E256" s="7667" t="s">
        <v>2760</v>
      </c>
      <c r="F256" s="7667" t="s">
        <v>2714</v>
      </c>
      <c r="G256" s="7667" t="s">
        <v>18</v>
      </c>
      <c r="H256" s="7667" t="s">
        <v>18</v>
      </c>
      <c r="I256" s="7667" t="s">
        <v>801</v>
      </c>
    </row>
    <row customHeight="1" ht="11.25">
      <c r="A257" s="7667" t="s">
        <v>2206</v>
      </c>
      <c r="B257" s="7667" t="s">
        <v>14</v>
      </c>
      <c r="C257" s="7667" t="s">
        <v>2768</v>
      </c>
      <c r="D257" s="7667" t="s">
        <v>2769</v>
      </c>
      <c r="E257" s="7667" t="s">
        <v>2770</v>
      </c>
      <c r="F257" s="7667" t="s">
        <v>2225</v>
      </c>
      <c r="G257" s="7667" t="s">
        <v>18</v>
      </c>
      <c r="H257" s="7667" t="s">
        <v>18</v>
      </c>
      <c r="I257" s="7667" t="s">
        <v>801</v>
      </c>
    </row>
    <row customHeight="1" ht="11.25">
      <c r="A258" s="7667" t="s">
        <v>2206</v>
      </c>
      <c r="B258" s="7667" t="s">
        <v>14</v>
      </c>
      <c r="C258" s="7667" t="s">
        <v>2791</v>
      </c>
      <c r="D258" s="7667" t="s">
        <v>2792</v>
      </c>
      <c r="E258" s="7667" t="s">
        <v>2793</v>
      </c>
      <c r="F258" s="7667" t="s">
        <v>2424</v>
      </c>
      <c r="G258" s="7667" t="s">
        <v>18</v>
      </c>
      <c r="H258" s="7667" t="s">
        <v>18</v>
      </c>
      <c r="I258" s="7667" t="s">
        <v>801</v>
      </c>
    </row>
    <row customHeight="1" ht="11.25">
      <c r="A259" s="7667" t="s">
        <v>2206</v>
      </c>
      <c r="B259" s="7667" t="s">
        <v>14</v>
      </c>
      <c r="C259" s="7667" t="s">
        <v>2804</v>
      </c>
      <c r="D259" s="7667" t="s">
        <v>2805</v>
      </c>
      <c r="E259" s="7667" t="s">
        <v>2806</v>
      </c>
      <c r="F259" s="7667" t="s">
        <v>2297</v>
      </c>
      <c r="G259" s="7667" t="s">
        <v>18</v>
      </c>
      <c r="H259" s="7667" t="s">
        <v>18</v>
      </c>
      <c r="I259" s="7667" t="s">
        <v>801</v>
      </c>
    </row>
    <row customHeight="1" ht="11.25">
      <c r="A260" s="7667" t="s">
        <v>2206</v>
      </c>
      <c r="B260" s="7667" t="s">
        <v>14</v>
      </c>
      <c r="C260" s="7667" t="s">
        <v>2810</v>
      </c>
      <c r="D260" s="7667" t="s">
        <v>2811</v>
      </c>
      <c r="E260" s="7667" t="s">
        <v>2812</v>
      </c>
      <c r="F260" s="7667" t="s">
        <v>46</v>
      </c>
      <c r="G260" s="7667" t="s">
        <v>18</v>
      </c>
      <c r="H260" s="7667" t="s">
        <v>2813</v>
      </c>
      <c r="I260" s="7667" t="s">
        <v>801</v>
      </c>
    </row>
    <row customHeight="1" ht="11.25">
      <c r="A261" s="7667" t="s">
        <v>2206</v>
      </c>
      <c r="B261" s="7667" t="s">
        <v>14</v>
      </c>
      <c r="C261" s="7667" t="s">
        <v>2846</v>
      </c>
      <c r="D261" s="7667" t="s">
        <v>2847</v>
      </c>
      <c r="E261" s="7667" t="s">
        <v>2848</v>
      </c>
      <c r="F261" s="7667" t="s">
        <v>2221</v>
      </c>
      <c r="G261" s="7667" t="s">
        <v>18</v>
      </c>
      <c r="H261" s="7667" t="s">
        <v>18</v>
      </c>
      <c r="I261" s="7667" t="s">
        <v>801</v>
      </c>
    </row>
    <row customHeight="1" ht="11.25">
      <c r="A262" s="7667" t="s">
        <v>2206</v>
      </c>
      <c r="B262" s="7667" t="s">
        <v>14</v>
      </c>
      <c r="C262" s="7667" t="s">
        <v>2856</v>
      </c>
      <c r="D262" s="7667" t="s">
        <v>2857</v>
      </c>
      <c r="E262" s="7667" t="s">
        <v>2858</v>
      </c>
      <c r="F262" s="7667" t="s">
        <v>46</v>
      </c>
      <c r="G262" s="7667" t="s">
        <v>18</v>
      </c>
      <c r="H262" s="7667" t="s">
        <v>18</v>
      </c>
      <c r="I262" s="7667" t="s">
        <v>801</v>
      </c>
    </row>
    <row customHeight="1" ht="11.25">
      <c r="A263" s="7667" t="s">
        <v>2206</v>
      </c>
      <c r="B263" s="7667" t="s">
        <v>14</v>
      </c>
      <c r="C263" s="7667" t="s">
        <v>2865</v>
      </c>
      <c r="D263" s="7667" t="s">
        <v>2866</v>
      </c>
      <c r="E263" s="7667" t="s">
        <v>2867</v>
      </c>
      <c r="F263" s="7667" t="s">
        <v>2714</v>
      </c>
      <c r="G263" s="7667" t="s">
        <v>18</v>
      </c>
      <c r="H263" s="7667" t="s">
        <v>18</v>
      </c>
      <c r="I263" s="7667" t="s">
        <v>801</v>
      </c>
    </row>
    <row customHeight="1" ht="11.25">
      <c r="A264" s="7667" t="s">
        <v>2206</v>
      </c>
      <c r="B264" s="7667" t="s">
        <v>14</v>
      </c>
      <c r="C264" s="7667" t="s">
        <v>2881</v>
      </c>
      <c r="D264" s="7667" t="s">
        <v>2882</v>
      </c>
      <c r="E264" s="7667" t="s">
        <v>2883</v>
      </c>
      <c r="F264" s="7667" t="s">
        <v>2364</v>
      </c>
      <c r="G264" s="7667" t="s">
        <v>18</v>
      </c>
      <c r="H264" s="7667" t="s">
        <v>18</v>
      </c>
      <c r="I264" s="7667" t="s">
        <v>801</v>
      </c>
    </row>
    <row customHeight="1" ht="11.25">
      <c r="A265" s="7667" t="s">
        <v>2206</v>
      </c>
      <c r="B265" s="7667" t="s">
        <v>14</v>
      </c>
      <c r="C265" s="7667" t="s">
        <v>2887</v>
      </c>
      <c r="D265" s="7667" t="s">
        <v>41</v>
      </c>
      <c r="E265" s="7667" t="s">
        <v>44</v>
      </c>
      <c r="F265" s="7667" t="s">
        <v>46</v>
      </c>
      <c r="G265" s="7667" t="s">
        <v>18</v>
      </c>
      <c r="H265" s="7667" t="s">
        <v>18</v>
      </c>
      <c r="I265" s="7667" t="s">
        <v>801</v>
      </c>
    </row>
    <row customHeight="1" ht="11.25">
      <c r="A266" s="7667" t="s">
        <v>2206</v>
      </c>
      <c r="B266" s="7667" t="s">
        <v>14</v>
      </c>
      <c r="C266" s="7667" t="s">
        <v>2891</v>
      </c>
      <c r="D266" s="7667" t="s">
        <v>2892</v>
      </c>
      <c r="E266" s="7667" t="s">
        <v>2893</v>
      </c>
      <c r="F266" s="7667" t="s">
        <v>2210</v>
      </c>
      <c r="G266" s="7667" t="s">
        <v>18</v>
      </c>
      <c r="H266" s="7667" t="s">
        <v>18</v>
      </c>
      <c r="I266" s="7667" t="s">
        <v>801</v>
      </c>
    </row>
    <row customHeight="1" ht="11.25">
      <c r="A267" s="7667" t="s">
        <v>2206</v>
      </c>
      <c r="B267" s="7667" t="s">
        <v>14</v>
      </c>
      <c r="C267" s="7667" t="s">
        <v>2894</v>
      </c>
      <c r="D267" s="7667" t="s">
        <v>2895</v>
      </c>
      <c r="E267" s="7667" t="s">
        <v>2896</v>
      </c>
      <c r="F267" s="7667" t="s">
        <v>2428</v>
      </c>
      <c r="G267" s="7667" t="s">
        <v>18</v>
      </c>
      <c r="H267" s="7667" t="s">
        <v>18</v>
      </c>
      <c r="I267" s="7667" t="s">
        <v>801</v>
      </c>
    </row>
    <row customHeight="1" ht="11.25">
      <c r="A268" s="7667" t="s">
        <v>2206</v>
      </c>
      <c r="B268" s="7667" t="s">
        <v>14</v>
      </c>
      <c r="C268" s="7667" t="s">
        <v>2916</v>
      </c>
      <c r="D268" s="7667" t="s">
        <v>2917</v>
      </c>
      <c r="E268" s="7667" t="s">
        <v>2918</v>
      </c>
      <c r="F268" s="7667" t="s">
        <v>2279</v>
      </c>
      <c r="G268" s="7667" t="s">
        <v>18</v>
      </c>
      <c r="H268" s="7667" t="s">
        <v>18</v>
      </c>
      <c r="I268" s="7667" t="s">
        <v>801</v>
      </c>
    </row>
    <row customHeight="1" ht="11.25">
      <c r="A269" s="7667" t="s">
        <v>2206</v>
      </c>
      <c r="B269" s="7667" t="s">
        <v>14</v>
      </c>
      <c r="C269" s="7667" t="s">
        <v>2925</v>
      </c>
      <c r="D269" s="7667" t="s">
        <v>2926</v>
      </c>
      <c r="E269" s="7667" t="s">
        <v>2927</v>
      </c>
      <c r="F269" s="7667" t="s">
        <v>2584</v>
      </c>
      <c r="G269" s="7667" t="s">
        <v>18</v>
      </c>
      <c r="H269" s="7667" t="s">
        <v>18</v>
      </c>
      <c r="I269" s="7667" t="s">
        <v>801</v>
      </c>
    </row>
    <row customHeight="1" ht="11.25">
      <c r="A270" s="7667" t="s">
        <v>2206</v>
      </c>
      <c r="B270" s="7667" t="s">
        <v>14</v>
      </c>
      <c r="C270" s="7667" t="s">
        <v>2931</v>
      </c>
      <c r="D270" s="7667" t="s">
        <v>2932</v>
      </c>
      <c r="E270" s="7667" t="s">
        <v>2933</v>
      </c>
      <c r="F270" s="7667" t="s">
        <v>2934</v>
      </c>
      <c r="G270" s="7667" t="s">
        <v>18</v>
      </c>
      <c r="H270" s="7667" t="s">
        <v>18</v>
      </c>
      <c r="I270" s="7667" t="s">
        <v>801</v>
      </c>
    </row>
    <row customHeight="1" ht="11.25">
      <c r="A271" s="7667" t="s">
        <v>2206</v>
      </c>
      <c r="B271" s="7667" t="s">
        <v>14</v>
      </c>
      <c r="C271" s="7667" t="s">
        <v>2958</v>
      </c>
      <c r="D271" s="7667" t="s">
        <v>2959</v>
      </c>
      <c r="E271" s="7667" t="s">
        <v>2933</v>
      </c>
      <c r="F271" s="7667" t="s">
        <v>2463</v>
      </c>
      <c r="G271" s="7667" t="s">
        <v>18</v>
      </c>
      <c r="H271" s="7667" t="s">
        <v>18</v>
      </c>
      <c r="I271" s="7667" t="s">
        <v>801</v>
      </c>
    </row>
    <row customHeight="1" ht="11.25">
      <c r="A272" s="7667" t="s">
        <v>2206</v>
      </c>
      <c r="B272" s="7667" t="s">
        <v>14</v>
      </c>
      <c r="C272" s="7667" t="s">
        <v>2207</v>
      </c>
      <c r="D272" s="7667" t="s">
        <v>2208</v>
      </c>
      <c r="E272" s="7667" t="s">
        <v>2209</v>
      </c>
      <c r="F272" s="7667" t="s">
        <v>2210</v>
      </c>
      <c r="G272" s="7667" t="s">
        <v>18</v>
      </c>
      <c r="H272" s="7667" t="s">
        <v>18</v>
      </c>
      <c r="I272" s="7667" t="s">
        <v>760</v>
      </c>
    </row>
    <row customHeight="1" ht="11.25">
      <c r="A273" s="7667" t="s">
        <v>2206</v>
      </c>
      <c r="B273" s="7667" t="s">
        <v>14</v>
      </c>
      <c r="C273" s="7667" t="s">
        <v>2214</v>
      </c>
      <c r="D273" s="7667" t="s">
        <v>2215</v>
      </c>
      <c r="E273" s="7667" t="s">
        <v>2216</v>
      </c>
      <c r="F273" s="7667" t="s">
        <v>2217</v>
      </c>
      <c r="G273" s="7667" t="s">
        <v>18</v>
      </c>
      <c r="H273" s="7667" t="s">
        <v>18</v>
      </c>
      <c r="I273" s="7667" t="s">
        <v>760</v>
      </c>
    </row>
    <row customHeight="1" ht="11.25">
      <c r="A274" s="7667" t="s">
        <v>2206</v>
      </c>
      <c r="B274" s="7667" t="s">
        <v>14</v>
      </c>
      <c r="C274" s="7667" t="s">
        <v>2233</v>
      </c>
      <c r="D274" s="7667" t="s">
        <v>2234</v>
      </c>
      <c r="E274" s="7667" t="s">
        <v>2235</v>
      </c>
      <c r="F274" s="7667" t="s">
        <v>2236</v>
      </c>
      <c r="G274" s="7667" t="s">
        <v>18</v>
      </c>
      <c r="H274" s="7667" t="s">
        <v>18</v>
      </c>
      <c r="I274" s="7667" t="s">
        <v>760</v>
      </c>
    </row>
    <row customHeight="1" ht="11.25">
      <c r="A275" s="7667" t="s">
        <v>2206</v>
      </c>
      <c r="B275" s="7667" t="s">
        <v>14</v>
      </c>
      <c r="C275" s="7667" t="s">
        <v>2963</v>
      </c>
      <c r="D275" s="7667" t="s">
        <v>2964</v>
      </c>
      <c r="E275" s="7667" t="s">
        <v>2965</v>
      </c>
      <c r="F275" s="7667" t="s">
        <v>2240</v>
      </c>
      <c r="G275" s="7667" t="s">
        <v>18</v>
      </c>
      <c r="H275" s="7667" t="s">
        <v>18</v>
      </c>
      <c r="I275" s="7667" t="s">
        <v>760</v>
      </c>
    </row>
    <row customHeight="1" ht="11.25">
      <c r="A276" s="7667" t="s">
        <v>2206</v>
      </c>
      <c r="B276" s="7667" t="s">
        <v>14</v>
      </c>
      <c r="C276" s="7667" t="s">
        <v>2241</v>
      </c>
      <c r="D276" s="7667" t="s">
        <v>2242</v>
      </c>
      <c r="E276" s="7667" t="s">
        <v>2243</v>
      </c>
      <c r="F276" s="7667" t="s">
        <v>2244</v>
      </c>
      <c r="G276" s="7667" t="s">
        <v>2245</v>
      </c>
      <c r="H276" s="7667" t="s">
        <v>18</v>
      </c>
      <c r="I276" s="7667" t="s">
        <v>760</v>
      </c>
    </row>
    <row customHeight="1" ht="11.25">
      <c r="A277" s="7667" t="s">
        <v>2206</v>
      </c>
      <c r="B277" s="7667" t="s">
        <v>14</v>
      </c>
      <c r="C277" s="7667" t="s">
        <v>2246</v>
      </c>
      <c r="D277" s="7667" t="s">
        <v>2242</v>
      </c>
      <c r="E277" s="7667" t="s">
        <v>2243</v>
      </c>
      <c r="F277" s="7667" t="s">
        <v>2247</v>
      </c>
      <c r="G277" s="7667" t="s">
        <v>18</v>
      </c>
      <c r="H277" s="7667" t="s">
        <v>18</v>
      </c>
      <c r="I277" s="7667" t="s">
        <v>760</v>
      </c>
    </row>
    <row customHeight="1" ht="11.25">
      <c r="A278" s="7667" t="s">
        <v>2206</v>
      </c>
      <c r="B278" s="7667" t="s">
        <v>14</v>
      </c>
      <c r="C278" s="7667" t="s">
        <v>2268</v>
      </c>
      <c r="D278" s="7667" t="s">
        <v>2269</v>
      </c>
      <c r="E278" s="7667" t="s">
        <v>2270</v>
      </c>
      <c r="F278" s="7667" t="s">
        <v>2210</v>
      </c>
      <c r="G278" s="7667" t="s">
        <v>18</v>
      </c>
      <c r="H278" s="7667" t="s">
        <v>18</v>
      </c>
      <c r="I278" s="7667" t="s">
        <v>760</v>
      </c>
    </row>
    <row customHeight="1" ht="11.25">
      <c r="A279" s="7667" t="s">
        <v>2206</v>
      </c>
      <c r="B279" s="7667" t="s">
        <v>14</v>
      </c>
      <c r="C279" s="7667" t="s">
        <v>2287</v>
      </c>
      <c r="D279" s="7667" t="s">
        <v>2288</v>
      </c>
      <c r="E279" s="7667" t="s">
        <v>2289</v>
      </c>
      <c r="F279" s="7667" t="s">
        <v>2217</v>
      </c>
      <c r="G279" s="7667" t="s">
        <v>18</v>
      </c>
      <c r="H279" s="7667" t="s">
        <v>18</v>
      </c>
      <c r="I279" s="7667" t="s">
        <v>760</v>
      </c>
    </row>
    <row customHeight="1" ht="11.25">
      <c r="A280" s="7667" t="s">
        <v>2206</v>
      </c>
      <c r="B280" s="7667" t="s">
        <v>14</v>
      </c>
      <c r="C280" s="7667" t="s">
        <v>2298</v>
      </c>
      <c r="D280" s="7667" t="s">
        <v>2299</v>
      </c>
      <c r="E280" s="7667" t="s">
        <v>2300</v>
      </c>
      <c r="F280" s="7667" t="s">
        <v>2210</v>
      </c>
      <c r="G280" s="7667" t="s">
        <v>18</v>
      </c>
      <c r="H280" s="7667" t="s">
        <v>18</v>
      </c>
      <c r="I280" s="7667" t="s">
        <v>760</v>
      </c>
    </row>
    <row customHeight="1" ht="11.25">
      <c r="A281" s="7667" t="s">
        <v>2206</v>
      </c>
      <c r="B281" s="7667" t="s">
        <v>14</v>
      </c>
      <c r="C281" s="7667" t="s">
        <v>2319</v>
      </c>
      <c r="D281" s="7667" t="s">
        <v>2320</v>
      </c>
      <c r="E281" s="7667" t="s">
        <v>2321</v>
      </c>
      <c r="F281" s="7667" t="s">
        <v>2322</v>
      </c>
      <c r="G281" s="7667" t="s">
        <v>18</v>
      </c>
      <c r="H281" s="7667" t="s">
        <v>18</v>
      </c>
      <c r="I281" s="7667" t="s">
        <v>760</v>
      </c>
    </row>
    <row customHeight="1" ht="11.25">
      <c r="A282" s="7667" t="s">
        <v>2206</v>
      </c>
      <c r="B282" s="7667" t="s">
        <v>14</v>
      </c>
      <c r="C282" s="7667" t="s">
        <v>2323</v>
      </c>
      <c r="D282" s="7667" t="s">
        <v>2324</v>
      </c>
      <c r="E282" s="7667" t="s">
        <v>2325</v>
      </c>
      <c r="F282" s="7667" t="s">
        <v>2326</v>
      </c>
      <c r="G282" s="7667" t="s">
        <v>18</v>
      </c>
      <c r="H282" s="7667" t="s">
        <v>2327</v>
      </c>
      <c r="I282" s="7667" t="s">
        <v>760</v>
      </c>
    </row>
    <row customHeight="1" ht="11.25">
      <c r="A283" s="7667" t="s">
        <v>2206</v>
      </c>
      <c r="B283" s="7667" t="s">
        <v>14</v>
      </c>
      <c r="C283" s="7667" t="s">
        <v>2348</v>
      </c>
      <c r="D283" s="7667" t="s">
        <v>2349</v>
      </c>
      <c r="E283" s="7667" t="s">
        <v>2350</v>
      </c>
      <c r="F283" s="7667" t="s">
        <v>2210</v>
      </c>
      <c r="G283" s="7667" t="s">
        <v>2351</v>
      </c>
      <c r="H283" s="7667" t="s">
        <v>18</v>
      </c>
      <c r="I283" s="7667" t="s">
        <v>760</v>
      </c>
    </row>
    <row customHeight="1" ht="11.25">
      <c r="A284" s="7667" t="s">
        <v>2206</v>
      </c>
      <c r="B284" s="7667" t="s">
        <v>14</v>
      </c>
      <c r="C284" s="7667" t="s">
        <v>2966</v>
      </c>
      <c r="D284" s="7667" t="s">
        <v>2967</v>
      </c>
      <c r="E284" s="7667" t="s">
        <v>2968</v>
      </c>
      <c r="F284" s="7667" t="s">
        <v>2969</v>
      </c>
      <c r="G284" s="7667" t="s">
        <v>18</v>
      </c>
      <c r="H284" s="7667" t="s">
        <v>2970</v>
      </c>
      <c r="I284" s="7667" t="s">
        <v>760</v>
      </c>
    </row>
    <row customHeight="1" ht="11.25">
      <c r="A285" s="7667" t="s">
        <v>2206</v>
      </c>
      <c r="B285" s="7667" t="s">
        <v>14</v>
      </c>
      <c r="C285" s="7667" t="s">
        <v>2371</v>
      </c>
      <c r="D285" s="7667" t="s">
        <v>2372</v>
      </c>
      <c r="E285" s="7667" t="s">
        <v>2243</v>
      </c>
      <c r="F285" s="7667" t="s">
        <v>2373</v>
      </c>
      <c r="G285" s="7667" t="s">
        <v>2374</v>
      </c>
      <c r="H285" s="7667" t="s">
        <v>18</v>
      </c>
      <c r="I285" s="7667" t="s">
        <v>760</v>
      </c>
    </row>
    <row customHeight="1" ht="11.25">
      <c r="A286" s="7667" t="s">
        <v>2206</v>
      </c>
      <c r="B286" s="7667" t="s">
        <v>14</v>
      </c>
      <c r="C286" s="7667" t="s">
        <v>2382</v>
      </c>
      <c r="D286" s="7667" t="s">
        <v>2383</v>
      </c>
      <c r="E286" s="7667" t="s">
        <v>2384</v>
      </c>
      <c r="F286" s="7667" t="s">
        <v>2385</v>
      </c>
      <c r="G286" s="7667" t="s">
        <v>18</v>
      </c>
      <c r="H286" s="7667" t="s">
        <v>18</v>
      </c>
      <c r="I286" s="7667" t="s">
        <v>760</v>
      </c>
    </row>
    <row customHeight="1" ht="11.25">
      <c r="A287" s="7667" t="s">
        <v>2206</v>
      </c>
      <c r="B287" s="7667" t="s">
        <v>14</v>
      </c>
      <c r="C287" s="7667" t="s">
        <v>2971</v>
      </c>
      <c r="D287" s="7667" t="s">
        <v>2972</v>
      </c>
      <c r="E287" s="7667" t="s">
        <v>2973</v>
      </c>
      <c r="F287" s="7667" t="s">
        <v>2210</v>
      </c>
      <c r="G287" s="7667" t="s">
        <v>18</v>
      </c>
      <c r="H287" s="7667" t="s">
        <v>18</v>
      </c>
      <c r="I287" s="7667" t="s">
        <v>760</v>
      </c>
    </row>
    <row customHeight="1" ht="11.25">
      <c r="A288" s="7667" t="s">
        <v>2206</v>
      </c>
      <c r="B288" s="7667" t="s">
        <v>14</v>
      </c>
      <c r="C288" s="7667" t="s">
        <v>2974</v>
      </c>
      <c r="D288" s="7667" t="s">
        <v>2975</v>
      </c>
      <c r="E288" s="7667" t="s">
        <v>2976</v>
      </c>
      <c r="F288" s="7667" t="s">
        <v>2432</v>
      </c>
      <c r="G288" s="7667" t="s">
        <v>18</v>
      </c>
      <c r="H288" s="7667" t="s">
        <v>2912</v>
      </c>
      <c r="I288" s="7667" t="s">
        <v>760</v>
      </c>
    </row>
    <row customHeight="1" ht="11.25">
      <c r="A289" s="7667" t="s">
        <v>2206</v>
      </c>
      <c r="B289" s="7667" t="s">
        <v>14</v>
      </c>
      <c r="C289" s="7667" t="s">
        <v>2412</v>
      </c>
      <c r="D289" s="7667" t="s">
        <v>2413</v>
      </c>
      <c r="E289" s="7667" t="s">
        <v>2414</v>
      </c>
      <c r="F289" s="7667" t="s">
        <v>2283</v>
      </c>
      <c r="G289" s="7667" t="s">
        <v>18</v>
      </c>
      <c r="H289" s="7667" t="s">
        <v>18</v>
      </c>
      <c r="I289" s="7667" t="s">
        <v>760</v>
      </c>
    </row>
    <row customHeight="1" ht="11.25">
      <c r="A290" s="7667" t="s">
        <v>2206</v>
      </c>
      <c r="B290" s="7667" t="s">
        <v>14</v>
      </c>
      <c r="C290" s="7667" t="s">
        <v>2467</v>
      </c>
      <c r="D290" s="7667" t="s">
        <v>2468</v>
      </c>
      <c r="E290" s="7667" t="s">
        <v>2469</v>
      </c>
      <c r="F290" s="7667" t="s">
        <v>2236</v>
      </c>
      <c r="G290" s="7667" t="s">
        <v>18</v>
      </c>
      <c r="H290" s="7667" t="s">
        <v>18</v>
      </c>
      <c r="I290" s="7667" t="s">
        <v>760</v>
      </c>
    </row>
    <row customHeight="1" ht="11.25">
      <c r="A291" s="7667" t="s">
        <v>2206</v>
      </c>
      <c r="B291" s="7667" t="s">
        <v>14</v>
      </c>
      <c r="C291" s="7667" t="s">
        <v>2977</v>
      </c>
      <c r="D291" s="7667" t="s">
        <v>2978</v>
      </c>
      <c r="E291" s="7667" t="s">
        <v>2979</v>
      </c>
      <c r="F291" s="7667" t="s">
        <v>2980</v>
      </c>
      <c r="G291" s="7667" t="s">
        <v>18</v>
      </c>
      <c r="H291" s="7667" t="s">
        <v>2981</v>
      </c>
      <c r="I291" s="7667" t="s">
        <v>760</v>
      </c>
    </row>
    <row customHeight="1" ht="11.25">
      <c r="A292" s="7667" t="s">
        <v>2206</v>
      </c>
      <c r="B292" s="7667" t="s">
        <v>14</v>
      </c>
      <c r="C292" s="7667" t="s">
        <v>2547</v>
      </c>
      <c r="D292" s="7667" t="s">
        <v>2548</v>
      </c>
      <c r="E292" s="7667" t="s">
        <v>2549</v>
      </c>
      <c r="F292" s="7667" t="s">
        <v>2550</v>
      </c>
      <c r="G292" s="7667" t="s">
        <v>2551</v>
      </c>
      <c r="H292" s="7667" t="s">
        <v>2552</v>
      </c>
      <c r="I292" s="7667" t="s">
        <v>760</v>
      </c>
    </row>
    <row customHeight="1" ht="11.25">
      <c r="A293" s="7667" t="s">
        <v>2206</v>
      </c>
      <c r="B293" s="7667" t="s">
        <v>14</v>
      </c>
      <c r="C293" s="7667" t="s">
        <v>2553</v>
      </c>
      <c r="D293" s="7667" t="s">
        <v>2554</v>
      </c>
      <c r="E293" s="7667" t="s">
        <v>2549</v>
      </c>
      <c r="F293" s="7667" t="s">
        <v>2555</v>
      </c>
      <c r="G293" s="7667" t="s">
        <v>2552</v>
      </c>
      <c r="H293" s="7667" t="s">
        <v>18</v>
      </c>
      <c r="I293" s="7667" t="s">
        <v>760</v>
      </c>
    </row>
    <row customHeight="1" ht="11.25">
      <c r="A294" s="7667" t="s">
        <v>2206</v>
      </c>
      <c r="B294" s="7667" t="s">
        <v>14</v>
      </c>
      <c r="C294" s="7667" t="s">
        <v>2982</v>
      </c>
      <c r="D294" s="7667" t="s">
        <v>2983</v>
      </c>
      <c r="E294" s="7667" t="s">
        <v>2549</v>
      </c>
      <c r="F294" s="7667" t="s">
        <v>2984</v>
      </c>
      <c r="G294" s="7667" t="s">
        <v>2985</v>
      </c>
      <c r="H294" s="7667" t="s">
        <v>18</v>
      </c>
      <c r="I294" s="7667" t="s">
        <v>760</v>
      </c>
    </row>
    <row customHeight="1" ht="11.25">
      <c r="A295" s="7667" t="s">
        <v>2206</v>
      </c>
      <c r="B295" s="7667" t="s">
        <v>14</v>
      </c>
      <c r="C295" s="7667" t="s">
        <v>2986</v>
      </c>
      <c r="D295" s="7667" t="s">
        <v>2987</v>
      </c>
      <c r="E295" s="7667" t="s">
        <v>2988</v>
      </c>
      <c r="F295" s="7667" t="s">
        <v>2428</v>
      </c>
      <c r="G295" s="7667" t="s">
        <v>18</v>
      </c>
      <c r="H295" s="7667" t="s">
        <v>18</v>
      </c>
      <c r="I295" s="7667" t="s">
        <v>760</v>
      </c>
    </row>
    <row customHeight="1" ht="11.25">
      <c r="A296" s="7667" t="s">
        <v>2206</v>
      </c>
      <c r="B296" s="7667" t="s">
        <v>14</v>
      </c>
      <c r="C296" s="7667" t="s">
        <v>2604</v>
      </c>
      <c r="D296" s="7667" t="s">
        <v>2605</v>
      </c>
      <c r="E296" s="7667" t="s">
        <v>2606</v>
      </c>
      <c r="F296" s="7667" t="s">
        <v>2607</v>
      </c>
      <c r="G296" s="7667" t="s">
        <v>18</v>
      </c>
      <c r="H296" s="7667" t="s">
        <v>18</v>
      </c>
      <c r="I296" s="7667" t="s">
        <v>760</v>
      </c>
    </row>
    <row customHeight="1" ht="11.25">
      <c r="A297" s="7667" t="s">
        <v>2206</v>
      </c>
      <c r="B297" s="7667" t="s">
        <v>14</v>
      </c>
      <c r="C297" s="7667" t="s">
        <v>2989</v>
      </c>
      <c r="D297" s="7667" t="s">
        <v>2990</v>
      </c>
      <c r="E297" s="7667" t="s">
        <v>2991</v>
      </c>
      <c r="F297" s="7667" t="s">
        <v>2432</v>
      </c>
      <c r="G297" s="7667" t="s">
        <v>18</v>
      </c>
      <c r="H297" s="7667" t="s">
        <v>18</v>
      </c>
      <c r="I297" s="7667" t="s">
        <v>760</v>
      </c>
    </row>
    <row customHeight="1" ht="11.25">
      <c r="A298" s="7667" t="s">
        <v>2206</v>
      </c>
      <c r="B298" s="7667" t="s">
        <v>14</v>
      </c>
      <c r="C298" s="7667" t="s">
        <v>2992</v>
      </c>
      <c r="D298" s="7667" t="s">
        <v>2993</v>
      </c>
      <c r="E298" s="7667" t="s">
        <v>2994</v>
      </c>
      <c r="F298" s="7667" t="s">
        <v>2240</v>
      </c>
      <c r="G298" s="7667" t="s">
        <v>18</v>
      </c>
      <c r="H298" s="7667" t="s">
        <v>18</v>
      </c>
      <c r="I298" s="7667" t="s">
        <v>760</v>
      </c>
    </row>
    <row customHeight="1" ht="11.25">
      <c r="A299" s="7667" t="s">
        <v>2206</v>
      </c>
      <c r="B299" s="7667" t="s">
        <v>14</v>
      </c>
      <c r="C299" s="7667" t="s">
        <v>2995</v>
      </c>
      <c r="D299" s="7667" t="s">
        <v>2996</v>
      </c>
      <c r="E299" s="7667" t="s">
        <v>2997</v>
      </c>
      <c r="F299" s="7667" t="s">
        <v>2240</v>
      </c>
      <c r="G299" s="7667" t="s">
        <v>18</v>
      </c>
      <c r="H299" s="7667" t="s">
        <v>18</v>
      </c>
      <c r="I299" s="7667" t="s">
        <v>760</v>
      </c>
    </row>
    <row customHeight="1" ht="11.25">
      <c r="A300" s="7667" t="s">
        <v>2206</v>
      </c>
      <c r="B300" s="7667" t="s">
        <v>14</v>
      </c>
      <c r="C300" s="7667" t="s">
        <v>2754</v>
      </c>
      <c r="D300" s="7667" t="s">
        <v>2755</v>
      </c>
      <c r="E300" s="7667" t="s">
        <v>2756</v>
      </c>
      <c r="F300" s="7667" t="s">
        <v>46</v>
      </c>
      <c r="G300" s="7667" t="s">
        <v>18</v>
      </c>
      <c r="H300" s="7667" t="s">
        <v>2757</v>
      </c>
      <c r="I300" s="7667" t="s">
        <v>760</v>
      </c>
    </row>
    <row customHeight="1" ht="11.25">
      <c r="A301" s="7667" t="s">
        <v>2206</v>
      </c>
      <c r="B301" s="7667" t="s">
        <v>14</v>
      </c>
      <c r="C301" s="7667" t="s">
        <v>2998</v>
      </c>
      <c r="D301" s="7667" t="s">
        <v>2999</v>
      </c>
      <c r="E301" s="7667" t="s">
        <v>3000</v>
      </c>
      <c r="F301" s="7667" t="s">
        <v>2318</v>
      </c>
      <c r="G301" s="7667" t="s">
        <v>18</v>
      </c>
      <c r="H301" s="7667" t="s">
        <v>18</v>
      </c>
      <c r="I301" s="7667" t="s">
        <v>760</v>
      </c>
    </row>
    <row customHeight="1" ht="11.25">
      <c r="A302" s="7667" t="s">
        <v>2206</v>
      </c>
      <c r="B302" s="7667" t="s">
        <v>14</v>
      </c>
      <c r="C302" s="7667" t="s">
        <v>3001</v>
      </c>
      <c r="D302" s="7667" t="s">
        <v>3002</v>
      </c>
      <c r="E302" s="7667" t="s">
        <v>3003</v>
      </c>
      <c r="F302" s="7667" t="s">
        <v>2428</v>
      </c>
      <c r="G302" s="7667" t="s">
        <v>18</v>
      </c>
      <c r="H302" s="7667" t="s">
        <v>3004</v>
      </c>
      <c r="I302" s="7667" t="s">
        <v>760</v>
      </c>
    </row>
    <row customHeight="1" ht="11.25">
      <c r="A303" s="7667" t="s">
        <v>2206</v>
      </c>
      <c r="B303" s="7667" t="s">
        <v>14</v>
      </c>
      <c r="C303" s="7667" t="s">
        <v>2840</v>
      </c>
      <c r="D303" s="7667" t="s">
        <v>2841</v>
      </c>
      <c r="E303" s="7667" t="s">
        <v>2842</v>
      </c>
      <c r="F303" s="7667" t="s">
        <v>2318</v>
      </c>
      <c r="G303" s="7667" t="s">
        <v>18</v>
      </c>
      <c r="H303" s="7667" t="s">
        <v>18</v>
      </c>
      <c r="I303" s="7667" t="s">
        <v>760</v>
      </c>
    </row>
    <row customHeight="1" ht="11.25">
      <c r="A304" s="7667" t="s">
        <v>2206</v>
      </c>
      <c r="B304" s="7667" t="s">
        <v>14</v>
      </c>
      <c r="C304" s="7667" t="s">
        <v>2881</v>
      </c>
      <c r="D304" s="7667" t="s">
        <v>2882</v>
      </c>
      <c r="E304" s="7667" t="s">
        <v>2883</v>
      </c>
      <c r="F304" s="7667" t="s">
        <v>2364</v>
      </c>
      <c r="G304" s="7667" t="s">
        <v>18</v>
      </c>
      <c r="H304" s="7667" t="s">
        <v>18</v>
      </c>
      <c r="I304" s="7667" t="s">
        <v>760</v>
      </c>
    </row>
    <row customHeight="1" ht="11.25">
      <c r="A305" s="7667" t="s">
        <v>2206</v>
      </c>
      <c r="B305" s="7667" t="s">
        <v>14</v>
      </c>
      <c r="C305" s="7667" t="s">
        <v>2887</v>
      </c>
      <c r="D305" s="7667" t="s">
        <v>41</v>
      </c>
      <c r="E305" s="7667" t="s">
        <v>44</v>
      </c>
      <c r="F305" s="7667" t="s">
        <v>46</v>
      </c>
      <c r="G305" s="7667" t="s">
        <v>18</v>
      </c>
      <c r="H305" s="7667" t="s">
        <v>18</v>
      </c>
      <c r="I305" s="7667" t="s">
        <v>760</v>
      </c>
    </row>
    <row customHeight="1" ht="11.25">
      <c r="A306" s="7667" t="s">
        <v>2206</v>
      </c>
      <c r="B306" s="7667" t="s">
        <v>14</v>
      </c>
      <c r="C306" s="7667" t="s">
        <v>2891</v>
      </c>
      <c r="D306" s="7667" t="s">
        <v>2892</v>
      </c>
      <c r="E306" s="7667" t="s">
        <v>2893</v>
      </c>
      <c r="F306" s="7667" t="s">
        <v>2210</v>
      </c>
      <c r="G306" s="7667" t="s">
        <v>18</v>
      </c>
      <c r="H306" s="7667" t="s">
        <v>18</v>
      </c>
      <c r="I306" s="7667" t="s">
        <v>760</v>
      </c>
    </row>
    <row customHeight="1" ht="11.25">
      <c r="A307" s="7667" t="s">
        <v>2206</v>
      </c>
      <c r="B307" s="7667" t="s">
        <v>14</v>
      </c>
      <c r="C307" s="7667" t="s">
        <v>3005</v>
      </c>
      <c r="D307" s="7667" t="s">
        <v>3006</v>
      </c>
      <c r="E307" s="7667" t="s">
        <v>3007</v>
      </c>
      <c r="F307" s="7667" t="s">
        <v>2283</v>
      </c>
      <c r="G307" s="7667" t="s">
        <v>18</v>
      </c>
      <c r="H307" s="7667" t="s">
        <v>18</v>
      </c>
      <c r="I307" s="7667" t="s">
        <v>760</v>
      </c>
    </row>
    <row customHeight="1" ht="11.25">
      <c r="A308" s="7667" t="s">
        <v>2206</v>
      </c>
      <c r="B308" s="7667" t="s">
        <v>14</v>
      </c>
      <c r="C308" s="7667" t="s">
        <v>2900</v>
      </c>
      <c r="D308" s="7667" t="s">
        <v>2901</v>
      </c>
      <c r="E308" s="7667" t="s">
        <v>2902</v>
      </c>
      <c r="F308" s="7667" t="s">
        <v>2217</v>
      </c>
      <c r="G308" s="7667" t="s">
        <v>18</v>
      </c>
      <c r="H308" s="7667" t="s">
        <v>18</v>
      </c>
      <c r="I308" s="7667" t="s">
        <v>760</v>
      </c>
    </row>
    <row customHeight="1" ht="11.25">
      <c r="A309" s="7667" t="s">
        <v>2206</v>
      </c>
      <c r="B309" s="7667" t="s">
        <v>14</v>
      </c>
      <c r="C309" s="7667" t="s">
        <v>3008</v>
      </c>
      <c r="D309" s="7667" t="s">
        <v>3009</v>
      </c>
      <c r="E309" s="7667" t="s">
        <v>3010</v>
      </c>
      <c r="F309" s="7667" t="s">
        <v>3011</v>
      </c>
      <c r="G309" s="7667" t="s">
        <v>18</v>
      </c>
      <c r="H309" s="7667" t="s">
        <v>18</v>
      </c>
      <c r="I309" s="7667" t="s">
        <v>760</v>
      </c>
    </row>
    <row customHeight="1" ht="11.25">
      <c r="A310" s="7667" t="s">
        <v>2206</v>
      </c>
      <c r="B310" s="7667" t="s">
        <v>14</v>
      </c>
      <c r="C310" s="7667" t="s">
        <v>2958</v>
      </c>
      <c r="D310" s="7667" t="s">
        <v>2959</v>
      </c>
      <c r="E310" s="7667" t="s">
        <v>2933</v>
      </c>
      <c r="F310" s="7667" t="s">
        <v>2463</v>
      </c>
      <c r="G310" s="7667" t="s">
        <v>18</v>
      </c>
      <c r="H310" s="7667" t="s">
        <v>18</v>
      </c>
      <c r="I310" s="7667" t="s">
        <v>760</v>
      </c>
    </row>
    <row customHeight="1" ht="11.25">
      <c r="A311" s="7667" t="s">
        <v>2206</v>
      </c>
      <c r="B311" s="7667" t="s">
        <v>14</v>
      </c>
      <c r="C311" s="7667" t="s">
        <v>2207</v>
      </c>
      <c r="D311" s="7667" t="s">
        <v>2208</v>
      </c>
      <c r="E311" s="7667" t="s">
        <v>2209</v>
      </c>
      <c r="F311" s="7667" t="s">
        <v>2210</v>
      </c>
      <c r="G311" s="7667" t="s">
        <v>18</v>
      </c>
      <c r="H311" s="7667" t="s">
        <v>18</v>
      </c>
      <c r="I311" s="7667" t="s">
        <v>815</v>
      </c>
    </row>
    <row customHeight="1" ht="11.25">
      <c r="A312" s="7667" t="s">
        <v>2206</v>
      </c>
      <c r="B312" s="7667" t="s">
        <v>14</v>
      </c>
      <c r="C312" s="7667" t="s">
        <v>2214</v>
      </c>
      <c r="D312" s="7667" t="s">
        <v>2215</v>
      </c>
      <c r="E312" s="7667" t="s">
        <v>2216</v>
      </c>
      <c r="F312" s="7667" t="s">
        <v>2217</v>
      </c>
      <c r="G312" s="7667" t="s">
        <v>18</v>
      </c>
      <c r="H312" s="7667" t="s">
        <v>18</v>
      </c>
      <c r="I312" s="7667" t="s">
        <v>815</v>
      </c>
    </row>
    <row customHeight="1" ht="11.25">
      <c r="A313" s="7667" t="s">
        <v>2206</v>
      </c>
      <c r="B313" s="7667" t="s">
        <v>14</v>
      </c>
      <c r="C313" s="7667" t="s">
        <v>2233</v>
      </c>
      <c r="D313" s="7667" t="s">
        <v>2234</v>
      </c>
      <c r="E313" s="7667" t="s">
        <v>2235</v>
      </c>
      <c r="F313" s="7667" t="s">
        <v>2236</v>
      </c>
      <c r="G313" s="7667" t="s">
        <v>18</v>
      </c>
      <c r="H313" s="7667" t="s">
        <v>18</v>
      </c>
      <c r="I313" s="7667" t="s">
        <v>815</v>
      </c>
    </row>
    <row customHeight="1" ht="11.25">
      <c r="A314" s="7667" t="s">
        <v>2206</v>
      </c>
      <c r="B314" s="7667" t="s">
        <v>14</v>
      </c>
      <c r="C314" s="7667" t="s">
        <v>2963</v>
      </c>
      <c r="D314" s="7667" t="s">
        <v>2964</v>
      </c>
      <c r="E314" s="7667" t="s">
        <v>2965</v>
      </c>
      <c r="F314" s="7667" t="s">
        <v>2240</v>
      </c>
      <c r="G314" s="7667" t="s">
        <v>18</v>
      </c>
      <c r="H314" s="7667" t="s">
        <v>18</v>
      </c>
      <c r="I314" s="7667" t="s">
        <v>815</v>
      </c>
    </row>
    <row customHeight="1" ht="11.25">
      <c r="A315" s="7667" t="s">
        <v>2206</v>
      </c>
      <c r="B315" s="7667" t="s">
        <v>14</v>
      </c>
      <c r="C315" s="7667" t="s">
        <v>2241</v>
      </c>
      <c r="D315" s="7667" t="s">
        <v>2242</v>
      </c>
      <c r="E315" s="7667" t="s">
        <v>2243</v>
      </c>
      <c r="F315" s="7667" t="s">
        <v>2244</v>
      </c>
      <c r="G315" s="7667" t="s">
        <v>2245</v>
      </c>
      <c r="H315" s="7667" t="s">
        <v>18</v>
      </c>
      <c r="I315" s="7667" t="s">
        <v>815</v>
      </c>
    </row>
    <row customHeight="1" ht="11.25">
      <c r="A316" s="7667" t="s">
        <v>2206</v>
      </c>
      <c r="B316" s="7667" t="s">
        <v>14</v>
      </c>
      <c r="C316" s="7667" t="s">
        <v>2246</v>
      </c>
      <c r="D316" s="7667" t="s">
        <v>2242</v>
      </c>
      <c r="E316" s="7667" t="s">
        <v>2243</v>
      </c>
      <c r="F316" s="7667" t="s">
        <v>2247</v>
      </c>
      <c r="G316" s="7667" t="s">
        <v>18</v>
      </c>
      <c r="H316" s="7667" t="s">
        <v>18</v>
      </c>
      <c r="I316" s="7667" t="s">
        <v>815</v>
      </c>
    </row>
    <row customHeight="1" ht="11.25">
      <c r="A317" s="7667" t="s">
        <v>2206</v>
      </c>
      <c r="B317" s="7667" t="s">
        <v>14</v>
      </c>
      <c r="C317" s="7667" t="s">
        <v>2268</v>
      </c>
      <c r="D317" s="7667" t="s">
        <v>2269</v>
      </c>
      <c r="E317" s="7667" t="s">
        <v>2270</v>
      </c>
      <c r="F317" s="7667" t="s">
        <v>2210</v>
      </c>
      <c r="G317" s="7667" t="s">
        <v>18</v>
      </c>
      <c r="H317" s="7667" t="s">
        <v>18</v>
      </c>
      <c r="I317" s="7667" t="s">
        <v>815</v>
      </c>
    </row>
    <row customHeight="1" ht="11.25">
      <c r="A318" s="7667" t="s">
        <v>2206</v>
      </c>
      <c r="B318" s="7667" t="s">
        <v>14</v>
      </c>
      <c r="C318" s="7667" t="s">
        <v>2287</v>
      </c>
      <c r="D318" s="7667" t="s">
        <v>2288</v>
      </c>
      <c r="E318" s="7667" t="s">
        <v>2289</v>
      </c>
      <c r="F318" s="7667" t="s">
        <v>2217</v>
      </c>
      <c r="G318" s="7667" t="s">
        <v>18</v>
      </c>
      <c r="H318" s="7667" t="s">
        <v>18</v>
      </c>
      <c r="I318" s="7667" t="s">
        <v>815</v>
      </c>
    </row>
    <row customHeight="1" ht="11.25">
      <c r="A319" s="7667" t="s">
        <v>2206</v>
      </c>
      <c r="B319" s="7667" t="s">
        <v>14</v>
      </c>
      <c r="C319" s="7667" t="s">
        <v>2298</v>
      </c>
      <c r="D319" s="7667" t="s">
        <v>2299</v>
      </c>
      <c r="E319" s="7667" t="s">
        <v>2300</v>
      </c>
      <c r="F319" s="7667" t="s">
        <v>2210</v>
      </c>
      <c r="G319" s="7667" t="s">
        <v>18</v>
      </c>
      <c r="H319" s="7667" t="s">
        <v>18</v>
      </c>
      <c r="I319" s="7667" t="s">
        <v>815</v>
      </c>
    </row>
    <row customHeight="1" ht="11.25">
      <c r="A320" s="7667" t="s">
        <v>2206</v>
      </c>
      <c r="B320" s="7667" t="s">
        <v>14</v>
      </c>
      <c r="C320" s="7667" t="s">
        <v>2319</v>
      </c>
      <c r="D320" s="7667" t="s">
        <v>2320</v>
      </c>
      <c r="E320" s="7667" t="s">
        <v>2321</v>
      </c>
      <c r="F320" s="7667" t="s">
        <v>2322</v>
      </c>
      <c r="G320" s="7667" t="s">
        <v>18</v>
      </c>
      <c r="H320" s="7667" t="s">
        <v>18</v>
      </c>
      <c r="I320" s="7667" t="s">
        <v>815</v>
      </c>
    </row>
    <row customHeight="1" ht="11.25">
      <c r="A321" s="7667" t="s">
        <v>2206</v>
      </c>
      <c r="B321" s="7667" t="s">
        <v>14</v>
      </c>
      <c r="C321" s="7667" t="s">
        <v>2323</v>
      </c>
      <c r="D321" s="7667" t="s">
        <v>2324</v>
      </c>
      <c r="E321" s="7667" t="s">
        <v>2325</v>
      </c>
      <c r="F321" s="7667" t="s">
        <v>2326</v>
      </c>
      <c r="G321" s="7667" t="s">
        <v>18</v>
      </c>
      <c r="H321" s="7667" t="s">
        <v>2327</v>
      </c>
      <c r="I321" s="7667" t="s">
        <v>815</v>
      </c>
    </row>
    <row customHeight="1" ht="11.25">
      <c r="A322" s="7667" t="s">
        <v>2206</v>
      </c>
      <c r="B322" s="7667" t="s">
        <v>14</v>
      </c>
      <c r="C322" s="7667" t="s">
        <v>2348</v>
      </c>
      <c r="D322" s="7667" t="s">
        <v>2349</v>
      </c>
      <c r="E322" s="7667" t="s">
        <v>2350</v>
      </c>
      <c r="F322" s="7667" t="s">
        <v>2210</v>
      </c>
      <c r="G322" s="7667" t="s">
        <v>2351</v>
      </c>
      <c r="H322" s="7667" t="s">
        <v>18</v>
      </c>
      <c r="I322" s="7667" t="s">
        <v>815</v>
      </c>
    </row>
    <row customHeight="1" ht="11.25">
      <c r="A323" s="7667" t="s">
        <v>2206</v>
      </c>
      <c r="B323" s="7667" t="s">
        <v>14</v>
      </c>
      <c r="C323" s="7667" t="s">
        <v>2966</v>
      </c>
      <c r="D323" s="7667" t="s">
        <v>2967</v>
      </c>
      <c r="E323" s="7667" t="s">
        <v>2968</v>
      </c>
      <c r="F323" s="7667" t="s">
        <v>2969</v>
      </c>
      <c r="G323" s="7667" t="s">
        <v>18</v>
      </c>
      <c r="H323" s="7667" t="s">
        <v>2970</v>
      </c>
      <c r="I323" s="7667" t="s">
        <v>815</v>
      </c>
    </row>
    <row customHeight="1" ht="11.25">
      <c r="A324" s="7667" t="s">
        <v>2206</v>
      </c>
      <c r="B324" s="7667" t="s">
        <v>14</v>
      </c>
      <c r="C324" s="7667" t="s">
        <v>3012</v>
      </c>
      <c r="D324" s="7667" t="s">
        <v>3013</v>
      </c>
      <c r="E324" s="7667" t="s">
        <v>3014</v>
      </c>
      <c r="F324" s="7667" t="s">
        <v>2432</v>
      </c>
      <c r="G324" s="7667" t="s">
        <v>18</v>
      </c>
      <c r="H324" s="7667" t="s">
        <v>18</v>
      </c>
      <c r="I324" s="7667" t="s">
        <v>815</v>
      </c>
    </row>
    <row customHeight="1" ht="11.25">
      <c r="A325" s="7667" t="s">
        <v>2206</v>
      </c>
      <c r="B325" s="7667" t="s">
        <v>14</v>
      </c>
      <c r="C325" s="7667" t="s">
        <v>2371</v>
      </c>
      <c r="D325" s="7667" t="s">
        <v>2372</v>
      </c>
      <c r="E325" s="7667" t="s">
        <v>2243</v>
      </c>
      <c r="F325" s="7667" t="s">
        <v>2373</v>
      </c>
      <c r="G325" s="7667" t="s">
        <v>2374</v>
      </c>
      <c r="H325" s="7667" t="s">
        <v>18</v>
      </c>
      <c r="I325" s="7667" t="s">
        <v>815</v>
      </c>
    </row>
    <row customHeight="1" ht="11.25">
      <c r="A326" s="7667" t="s">
        <v>2206</v>
      </c>
      <c r="B326" s="7667" t="s">
        <v>14</v>
      </c>
      <c r="C326" s="7667" t="s">
        <v>3015</v>
      </c>
      <c r="D326" s="7667" t="s">
        <v>3016</v>
      </c>
      <c r="E326" s="7667" t="s">
        <v>3017</v>
      </c>
      <c r="F326" s="7667" t="s">
        <v>2385</v>
      </c>
      <c r="G326" s="7667" t="s">
        <v>18</v>
      </c>
      <c r="H326" s="7667" t="s">
        <v>18</v>
      </c>
      <c r="I326" s="7667" t="s">
        <v>815</v>
      </c>
    </row>
    <row customHeight="1" ht="11.25">
      <c r="A327" s="7667" t="s">
        <v>2206</v>
      </c>
      <c r="B327" s="7667" t="s">
        <v>14</v>
      </c>
      <c r="C327" s="7667" t="s">
        <v>2382</v>
      </c>
      <c r="D327" s="7667" t="s">
        <v>2383</v>
      </c>
      <c r="E327" s="7667" t="s">
        <v>2384</v>
      </c>
      <c r="F327" s="7667" t="s">
        <v>2385</v>
      </c>
      <c r="G327" s="7667" t="s">
        <v>18</v>
      </c>
      <c r="H327" s="7667" t="s">
        <v>18</v>
      </c>
      <c r="I327" s="7667" t="s">
        <v>815</v>
      </c>
    </row>
    <row customHeight="1" ht="11.25">
      <c r="A328" s="7667" t="s">
        <v>2206</v>
      </c>
      <c r="B328" s="7667" t="s">
        <v>14</v>
      </c>
      <c r="C328" s="7667" t="s">
        <v>2971</v>
      </c>
      <c r="D328" s="7667" t="s">
        <v>2972</v>
      </c>
      <c r="E328" s="7667" t="s">
        <v>2973</v>
      </c>
      <c r="F328" s="7667" t="s">
        <v>2210</v>
      </c>
      <c r="G328" s="7667" t="s">
        <v>18</v>
      </c>
      <c r="H328" s="7667" t="s">
        <v>18</v>
      </c>
      <c r="I328" s="7667" t="s">
        <v>815</v>
      </c>
    </row>
    <row customHeight="1" ht="11.25">
      <c r="A329" s="7667" t="s">
        <v>2206</v>
      </c>
      <c r="B329" s="7667" t="s">
        <v>14</v>
      </c>
      <c r="C329" s="7667" t="s">
        <v>2974</v>
      </c>
      <c r="D329" s="7667" t="s">
        <v>2975</v>
      </c>
      <c r="E329" s="7667" t="s">
        <v>2976</v>
      </c>
      <c r="F329" s="7667" t="s">
        <v>2432</v>
      </c>
      <c r="G329" s="7667" t="s">
        <v>18</v>
      </c>
      <c r="H329" s="7667" t="s">
        <v>2912</v>
      </c>
      <c r="I329" s="7667" t="s">
        <v>815</v>
      </c>
    </row>
    <row customHeight="1" ht="11.25">
      <c r="A330" s="7667" t="s">
        <v>2206</v>
      </c>
      <c r="B330" s="7667" t="s">
        <v>14</v>
      </c>
      <c r="C330" s="7667" t="s">
        <v>2412</v>
      </c>
      <c r="D330" s="7667" t="s">
        <v>2413</v>
      </c>
      <c r="E330" s="7667" t="s">
        <v>2414</v>
      </c>
      <c r="F330" s="7667" t="s">
        <v>2283</v>
      </c>
      <c r="G330" s="7667" t="s">
        <v>18</v>
      </c>
      <c r="H330" s="7667" t="s">
        <v>18</v>
      </c>
      <c r="I330" s="7667" t="s">
        <v>815</v>
      </c>
    </row>
    <row customHeight="1" ht="11.25">
      <c r="A331" s="7667" t="s">
        <v>2206</v>
      </c>
      <c r="B331" s="7667" t="s">
        <v>14</v>
      </c>
      <c r="C331" s="7667" t="s">
        <v>2467</v>
      </c>
      <c r="D331" s="7667" t="s">
        <v>2468</v>
      </c>
      <c r="E331" s="7667" t="s">
        <v>2469</v>
      </c>
      <c r="F331" s="7667" t="s">
        <v>2236</v>
      </c>
      <c r="G331" s="7667" t="s">
        <v>18</v>
      </c>
      <c r="H331" s="7667" t="s">
        <v>18</v>
      </c>
      <c r="I331" s="7667" t="s">
        <v>815</v>
      </c>
    </row>
    <row customHeight="1" ht="11.25">
      <c r="A332" s="7667" t="s">
        <v>2206</v>
      </c>
      <c r="B332" s="7667" t="s">
        <v>14</v>
      </c>
      <c r="C332" s="7667" t="s">
        <v>2977</v>
      </c>
      <c r="D332" s="7667" t="s">
        <v>2978</v>
      </c>
      <c r="E332" s="7667" t="s">
        <v>2979</v>
      </c>
      <c r="F332" s="7667" t="s">
        <v>2980</v>
      </c>
      <c r="G332" s="7667" t="s">
        <v>18</v>
      </c>
      <c r="H332" s="7667" t="s">
        <v>2981</v>
      </c>
      <c r="I332" s="7667" t="s">
        <v>815</v>
      </c>
    </row>
    <row customHeight="1" ht="11.25">
      <c r="A333" s="7667" t="s">
        <v>2206</v>
      </c>
      <c r="B333" s="7667" t="s">
        <v>14</v>
      </c>
      <c r="C333" s="7667" t="s">
        <v>2547</v>
      </c>
      <c r="D333" s="7667" t="s">
        <v>2548</v>
      </c>
      <c r="E333" s="7667" t="s">
        <v>2549</v>
      </c>
      <c r="F333" s="7667" t="s">
        <v>2550</v>
      </c>
      <c r="G333" s="7667" t="s">
        <v>2551</v>
      </c>
      <c r="H333" s="7667" t="s">
        <v>2552</v>
      </c>
      <c r="I333" s="7667" t="s">
        <v>815</v>
      </c>
    </row>
    <row customHeight="1" ht="11.25">
      <c r="A334" s="7667" t="s">
        <v>2206</v>
      </c>
      <c r="B334" s="7667" t="s">
        <v>14</v>
      </c>
      <c r="C334" s="7667" t="s">
        <v>2553</v>
      </c>
      <c r="D334" s="7667" t="s">
        <v>2554</v>
      </c>
      <c r="E334" s="7667" t="s">
        <v>2549</v>
      </c>
      <c r="F334" s="7667" t="s">
        <v>2555</v>
      </c>
      <c r="G334" s="7667" t="s">
        <v>2552</v>
      </c>
      <c r="H334" s="7667" t="s">
        <v>18</v>
      </c>
      <c r="I334" s="7667" t="s">
        <v>815</v>
      </c>
    </row>
    <row customHeight="1" ht="11.25">
      <c r="A335" s="7667" t="s">
        <v>2206</v>
      </c>
      <c r="B335" s="7667" t="s">
        <v>14</v>
      </c>
      <c r="C335" s="7667" t="s">
        <v>2982</v>
      </c>
      <c r="D335" s="7667" t="s">
        <v>2983</v>
      </c>
      <c r="E335" s="7667" t="s">
        <v>2549</v>
      </c>
      <c r="F335" s="7667" t="s">
        <v>2984</v>
      </c>
      <c r="G335" s="7667" t="s">
        <v>2985</v>
      </c>
      <c r="H335" s="7667" t="s">
        <v>18</v>
      </c>
      <c r="I335" s="7667" t="s">
        <v>815</v>
      </c>
    </row>
    <row customHeight="1" ht="11.25">
      <c r="A336" s="7667" t="s">
        <v>2206</v>
      </c>
      <c r="B336" s="7667" t="s">
        <v>14</v>
      </c>
      <c r="C336" s="7667" t="s">
        <v>2986</v>
      </c>
      <c r="D336" s="7667" t="s">
        <v>2987</v>
      </c>
      <c r="E336" s="7667" t="s">
        <v>2988</v>
      </c>
      <c r="F336" s="7667" t="s">
        <v>2428</v>
      </c>
      <c r="G336" s="7667" t="s">
        <v>18</v>
      </c>
      <c r="H336" s="7667" t="s">
        <v>18</v>
      </c>
      <c r="I336" s="7667" t="s">
        <v>815</v>
      </c>
    </row>
    <row customHeight="1" ht="11.25">
      <c r="A337" s="7667" t="s">
        <v>2206</v>
      </c>
      <c r="B337" s="7667" t="s">
        <v>14</v>
      </c>
      <c r="C337" s="7667" t="s">
        <v>2604</v>
      </c>
      <c r="D337" s="7667" t="s">
        <v>2605</v>
      </c>
      <c r="E337" s="7667" t="s">
        <v>2606</v>
      </c>
      <c r="F337" s="7667" t="s">
        <v>2607</v>
      </c>
      <c r="G337" s="7667" t="s">
        <v>18</v>
      </c>
      <c r="H337" s="7667" t="s">
        <v>18</v>
      </c>
      <c r="I337" s="7667" t="s">
        <v>815</v>
      </c>
    </row>
    <row customHeight="1" ht="11.25">
      <c r="A338" s="7667" t="s">
        <v>2206</v>
      </c>
      <c r="B338" s="7667" t="s">
        <v>14</v>
      </c>
      <c r="C338" s="7667" t="s">
        <v>2989</v>
      </c>
      <c r="D338" s="7667" t="s">
        <v>2990</v>
      </c>
      <c r="E338" s="7667" t="s">
        <v>2991</v>
      </c>
      <c r="F338" s="7667" t="s">
        <v>2432</v>
      </c>
      <c r="G338" s="7667" t="s">
        <v>18</v>
      </c>
      <c r="H338" s="7667" t="s">
        <v>18</v>
      </c>
      <c r="I338" s="7667" t="s">
        <v>815</v>
      </c>
    </row>
    <row customHeight="1" ht="11.25">
      <c r="A339" s="7667" t="s">
        <v>2206</v>
      </c>
      <c r="B339" s="7667" t="s">
        <v>14</v>
      </c>
      <c r="C339" s="7667" t="s">
        <v>2992</v>
      </c>
      <c r="D339" s="7667" t="s">
        <v>2993</v>
      </c>
      <c r="E339" s="7667" t="s">
        <v>2994</v>
      </c>
      <c r="F339" s="7667" t="s">
        <v>2240</v>
      </c>
      <c r="G339" s="7667" t="s">
        <v>18</v>
      </c>
      <c r="H339" s="7667" t="s">
        <v>18</v>
      </c>
      <c r="I339" s="7667" t="s">
        <v>815</v>
      </c>
    </row>
    <row customHeight="1" ht="11.25">
      <c r="A340" s="7667" t="s">
        <v>2206</v>
      </c>
      <c r="B340" s="7667" t="s">
        <v>14</v>
      </c>
      <c r="C340" s="7667" t="s">
        <v>2995</v>
      </c>
      <c r="D340" s="7667" t="s">
        <v>2996</v>
      </c>
      <c r="E340" s="7667" t="s">
        <v>2997</v>
      </c>
      <c r="F340" s="7667" t="s">
        <v>2240</v>
      </c>
      <c r="G340" s="7667" t="s">
        <v>18</v>
      </c>
      <c r="H340" s="7667" t="s">
        <v>18</v>
      </c>
      <c r="I340" s="7667" t="s">
        <v>815</v>
      </c>
    </row>
    <row customHeight="1" ht="11.25">
      <c r="A341" s="7667" t="s">
        <v>2206</v>
      </c>
      <c r="B341" s="7667" t="s">
        <v>14</v>
      </c>
      <c r="C341" s="7667" t="s">
        <v>3018</v>
      </c>
      <c r="D341" s="7667" t="s">
        <v>3019</v>
      </c>
      <c r="E341" s="7667" t="s">
        <v>3020</v>
      </c>
      <c r="F341" s="7667" t="s">
        <v>2225</v>
      </c>
      <c r="G341" s="7667" t="s">
        <v>18</v>
      </c>
      <c r="H341" s="7667" t="s">
        <v>18</v>
      </c>
      <c r="I341" s="7667" t="s">
        <v>815</v>
      </c>
    </row>
    <row customHeight="1" ht="11.25">
      <c r="A342" s="7667" t="s">
        <v>2206</v>
      </c>
      <c r="B342" s="7667" t="s">
        <v>14</v>
      </c>
      <c r="C342" s="7667" t="s">
        <v>2754</v>
      </c>
      <c r="D342" s="7667" t="s">
        <v>2755</v>
      </c>
      <c r="E342" s="7667" t="s">
        <v>2756</v>
      </c>
      <c r="F342" s="7667" t="s">
        <v>46</v>
      </c>
      <c r="G342" s="7667" t="s">
        <v>18</v>
      </c>
      <c r="H342" s="7667" t="s">
        <v>2757</v>
      </c>
      <c r="I342" s="7667" t="s">
        <v>815</v>
      </c>
    </row>
    <row customHeight="1" ht="11.25">
      <c r="A343" s="7667" t="s">
        <v>2206</v>
      </c>
      <c r="B343" s="7667" t="s">
        <v>14</v>
      </c>
      <c r="C343" s="7667" t="s">
        <v>2810</v>
      </c>
      <c r="D343" s="7667" t="s">
        <v>2811</v>
      </c>
      <c r="E343" s="7667" t="s">
        <v>2812</v>
      </c>
      <c r="F343" s="7667" t="s">
        <v>46</v>
      </c>
      <c r="G343" s="7667" t="s">
        <v>18</v>
      </c>
      <c r="H343" s="7667" t="s">
        <v>2813</v>
      </c>
      <c r="I343" s="7667" t="s">
        <v>815</v>
      </c>
    </row>
    <row customHeight="1" ht="11.25">
      <c r="A344" s="7667" t="s">
        <v>2206</v>
      </c>
      <c r="B344" s="7667" t="s">
        <v>14</v>
      </c>
      <c r="C344" s="7667" t="s">
        <v>2998</v>
      </c>
      <c r="D344" s="7667" t="s">
        <v>2999</v>
      </c>
      <c r="E344" s="7667" t="s">
        <v>3000</v>
      </c>
      <c r="F344" s="7667" t="s">
        <v>2318</v>
      </c>
      <c r="G344" s="7667" t="s">
        <v>18</v>
      </c>
      <c r="H344" s="7667" t="s">
        <v>18</v>
      </c>
      <c r="I344" s="7667" t="s">
        <v>815</v>
      </c>
    </row>
    <row customHeight="1" ht="11.25">
      <c r="A345" s="7667" t="s">
        <v>2206</v>
      </c>
      <c r="B345" s="7667" t="s">
        <v>14</v>
      </c>
      <c r="C345" s="7667" t="s">
        <v>3001</v>
      </c>
      <c r="D345" s="7667" t="s">
        <v>3002</v>
      </c>
      <c r="E345" s="7667" t="s">
        <v>3003</v>
      </c>
      <c r="F345" s="7667" t="s">
        <v>2428</v>
      </c>
      <c r="G345" s="7667" t="s">
        <v>18</v>
      </c>
      <c r="H345" s="7667" t="s">
        <v>3004</v>
      </c>
      <c r="I345" s="7667" t="s">
        <v>815</v>
      </c>
    </row>
    <row customHeight="1" ht="11.25">
      <c r="A346" s="7667" t="s">
        <v>2206</v>
      </c>
      <c r="B346" s="7667" t="s">
        <v>14</v>
      </c>
      <c r="C346" s="7667" t="s">
        <v>2840</v>
      </c>
      <c r="D346" s="7667" t="s">
        <v>2841</v>
      </c>
      <c r="E346" s="7667" t="s">
        <v>2842</v>
      </c>
      <c r="F346" s="7667" t="s">
        <v>2318</v>
      </c>
      <c r="G346" s="7667" t="s">
        <v>18</v>
      </c>
      <c r="H346" s="7667" t="s">
        <v>18</v>
      </c>
      <c r="I346" s="7667" t="s">
        <v>815</v>
      </c>
    </row>
    <row customHeight="1" ht="11.25">
      <c r="A347" s="7667" t="s">
        <v>2206</v>
      </c>
      <c r="B347" s="7667" t="s">
        <v>14</v>
      </c>
      <c r="C347" s="7667" t="s">
        <v>3021</v>
      </c>
      <c r="D347" s="7667" t="s">
        <v>3022</v>
      </c>
      <c r="E347" s="7667" t="s">
        <v>3023</v>
      </c>
      <c r="F347" s="7667" t="s">
        <v>2322</v>
      </c>
      <c r="G347" s="7667" t="s">
        <v>18</v>
      </c>
      <c r="H347" s="7667" t="s">
        <v>18</v>
      </c>
      <c r="I347" s="7667" t="s">
        <v>815</v>
      </c>
    </row>
    <row customHeight="1" ht="11.25">
      <c r="A348" s="7667" t="s">
        <v>2206</v>
      </c>
      <c r="B348" s="7667" t="s">
        <v>14</v>
      </c>
      <c r="C348" s="7667" t="s">
        <v>2887</v>
      </c>
      <c r="D348" s="7667" t="s">
        <v>41</v>
      </c>
      <c r="E348" s="7667" t="s">
        <v>44</v>
      </c>
      <c r="F348" s="7667" t="s">
        <v>46</v>
      </c>
      <c r="G348" s="7667" t="s">
        <v>18</v>
      </c>
      <c r="H348" s="7667" t="s">
        <v>18</v>
      </c>
      <c r="I348" s="7667" t="s">
        <v>815</v>
      </c>
    </row>
    <row customHeight="1" ht="11.25">
      <c r="A349" s="7667" t="s">
        <v>2206</v>
      </c>
      <c r="B349" s="7667" t="s">
        <v>14</v>
      </c>
      <c r="C349" s="7667" t="s">
        <v>2891</v>
      </c>
      <c r="D349" s="7667" t="s">
        <v>2892</v>
      </c>
      <c r="E349" s="7667" t="s">
        <v>2893</v>
      </c>
      <c r="F349" s="7667" t="s">
        <v>2210</v>
      </c>
      <c r="G349" s="7667" t="s">
        <v>18</v>
      </c>
      <c r="H349" s="7667" t="s">
        <v>18</v>
      </c>
      <c r="I349" s="7667" t="s">
        <v>815</v>
      </c>
    </row>
    <row customHeight="1" ht="11.25">
      <c r="A350" s="7667" t="s">
        <v>2206</v>
      </c>
      <c r="B350" s="7667" t="s">
        <v>14</v>
      </c>
      <c r="C350" s="7667" t="s">
        <v>3005</v>
      </c>
      <c r="D350" s="7667" t="s">
        <v>3006</v>
      </c>
      <c r="E350" s="7667" t="s">
        <v>3007</v>
      </c>
      <c r="F350" s="7667" t="s">
        <v>2283</v>
      </c>
      <c r="G350" s="7667" t="s">
        <v>18</v>
      </c>
      <c r="H350" s="7667" t="s">
        <v>18</v>
      </c>
      <c r="I350" s="7667" t="s">
        <v>815</v>
      </c>
    </row>
    <row customHeight="1" ht="11.25">
      <c r="A351" s="7667" t="s">
        <v>2206</v>
      </c>
      <c r="B351" s="7667" t="s">
        <v>14</v>
      </c>
      <c r="C351" s="7667" t="s">
        <v>2900</v>
      </c>
      <c r="D351" s="7667" t="s">
        <v>2901</v>
      </c>
      <c r="E351" s="7667" t="s">
        <v>2902</v>
      </c>
      <c r="F351" s="7667" t="s">
        <v>2217</v>
      </c>
      <c r="G351" s="7667" t="s">
        <v>18</v>
      </c>
      <c r="H351" s="7667" t="s">
        <v>18</v>
      </c>
      <c r="I351" s="7667" t="s">
        <v>815</v>
      </c>
    </row>
    <row customHeight="1" ht="11.25">
      <c r="A352" s="7667" t="s">
        <v>2206</v>
      </c>
      <c r="B352" s="7667" t="s">
        <v>14</v>
      </c>
      <c r="C352" s="7667" t="s">
        <v>2954</v>
      </c>
      <c r="D352" s="7667" t="s">
        <v>2955</v>
      </c>
      <c r="E352" s="7667" t="s">
        <v>2956</v>
      </c>
      <c r="F352" s="7667" t="s">
        <v>2957</v>
      </c>
      <c r="G352" s="7667" t="s">
        <v>18</v>
      </c>
      <c r="H352" s="7667" t="s">
        <v>18</v>
      </c>
      <c r="I352" s="7667" t="s">
        <v>815</v>
      </c>
    </row>
    <row customHeight="1" ht="11.25">
      <c r="A353" s="7667" t="s">
        <v>2206</v>
      </c>
      <c r="B353" s="7667" t="s">
        <v>14</v>
      </c>
      <c r="C353" s="7667" t="s">
        <v>2958</v>
      </c>
      <c r="D353" s="7667" t="s">
        <v>2959</v>
      </c>
      <c r="E353" s="7667" t="s">
        <v>2933</v>
      </c>
      <c r="F353" s="7667" t="s">
        <v>2463</v>
      </c>
      <c r="G353" s="7667" t="s">
        <v>18</v>
      </c>
      <c r="H353" s="7667" t="s">
        <v>18</v>
      </c>
      <c r="I353" s="7667" t="s">
        <v>815</v>
      </c>
    </row>
    <row customHeight="1" ht="11.25">
      <c r="A354" s="7667" t="s">
        <v>2206</v>
      </c>
      <c r="B354" s="7667" t="s">
        <v>14</v>
      </c>
      <c r="C354" s="7667" t="s">
        <v>3024</v>
      </c>
      <c r="D354" s="7667" t="s">
        <v>3025</v>
      </c>
      <c r="E354" s="7667" t="s">
        <v>3026</v>
      </c>
      <c r="F354" s="7667" t="s">
        <v>2210</v>
      </c>
      <c r="G354" s="7667" t="s">
        <v>18</v>
      </c>
      <c r="H354" s="7667" t="s">
        <v>18</v>
      </c>
      <c r="I354" s="7667" t="s">
        <v>1580</v>
      </c>
    </row>
    <row customHeight="1" ht="11.25">
      <c r="A355" s="7667" t="s">
        <v>2206</v>
      </c>
      <c r="B355" s="7667" t="s">
        <v>14</v>
      </c>
      <c r="C355" s="7667" t="s">
        <v>3027</v>
      </c>
      <c r="D355" s="7667" t="s">
        <v>3028</v>
      </c>
      <c r="E355" s="7667" t="s">
        <v>3029</v>
      </c>
      <c r="F355" s="7667" t="s">
        <v>2251</v>
      </c>
      <c r="G355" s="7667" t="s">
        <v>18</v>
      </c>
      <c r="H355" s="7667" t="s">
        <v>18</v>
      </c>
      <c r="I355" s="7667" t="s">
        <v>1580</v>
      </c>
    </row>
    <row customHeight="1" ht="11.25">
      <c r="A356" s="7667" t="s">
        <v>2206</v>
      </c>
      <c r="B356" s="7667" t="s">
        <v>14</v>
      </c>
      <c r="C356" s="7667" t="s">
        <v>3030</v>
      </c>
      <c r="D356" s="7667" t="s">
        <v>3031</v>
      </c>
      <c r="E356" s="7667" t="s">
        <v>3032</v>
      </c>
      <c r="F356" s="7667" t="s">
        <v>2279</v>
      </c>
      <c r="G356" s="7667" t="s">
        <v>18</v>
      </c>
      <c r="H356" s="7667" t="s">
        <v>18</v>
      </c>
      <c r="I356" s="7667" t="s">
        <v>1580</v>
      </c>
    </row>
    <row customHeight="1" ht="11.25">
      <c r="A357" s="7667" t="s">
        <v>2206</v>
      </c>
      <c r="B357" s="7667" t="s">
        <v>14</v>
      </c>
      <c r="C357" s="7667" t="s">
        <v>3033</v>
      </c>
      <c r="D357" s="7667" t="s">
        <v>3034</v>
      </c>
      <c r="E357" s="7667" t="s">
        <v>3035</v>
      </c>
      <c r="F357" s="7667" t="s">
        <v>3036</v>
      </c>
      <c r="G357" s="7667" t="s">
        <v>18</v>
      </c>
      <c r="H357" s="7667" t="s">
        <v>18</v>
      </c>
      <c r="I357" s="7667" t="s">
        <v>1580</v>
      </c>
    </row>
    <row customHeight="1" ht="11.25">
      <c r="A358" s="7667" t="s">
        <v>2206</v>
      </c>
      <c r="B358" s="7667" t="s">
        <v>14</v>
      </c>
      <c r="C358" s="7667" t="s">
        <v>3037</v>
      </c>
      <c r="D358" s="7667" t="s">
        <v>3038</v>
      </c>
      <c r="E358" s="7667" t="s">
        <v>3039</v>
      </c>
      <c r="F358" s="7667" t="s">
        <v>3040</v>
      </c>
      <c r="G358" s="7667" t="s">
        <v>18</v>
      </c>
      <c r="H358" s="7667" t="s">
        <v>18</v>
      </c>
      <c r="I358" s="7667" t="s">
        <v>1580</v>
      </c>
    </row>
    <row customHeight="1" ht="11.25">
      <c r="A359" s="7667" t="s">
        <v>2206</v>
      </c>
      <c r="B359" s="7667" t="s">
        <v>14</v>
      </c>
      <c r="C359" s="7667" t="s">
        <v>3041</v>
      </c>
      <c r="D359" s="7667" t="s">
        <v>3042</v>
      </c>
      <c r="E359" s="7667" t="s">
        <v>3043</v>
      </c>
      <c r="F359" s="7667" t="s">
        <v>2251</v>
      </c>
      <c r="G359" s="7667" t="s">
        <v>18</v>
      </c>
      <c r="H359" s="7667" t="s">
        <v>18</v>
      </c>
      <c r="I359" s="7667" t="s">
        <v>1580</v>
      </c>
    </row>
    <row customHeight="1" ht="11.25">
      <c r="A360" s="7667" t="s">
        <v>2206</v>
      </c>
      <c r="B360" s="7667" t="s">
        <v>14</v>
      </c>
      <c r="C360" s="7667" t="s">
        <v>3044</v>
      </c>
      <c r="D360" s="7667" t="s">
        <v>3045</v>
      </c>
      <c r="E360" s="7667" t="s">
        <v>3046</v>
      </c>
      <c r="F360" s="7667" t="s">
        <v>2293</v>
      </c>
      <c r="G360" s="7667" t="s">
        <v>18</v>
      </c>
      <c r="H360" s="7667" t="s">
        <v>18</v>
      </c>
      <c r="I360" s="7667" t="s">
        <v>1580</v>
      </c>
    </row>
    <row customHeight="1" ht="11.25">
      <c r="A361" s="7667" t="s">
        <v>2206</v>
      </c>
      <c r="B361" s="7667" t="s">
        <v>14</v>
      </c>
      <c r="C361" s="7667" t="s">
        <v>3047</v>
      </c>
      <c r="D361" s="7667" t="s">
        <v>3048</v>
      </c>
      <c r="E361" s="7667" t="s">
        <v>3049</v>
      </c>
      <c r="F361" s="7667" t="s">
        <v>2980</v>
      </c>
      <c r="G361" s="7667" t="s">
        <v>18</v>
      </c>
      <c r="H361" s="7667" t="s">
        <v>18</v>
      </c>
      <c r="I361" s="7667" t="s">
        <v>1580</v>
      </c>
    </row>
    <row customHeight="1" ht="11.25">
      <c r="A362" s="7667" t="s">
        <v>2206</v>
      </c>
      <c r="B362" s="7667" t="s">
        <v>14</v>
      </c>
      <c r="C362" s="7667" t="s">
        <v>3050</v>
      </c>
      <c r="D362" s="7667" t="s">
        <v>3051</v>
      </c>
      <c r="E362" s="7667" t="s">
        <v>3052</v>
      </c>
      <c r="F362" s="7667" t="s">
        <v>3036</v>
      </c>
      <c r="G362" s="7667" t="s">
        <v>18</v>
      </c>
      <c r="H362" s="7667" t="s">
        <v>18</v>
      </c>
      <c r="I362" s="7667" t="s">
        <v>1580</v>
      </c>
    </row>
    <row customHeight="1" ht="11.25">
      <c r="A363" s="7667" t="s">
        <v>2206</v>
      </c>
      <c r="B363" s="7667" t="s">
        <v>14</v>
      </c>
      <c r="C363" s="7667" t="s">
        <v>3053</v>
      </c>
      <c r="D363" s="7667" t="s">
        <v>3054</v>
      </c>
      <c r="E363" s="7667" t="s">
        <v>3055</v>
      </c>
      <c r="F363" s="7667" t="s">
        <v>2251</v>
      </c>
      <c r="G363" s="7667" t="s">
        <v>3056</v>
      </c>
      <c r="H363" s="7667" t="s">
        <v>18</v>
      </c>
      <c r="I363" s="7667" t="s">
        <v>1580</v>
      </c>
    </row>
    <row customHeight="1" ht="11.25">
      <c r="A364" s="7667" t="s">
        <v>2206</v>
      </c>
      <c r="B364" s="7667" t="s">
        <v>14</v>
      </c>
      <c r="C364" s="7667" t="s">
        <v>3057</v>
      </c>
      <c r="D364" s="7667" t="s">
        <v>3058</v>
      </c>
      <c r="E364" s="7667" t="s">
        <v>3059</v>
      </c>
      <c r="F364" s="7667" t="s">
        <v>2714</v>
      </c>
      <c r="G364" s="7667" t="s">
        <v>18</v>
      </c>
      <c r="H364" s="7667" t="s">
        <v>18</v>
      </c>
      <c r="I364" s="7667" t="s">
        <v>1580</v>
      </c>
    </row>
    <row customHeight="1" ht="11.25">
      <c r="A365" s="7667" t="s">
        <v>2206</v>
      </c>
      <c r="B365" s="7667" t="s">
        <v>14</v>
      </c>
      <c r="C365" s="7667" t="s">
        <v>3060</v>
      </c>
      <c r="D365" s="7667" t="s">
        <v>3061</v>
      </c>
      <c r="E365" s="7667" t="s">
        <v>3062</v>
      </c>
      <c r="F365" s="7667" t="s">
        <v>3063</v>
      </c>
      <c r="G365" s="7667" t="s">
        <v>18</v>
      </c>
      <c r="H365" s="7667" t="s">
        <v>18</v>
      </c>
      <c r="I365" s="7667" t="s">
        <v>1580</v>
      </c>
    </row>
    <row customHeight="1" ht="11.25">
      <c r="A366" s="7667" t="s">
        <v>2206</v>
      </c>
      <c r="B366" s="7667" t="s">
        <v>14</v>
      </c>
      <c r="C366" s="7667" t="s">
        <v>3064</v>
      </c>
      <c r="D366" s="7667" t="s">
        <v>3065</v>
      </c>
      <c r="E366" s="7667" t="s">
        <v>3066</v>
      </c>
      <c r="F366" s="7667" t="s">
        <v>2318</v>
      </c>
      <c r="G366" s="7667" t="s">
        <v>3067</v>
      </c>
      <c r="H366" s="7667" t="s">
        <v>18</v>
      </c>
      <c r="I366" s="7667" t="s">
        <v>1580</v>
      </c>
    </row>
    <row customHeight="1" ht="11.25">
      <c r="A367" s="7667" t="s">
        <v>2206</v>
      </c>
      <c r="B367" s="7667" t="s">
        <v>14</v>
      </c>
      <c r="C367" s="7667" t="s">
        <v>3068</v>
      </c>
      <c r="D367" s="7667" t="s">
        <v>3069</v>
      </c>
      <c r="E367" s="7667" t="s">
        <v>3070</v>
      </c>
      <c r="F367" s="7667" t="s">
        <v>2980</v>
      </c>
      <c r="G367" s="7667" t="s">
        <v>18</v>
      </c>
      <c r="H367" s="7667" t="s">
        <v>18</v>
      </c>
      <c r="I367" s="7667" t="s">
        <v>1580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32AD69-3FE7-3181-8501-05CC0F269138}" mc:Ignorable="x14ac xr xr2 xr3">
  <sheetPr>
    <tabColor rgb="FFFFCC99"/>
  </sheetPr>
  <dimension ref="A1:G113"/>
  <sheetViews>
    <sheetView topLeftCell="A1" showGridLines="0" workbookViewId="0">
      <selection activeCell="A1" sqref="A1"/>
    </sheetView>
  </sheetViews>
  <sheetFormatPr customHeight="1" defaultRowHeight="11.25"/>
  <cols>
    <col min="1" max="1" style="42031" width="9.140625"/>
  </cols>
  <sheetData>
    <row customHeight="1" ht="11.25">
      <c r="A1" s="1285" t="s">
        <v>3071</v>
      </c>
      <c r="B1" s="973" t="s">
        <v>3072</v>
      </c>
      <c r="C1" s="973" t="s">
        <v>3073</v>
      </c>
      <c r="D1" s="973" t="s">
        <v>3074</v>
      </c>
      <c r="E1" s="835" t="s">
        <v>3075</v>
      </c>
      <c r="F1" s="835" t="s">
        <v>3076</v>
      </c>
      <c r="G1" s="835" t="s">
        <v>3077</v>
      </c>
    </row>
    <row customHeight="1" ht="11.25">
      <c r="A2" s="1285" t="s">
        <v>14</v>
      </c>
      <c r="B2" s="0" t="s">
        <v>3078</v>
      </c>
      <c r="C2" s="0" t="s">
        <v>3079</v>
      </c>
      <c r="D2" s="0" t="s">
        <v>3080</v>
      </c>
      <c r="E2" s="0" t="s">
        <v>3081</v>
      </c>
      <c r="F2" s="0" t="s">
        <v>3082</v>
      </c>
      <c r="G2" s="0" t="s">
        <v>102</v>
      </c>
    </row>
    <row customHeight="1" ht="11.25">
      <c r="A3" s="1285" t="s">
        <v>14</v>
      </c>
      <c r="B3" s="0" t="s">
        <v>3078</v>
      </c>
      <c r="C3" s="0" t="s">
        <v>3079</v>
      </c>
      <c r="D3" s="0" t="s">
        <v>3083</v>
      </c>
      <c r="E3" s="0" t="s">
        <v>3084</v>
      </c>
      <c r="F3" s="0" t="s">
        <v>3082</v>
      </c>
      <c r="G3" s="0" t="s">
        <v>103</v>
      </c>
    </row>
    <row customHeight="1" ht="11.25">
      <c r="A4" s="1285" t="s">
        <v>14</v>
      </c>
      <c r="B4" s="0" t="s">
        <v>3078</v>
      </c>
      <c r="C4" s="0" t="s">
        <v>3079</v>
      </c>
      <c r="D4" s="0" t="s">
        <v>3085</v>
      </c>
      <c r="E4" s="0" t="s">
        <v>3086</v>
      </c>
      <c r="F4" s="0" t="s">
        <v>3082</v>
      </c>
      <c r="G4" s="0" t="s">
        <v>86</v>
      </c>
    </row>
    <row customHeight="1" ht="11.25">
      <c r="A5" s="1285" t="s">
        <v>14</v>
      </c>
      <c r="B5" s="0" t="s">
        <v>3078</v>
      </c>
      <c r="C5" s="0" t="s">
        <v>3079</v>
      </c>
      <c r="D5" s="0" t="s">
        <v>3087</v>
      </c>
      <c r="E5" s="0" t="s">
        <v>3088</v>
      </c>
      <c r="F5" s="0" t="s">
        <v>3082</v>
      </c>
      <c r="G5" s="0" t="s">
        <v>87</v>
      </c>
    </row>
    <row customHeight="1" ht="11.25">
      <c r="A6" s="1285" t="s">
        <v>14</v>
      </c>
      <c r="B6" s="0" t="s">
        <v>3078</v>
      </c>
      <c r="C6" s="0" t="s">
        <v>3079</v>
      </c>
      <c r="D6" s="0" t="s">
        <v>3089</v>
      </c>
      <c r="E6" s="0" t="s">
        <v>3090</v>
      </c>
      <c r="F6" s="0" t="s">
        <v>3082</v>
      </c>
      <c r="G6" s="0" t="s">
        <v>104</v>
      </c>
    </row>
    <row customHeight="1" ht="11.25">
      <c r="A7" s="1285" t="s">
        <v>14</v>
      </c>
      <c r="B7" s="0" t="s">
        <v>3078</v>
      </c>
      <c r="C7" s="0" t="s">
        <v>3079</v>
      </c>
      <c r="D7" s="0" t="s">
        <v>3091</v>
      </c>
      <c r="E7" s="0" t="s">
        <v>3092</v>
      </c>
      <c r="F7" s="0" t="s">
        <v>3082</v>
      </c>
      <c r="G7" s="0" t="s">
        <v>88</v>
      </c>
    </row>
    <row customHeight="1" ht="11.25">
      <c r="A8" s="1285" t="s">
        <v>14</v>
      </c>
      <c r="B8" s="0" t="s">
        <v>3078</v>
      </c>
      <c r="C8" s="0" t="s">
        <v>3079</v>
      </c>
      <c r="D8" s="0" t="s">
        <v>3093</v>
      </c>
      <c r="E8" s="0" t="s">
        <v>3094</v>
      </c>
      <c r="F8" s="0" t="s">
        <v>3082</v>
      </c>
      <c r="G8" s="0" t="s">
        <v>89</v>
      </c>
    </row>
    <row customHeight="1" ht="11.25">
      <c r="A9" s="1285" t="s">
        <v>14</v>
      </c>
      <c r="B9" s="0" t="s">
        <v>3078</v>
      </c>
      <c r="C9" s="0" t="s">
        <v>3079</v>
      </c>
      <c r="D9" s="0" t="s">
        <v>3095</v>
      </c>
      <c r="E9" s="0" t="s">
        <v>3096</v>
      </c>
      <c r="F9" s="0" t="s">
        <v>3082</v>
      </c>
      <c r="G9" s="0" t="s">
        <v>105</v>
      </c>
    </row>
    <row customHeight="1" ht="11.25">
      <c r="A10" s="1285" t="s">
        <v>14</v>
      </c>
      <c r="B10" s="0" t="s">
        <v>3078</v>
      </c>
      <c r="C10" s="0" t="s">
        <v>3079</v>
      </c>
      <c r="D10" s="0" t="s">
        <v>3078</v>
      </c>
      <c r="E10" s="0" t="s">
        <v>3079</v>
      </c>
      <c r="F10" s="0" t="s">
        <v>3097</v>
      </c>
      <c r="G10" s="0" t="s">
        <v>141</v>
      </c>
    </row>
    <row customHeight="1" ht="11.25">
      <c r="A11" s="1285" t="s">
        <v>14</v>
      </c>
      <c r="B11" s="0" t="s">
        <v>3078</v>
      </c>
      <c r="C11" s="0" t="s">
        <v>3079</v>
      </c>
      <c r="D11" s="0" t="s">
        <v>3098</v>
      </c>
      <c r="E11" s="0" t="s">
        <v>3099</v>
      </c>
      <c r="F11" s="0" t="s">
        <v>3082</v>
      </c>
      <c r="G11" s="0" t="s">
        <v>142</v>
      </c>
    </row>
    <row customHeight="1" ht="11.25">
      <c r="A12" s="1285" t="s">
        <v>14</v>
      </c>
      <c r="B12" s="0" t="s">
        <v>3078</v>
      </c>
      <c r="C12" s="0" t="s">
        <v>3079</v>
      </c>
      <c r="D12" s="0" t="s">
        <v>3100</v>
      </c>
      <c r="E12" s="0" t="s">
        <v>3101</v>
      </c>
      <c r="F12" s="0" t="s">
        <v>3082</v>
      </c>
      <c r="G12" s="0" t="s">
        <v>143</v>
      </c>
    </row>
    <row customHeight="1" ht="11.25">
      <c r="A13" s="1285" t="s">
        <v>14</v>
      </c>
      <c r="B13" s="0" t="s">
        <v>3078</v>
      </c>
      <c r="C13" s="0" t="s">
        <v>3079</v>
      </c>
      <c r="D13" s="0" t="s">
        <v>3102</v>
      </c>
      <c r="E13" s="0" t="s">
        <v>3103</v>
      </c>
      <c r="F13" s="0" t="s">
        <v>3082</v>
      </c>
      <c r="G13" s="0" t="s">
        <v>144</v>
      </c>
    </row>
    <row customHeight="1" ht="11.25">
      <c r="A14" s="1285" t="s">
        <v>14</v>
      </c>
      <c r="B14" s="0" t="s">
        <v>3078</v>
      </c>
      <c r="C14" s="0" t="s">
        <v>3079</v>
      </c>
      <c r="D14" s="0" t="s">
        <v>3104</v>
      </c>
      <c r="E14" s="0" t="s">
        <v>3105</v>
      </c>
      <c r="F14" s="0" t="s">
        <v>3082</v>
      </c>
      <c r="G14" s="0" t="s">
        <v>145</v>
      </c>
    </row>
    <row customHeight="1" ht="11.25">
      <c r="A15" s="1285" t="s">
        <v>14</v>
      </c>
      <c r="B15" s="0" t="s">
        <v>3078</v>
      </c>
      <c r="C15" s="0" t="s">
        <v>3079</v>
      </c>
      <c r="D15" s="0" t="s">
        <v>3106</v>
      </c>
      <c r="E15" s="0" t="s">
        <v>3107</v>
      </c>
      <c r="F15" s="0" t="s">
        <v>3082</v>
      </c>
      <c r="G15" s="0" t="s">
        <v>146</v>
      </c>
    </row>
    <row customHeight="1" ht="11.25">
      <c r="A16" s="1285" t="s">
        <v>14</v>
      </c>
      <c r="B16" s="0" t="s">
        <v>3078</v>
      </c>
      <c r="C16" s="0" t="s">
        <v>3079</v>
      </c>
      <c r="D16" s="0" t="s">
        <v>3108</v>
      </c>
      <c r="E16" s="0" t="s">
        <v>3109</v>
      </c>
      <c r="F16" s="0" t="s">
        <v>3082</v>
      </c>
      <c r="G16" s="0" t="s">
        <v>973</v>
      </c>
    </row>
    <row customHeight="1" ht="11.25">
      <c r="A17" s="1285" t="s">
        <v>14</v>
      </c>
      <c r="B17" s="0" t="s">
        <v>3078</v>
      </c>
      <c r="C17" s="0" t="s">
        <v>3079</v>
      </c>
      <c r="D17" s="0" t="s">
        <v>3110</v>
      </c>
      <c r="E17" s="0" t="s">
        <v>3111</v>
      </c>
      <c r="F17" s="0" t="s">
        <v>3112</v>
      </c>
      <c r="G17" s="0" t="s">
        <v>975</v>
      </c>
    </row>
    <row customHeight="1" ht="11.25">
      <c r="A18" s="1285" t="s">
        <v>14</v>
      </c>
      <c r="B18" s="0" t="s">
        <v>3078</v>
      </c>
      <c r="C18" s="0" t="s">
        <v>3079</v>
      </c>
      <c r="D18" s="0" t="s">
        <v>3113</v>
      </c>
      <c r="E18" s="0" t="s">
        <v>3114</v>
      </c>
      <c r="F18" s="0" t="s">
        <v>3112</v>
      </c>
      <c r="G18" s="0" t="s">
        <v>976</v>
      </c>
    </row>
    <row customHeight="1" ht="11.25">
      <c r="A19" s="1285" t="s">
        <v>14</v>
      </c>
      <c r="B19" s="0" t="s">
        <v>3078</v>
      </c>
      <c r="C19" s="0" t="s">
        <v>3079</v>
      </c>
      <c r="D19" s="0" t="s">
        <v>3115</v>
      </c>
      <c r="E19" s="0" t="s">
        <v>3116</v>
      </c>
      <c r="F19" s="0" t="s">
        <v>3082</v>
      </c>
      <c r="G19" s="0" t="s">
        <v>978</v>
      </c>
    </row>
    <row customHeight="1" ht="11.25">
      <c r="A20" s="1285" t="s">
        <v>14</v>
      </c>
      <c r="B20" s="0" t="s">
        <v>3078</v>
      </c>
      <c r="C20" s="0" t="s">
        <v>3079</v>
      </c>
      <c r="D20" s="0" t="s">
        <v>3117</v>
      </c>
      <c r="E20" s="0" t="s">
        <v>3118</v>
      </c>
      <c r="F20" s="0" t="s">
        <v>3082</v>
      </c>
      <c r="G20" s="0" t="s">
        <v>979</v>
      </c>
    </row>
    <row customHeight="1" ht="11.25">
      <c r="A21" s="1285" t="s">
        <v>14</v>
      </c>
      <c r="B21" s="0" t="s">
        <v>3078</v>
      </c>
      <c r="C21" s="0" t="s">
        <v>3079</v>
      </c>
      <c r="D21" s="0" t="s">
        <v>3119</v>
      </c>
      <c r="E21" s="0" t="s">
        <v>3120</v>
      </c>
      <c r="F21" s="0" t="s">
        <v>3082</v>
      </c>
      <c r="G21" s="0" t="s">
        <v>1477</v>
      </c>
    </row>
    <row customHeight="1" ht="11.25">
      <c r="A22" s="1285" t="s">
        <v>14</v>
      </c>
      <c r="B22" s="0" t="s">
        <v>3078</v>
      </c>
      <c r="C22" s="0" t="s">
        <v>3079</v>
      </c>
      <c r="D22" s="0" t="s">
        <v>3121</v>
      </c>
      <c r="E22" s="0" t="s">
        <v>3122</v>
      </c>
      <c r="F22" s="0" t="s">
        <v>3112</v>
      </c>
      <c r="G22" s="0" t="s">
        <v>1493</v>
      </c>
    </row>
    <row customHeight="1" ht="11.25">
      <c r="A23" s="1285" t="s">
        <v>14</v>
      </c>
      <c r="B23" s="0" t="s">
        <v>3078</v>
      </c>
      <c r="C23" s="0" t="s">
        <v>3079</v>
      </c>
      <c r="D23" s="0" t="s">
        <v>3123</v>
      </c>
      <c r="E23" s="0" t="s">
        <v>3124</v>
      </c>
      <c r="F23" s="0" t="s">
        <v>3082</v>
      </c>
      <c r="G23" s="0" t="s">
        <v>1500</v>
      </c>
    </row>
    <row customHeight="1" ht="11.25">
      <c r="A24" s="1285" t="s">
        <v>14</v>
      </c>
      <c r="B24" s="0" t="s">
        <v>3078</v>
      </c>
      <c r="C24" s="0" t="s">
        <v>3079</v>
      </c>
      <c r="D24" s="0" t="s">
        <v>3125</v>
      </c>
      <c r="E24" s="0" t="s">
        <v>3126</v>
      </c>
      <c r="F24" s="0" t="s">
        <v>3112</v>
      </c>
      <c r="G24" s="0" t="s">
        <v>1508</v>
      </c>
    </row>
    <row customHeight="1" ht="11.25">
      <c r="A25" s="1285" t="s">
        <v>14</v>
      </c>
      <c r="B25" s="0" t="s">
        <v>3078</v>
      </c>
      <c r="C25" s="0" t="s">
        <v>3079</v>
      </c>
      <c r="D25" s="0" t="s">
        <v>3127</v>
      </c>
      <c r="E25" s="0" t="s">
        <v>3128</v>
      </c>
      <c r="F25" s="0" t="s">
        <v>3082</v>
      </c>
      <c r="G25" s="0" t="s">
        <v>1514</v>
      </c>
    </row>
    <row customHeight="1" ht="11.25">
      <c r="A26" s="1285" t="s">
        <v>14</v>
      </c>
      <c r="B26" s="0" t="s">
        <v>3078</v>
      </c>
      <c r="C26" s="0" t="s">
        <v>3079</v>
      </c>
      <c r="D26" s="0" t="s">
        <v>3129</v>
      </c>
      <c r="E26" s="0" t="s">
        <v>3130</v>
      </c>
      <c r="F26" s="0" t="s">
        <v>3082</v>
      </c>
      <c r="G26" s="0" t="s">
        <v>1518</v>
      </c>
    </row>
    <row customHeight="1" ht="11.25">
      <c r="A27" s="1285" t="s">
        <v>14</v>
      </c>
      <c r="B27" s="0" t="s">
        <v>3078</v>
      </c>
      <c r="C27" s="0" t="s">
        <v>3079</v>
      </c>
      <c r="D27" s="0" t="s">
        <v>3131</v>
      </c>
      <c r="E27" s="0" t="s">
        <v>3132</v>
      </c>
      <c r="F27" s="0" t="s">
        <v>3082</v>
      </c>
      <c r="G27" s="0" t="s">
        <v>1523</v>
      </c>
    </row>
    <row customHeight="1" ht="11.25">
      <c r="A28" s="1285" t="s">
        <v>14</v>
      </c>
      <c r="B28" s="0" t="s">
        <v>3078</v>
      </c>
      <c r="C28" s="0" t="s">
        <v>3079</v>
      </c>
      <c r="D28" s="0" t="s">
        <v>3133</v>
      </c>
      <c r="E28" s="0" t="s">
        <v>3134</v>
      </c>
      <c r="F28" s="0" t="s">
        <v>3112</v>
      </c>
      <c r="G28" s="0" t="s">
        <v>1531</v>
      </c>
    </row>
    <row customHeight="1" ht="11.25">
      <c r="A29" s="1285" t="s">
        <v>14</v>
      </c>
      <c r="B29" s="0" t="s">
        <v>3078</v>
      </c>
      <c r="C29" s="0" t="s">
        <v>3079</v>
      </c>
      <c r="D29" s="0" t="s">
        <v>3135</v>
      </c>
      <c r="E29" s="0" t="s">
        <v>3136</v>
      </c>
      <c r="F29" s="0" t="s">
        <v>3112</v>
      </c>
      <c r="G29" s="0" t="s">
        <v>1533</v>
      </c>
    </row>
    <row customHeight="1" ht="11.25">
      <c r="A30" s="1285" t="s">
        <v>14</v>
      </c>
      <c r="B30" s="0" t="s">
        <v>3078</v>
      </c>
      <c r="C30" s="0" t="s">
        <v>3079</v>
      </c>
      <c r="D30" s="0" t="s">
        <v>3137</v>
      </c>
      <c r="E30" s="0" t="s">
        <v>3138</v>
      </c>
      <c r="F30" s="0" t="s">
        <v>3082</v>
      </c>
      <c r="G30" s="0" t="s">
        <v>1536</v>
      </c>
    </row>
    <row customHeight="1" ht="11.25">
      <c r="A31" s="1285" t="s">
        <v>14</v>
      </c>
      <c r="B31" s="0" t="s">
        <v>3078</v>
      </c>
      <c r="C31" s="0" t="s">
        <v>3079</v>
      </c>
      <c r="D31" s="0" t="s">
        <v>3139</v>
      </c>
      <c r="E31" s="0" t="s">
        <v>3140</v>
      </c>
      <c r="F31" s="0" t="s">
        <v>3082</v>
      </c>
      <c r="G31" s="0" t="s">
        <v>1542</v>
      </c>
    </row>
    <row customHeight="1" ht="11.25">
      <c r="A32" s="1285" t="s">
        <v>14</v>
      </c>
      <c r="B32" s="0" t="s">
        <v>3078</v>
      </c>
      <c r="C32" s="0" t="s">
        <v>3079</v>
      </c>
      <c r="D32" s="0" t="s">
        <v>3141</v>
      </c>
      <c r="E32" s="0" t="s">
        <v>3142</v>
      </c>
      <c r="F32" s="0" t="s">
        <v>3112</v>
      </c>
      <c r="G32" s="0" t="s">
        <v>1544</v>
      </c>
    </row>
    <row customHeight="1" ht="11.25">
      <c r="A33" s="1285" t="s">
        <v>14</v>
      </c>
      <c r="B33" s="0" t="s">
        <v>3078</v>
      </c>
      <c r="C33" s="0" t="s">
        <v>3079</v>
      </c>
      <c r="D33" s="0" t="s">
        <v>3143</v>
      </c>
      <c r="E33" s="0" t="s">
        <v>3144</v>
      </c>
      <c r="F33" s="0" t="s">
        <v>3082</v>
      </c>
      <c r="G33" s="0" t="s">
        <v>1546</v>
      </c>
    </row>
    <row customHeight="1" ht="11.25">
      <c r="A34" s="1285" t="s">
        <v>14</v>
      </c>
      <c r="B34" s="0" t="s">
        <v>3078</v>
      </c>
      <c r="C34" s="0" t="s">
        <v>3079</v>
      </c>
      <c r="D34" s="0" t="s">
        <v>3145</v>
      </c>
      <c r="E34" s="0" t="s">
        <v>3146</v>
      </c>
      <c r="F34" s="0" t="s">
        <v>3082</v>
      </c>
      <c r="G34" s="0" t="s">
        <v>1548</v>
      </c>
    </row>
    <row customHeight="1" ht="11.25">
      <c r="A35" s="1285" t="s">
        <v>14</v>
      </c>
      <c r="B35" s="0" t="s">
        <v>3078</v>
      </c>
      <c r="C35" s="0" t="s">
        <v>3079</v>
      </c>
      <c r="D35" s="0" t="s">
        <v>3147</v>
      </c>
      <c r="E35" s="0" t="s">
        <v>3148</v>
      </c>
      <c r="F35" s="0" t="s">
        <v>3082</v>
      </c>
      <c r="G35" s="0" t="s">
        <v>1553</v>
      </c>
    </row>
    <row customHeight="1" ht="11.25">
      <c r="A36" s="1285" t="s">
        <v>14</v>
      </c>
      <c r="B36" s="0" t="s">
        <v>3078</v>
      </c>
      <c r="C36" s="0" t="s">
        <v>3079</v>
      </c>
      <c r="D36" s="0" t="s">
        <v>3149</v>
      </c>
      <c r="E36" s="0" t="s">
        <v>3150</v>
      </c>
      <c r="F36" s="0" t="s">
        <v>3112</v>
      </c>
      <c r="G36" s="0" t="s">
        <v>1558</v>
      </c>
    </row>
    <row customHeight="1" ht="11.25">
      <c r="A37" s="1285" t="s">
        <v>14</v>
      </c>
      <c r="B37" s="0" t="s">
        <v>3078</v>
      </c>
      <c r="C37" s="0" t="s">
        <v>3079</v>
      </c>
      <c r="D37" s="0" t="s">
        <v>3151</v>
      </c>
      <c r="E37" s="0" t="s">
        <v>3152</v>
      </c>
      <c r="F37" s="0" t="s">
        <v>3082</v>
      </c>
      <c r="G37" s="0" t="s">
        <v>1562</v>
      </c>
    </row>
    <row customHeight="1" ht="11.25">
      <c r="A38" s="1285" t="s">
        <v>14</v>
      </c>
      <c r="B38" s="0" t="s">
        <v>3078</v>
      </c>
      <c r="C38" s="0" t="s">
        <v>3079</v>
      </c>
      <c r="D38" s="0" t="s">
        <v>3153</v>
      </c>
      <c r="E38" s="0" t="s">
        <v>3154</v>
      </c>
      <c r="F38" s="0" t="s">
        <v>3082</v>
      </c>
      <c r="G38" s="0" t="s">
        <v>1570</v>
      </c>
    </row>
    <row customHeight="1" ht="11.25">
      <c r="A39" s="1285" t="s">
        <v>14</v>
      </c>
      <c r="B39" s="0" t="s">
        <v>3078</v>
      </c>
      <c r="C39" s="0" t="s">
        <v>3079</v>
      </c>
      <c r="D39" s="0" t="s">
        <v>3155</v>
      </c>
      <c r="E39" s="0" t="s">
        <v>3156</v>
      </c>
      <c r="F39" s="0" t="s">
        <v>3082</v>
      </c>
      <c r="G39" s="0" t="s">
        <v>1576</v>
      </c>
    </row>
    <row customHeight="1" ht="11.25">
      <c r="A40" s="1285" t="s">
        <v>14</v>
      </c>
      <c r="B40" s="0" t="s">
        <v>3078</v>
      </c>
      <c r="C40" s="0" t="s">
        <v>3079</v>
      </c>
      <c r="D40" s="0" t="s">
        <v>3157</v>
      </c>
      <c r="E40" s="0" t="s">
        <v>3158</v>
      </c>
      <c r="F40" s="0" t="s">
        <v>3082</v>
      </c>
      <c r="G40" s="0" t="s">
        <v>1581</v>
      </c>
    </row>
    <row customHeight="1" ht="11.25">
      <c r="A41" s="1285" t="s">
        <v>14</v>
      </c>
      <c r="B41" s="0" t="s">
        <v>3078</v>
      </c>
      <c r="C41" s="0" t="s">
        <v>3079</v>
      </c>
      <c r="D41" s="0" t="s">
        <v>3159</v>
      </c>
      <c r="E41" s="0" t="s">
        <v>3160</v>
      </c>
      <c r="F41" s="0" t="s">
        <v>3082</v>
      </c>
      <c r="G41" s="0" t="s">
        <v>1585</v>
      </c>
    </row>
    <row customHeight="1" ht="11.25">
      <c r="A42" s="1285" t="s">
        <v>14</v>
      </c>
      <c r="B42" s="0" t="s">
        <v>3078</v>
      </c>
      <c r="C42" s="0" t="s">
        <v>3079</v>
      </c>
      <c r="D42" s="0" t="s">
        <v>3161</v>
      </c>
      <c r="E42" s="0" t="s">
        <v>3162</v>
      </c>
      <c r="F42" s="0" t="s">
        <v>3082</v>
      </c>
      <c r="G42" s="0" t="s">
        <v>1588</v>
      </c>
    </row>
    <row customHeight="1" ht="11.25">
      <c r="A43" s="1285" t="s">
        <v>14</v>
      </c>
      <c r="B43" s="0" t="s">
        <v>3078</v>
      </c>
      <c r="C43" s="0" t="s">
        <v>3079</v>
      </c>
      <c r="D43" s="0" t="s">
        <v>3163</v>
      </c>
      <c r="E43" s="0" t="s">
        <v>3164</v>
      </c>
      <c r="F43" s="0" t="s">
        <v>3082</v>
      </c>
      <c r="G43" s="0" t="s">
        <v>1595</v>
      </c>
    </row>
    <row customHeight="1" ht="11.25">
      <c r="A44" s="1285" t="s">
        <v>14</v>
      </c>
      <c r="B44" s="0" t="s">
        <v>3078</v>
      </c>
      <c r="C44" s="0" t="s">
        <v>3079</v>
      </c>
      <c r="D44" s="0" t="s">
        <v>3165</v>
      </c>
      <c r="E44" s="0" t="s">
        <v>3166</v>
      </c>
      <c r="F44" s="0" t="s">
        <v>3082</v>
      </c>
      <c r="G44" s="0" t="s">
        <v>1603</v>
      </c>
    </row>
    <row customHeight="1" ht="11.25">
      <c r="A45" s="1285" t="s">
        <v>14</v>
      </c>
      <c r="B45" s="0" t="s">
        <v>3078</v>
      </c>
      <c r="C45" s="0" t="s">
        <v>3079</v>
      </c>
      <c r="D45" s="0" t="s">
        <v>3167</v>
      </c>
      <c r="E45" s="0" t="s">
        <v>3168</v>
      </c>
      <c r="F45" s="0" t="s">
        <v>3082</v>
      </c>
      <c r="G45" s="0" t="s">
        <v>1608</v>
      </c>
    </row>
    <row customHeight="1" ht="11.25">
      <c r="A46" s="1285" t="s">
        <v>14</v>
      </c>
      <c r="B46" s="0" t="s">
        <v>3078</v>
      </c>
      <c r="C46" s="0" t="s">
        <v>3079</v>
      </c>
      <c r="D46" s="0" t="s">
        <v>3169</v>
      </c>
      <c r="E46" s="0" t="s">
        <v>3170</v>
      </c>
      <c r="F46" s="0" t="s">
        <v>3082</v>
      </c>
      <c r="G46" s="0" t="s">
        <v>1612</v>
      </c>
    </row>
    <row customHeight="1" ht="11.25">
      <c r="A47" s="1285" t="s">
        <v>14</v>
      </c>
      <c r="B47" s="0" t="s">
        <v>3078</v>
      </c>
      <c r="C47" s="0" t="s">
        <v>3079</v>
      </c>
      <c r="D47" s="0" t="s">
        <v>3171</v>
      </c>
      <c r="E47" s="0" t="s">
        <v>3172</v>
      </c>
      <c r="F47" s="0" t="s">
        <v>3082</v>
      </c>
      <c r="G47" s="0" t="s">
        <v>1618</v>
      </c>
    </row>
    <row customHeight="1" ht="11.25">
      <c r="A48" s="1285" t="s">
        <v>14</v>
      </c>
      <c r="B48" s="0" t="s">
        <v>3078</v>
      </c>
      <c r="C48" s="0" t="s">
        <v>3079</v>
      </c>
      <c r="D48" s="0" t="s">
        <v>3173</v>
      </c>
      <c r="E48" s="0" t="s">
        <v>3174</v>
      </c>
      <c r="F48" s="0" t="s">
        <v>3112</v>
      </c>
      <c r="G48" s="0" t="s">
        <v>1623</v>
      </c>
    </row>
    <row customHeight="1" ht="11.25">
      <c r="A49" s="1285" t="s">
        <v>14</v>
      </c>
      <c r="B49" s="0" t="s">
        <v>3078</v>
      </c>
      <c r="C49" s="0" t="s">
        <v>3079</v>
      </c>
      <c r="D49" s="0" t="s">
        <v>3175</v>
      </c>
      <c r="E49" s="0" t="s">
        <v>3176</v>
      </c>
      <c r="F49" s="0" t="s">
        <v>3082</v>
      </c>
      <c r="G49" s="0" t="s">
        <v>1626</v>
      </c>
    </row>
    <row customHeight="1" ht="11.25">
      <c r="A50" s="1285" t="s">
        <v>14</v>
      </c>
      <c r="B50" s="0" t="s">
        <v>3078</v>
      </c>
      <c r="C50" s="0" t="s">
        <v>3079</v>
      </c>
      <c r="D50" s="0" t="s">
        <v>3177</v>
      </c>
      <c r="E50" s="0" t="s">
        <v>3178</v>
      </c>
      <c r="F50" s="0" t="s">
        <v>3082</v>
      </c>
      <c r="G50" s="0" t="s">
        <v>1630</v>
      </c>
    </row>
    <row customHeight="1" ht="11.25">
      <c r="A51" s="1285" t="s">
        <v>14</v>
      </c>
      <c r="B51" s="0" t="s">
        <v>3078</v>
      </c>
      <c r="C51" s="0" t="s">
        <v>3079</v>
      </c>
      <c r="D51" s="0" t="s">
        <v>3179</v>
      </c>
      <c r="E51" s="0" t="s">
        <v>3180</v>
      </c>
      <c r="F51" s="0" t="s">
        <v>3112</v>
      </c>
      <c r="G51" s="0" t="s">
        <v>1635</v>
      </c>
    </row>
    <row customHeight="1" ht="11.25">
      <c r="A52" s="1285" t="s">
        <v>14</v>
      </c>
      <c r="B52" s="0" t="s">
        <v>3078</v>
      </c>
      <c r="C52" s="0" t="s">
        <v>3079</v>
      </c>
      <c r="D52" s="0" t="s">
        <v>3181</v>
      </c>
      <c r="E52" s="0" t="s">
        <v>3182</v>
      </c>
      <c r="F52" s="0" t="s">
        <v>3112</v>
      </c>
      <c r="G52" s="0" t="s">
        <v>1639</v>
      </c>
    </row>
    <row customHeight="1" ht="11.25">
      <c r="A53" s="1285" t="s">
        <v>14</v>
      </c>
      <c r="B53" s="0" t="s">
        <v>3078</v>
      </c>
      <c r="C53" s="0" t="s">
        <v>3079</v>
      </c>
      <c r="D53" s="0" t="s">
        <v>3183</v>
      </c>
      <c r="E53" s="0" t="s">
        <v>3184</v>
      </c>
      <c r="F53" s="0" t="s">
        <v>3082</v>
      </c>
      <c r="G53" s="0" t="s">
        <v>1641</v>
      </c>
    </row>
    <row customHeight="1" ht="11.25">
      <c r="A54" s="1285" t="s">
        <v>14</v>
      </c>
      <c r="B54" s="0" t="s">
        <v>3078</v>
      </c>
      <c r="C54" s="0" t="s">
        <v>3079</v>
      </c>
      <c r="D54" s="0" t="s">
        <v>3185</v>
      </c>
      <c r="E54" s="0" t="s">
        <v>3186</v>
      </c>
      <c r="F54" s="0" t="s">
        <v>3082</v>
      </c>
      <c r="G54" s="0" t="s">
        <v>1644</v>
      </c>
    </row>
    <row customHeight="1" ht="11.25">
      <c r="A55" s="1285" t="s">
        <v>14</v>
      </c>
      <c r="B55" s="0" t="s">
        <v>3078</v>
      </c>
      <c r="C55" s="0" t="s">
        <v>3079</v>
      </c>
      <c r="D55" s="0" t="s">
        <v>3187</v>
      </c>
      <c r="E55" s="0" t="s">
        <v>3188</v>
      </c>
      <c r="F55" s="0" t="s">
        <v>3082</v>
      </c>
      <c r="G55" s="0" t="s">
        <v>1648</v>
      </c>
    </row>
    <row customHeight="1" ht="11.25">
      <c r="A56" s="1285" t="s">
        <v>14</v>
      </c>
      <c r="B56" s="0" t="s">
        <v>3078</v>
      </c>
      <c r="C56" s="0" t="s">
        <v>3079</v>
      </c>
      <c r="D56" s="0" t="s">
        <v>3189</v>
      </c>
      <c r="E56" s="0" t="s">
        <v>3190</v>
      </c>
      <c r="F56" s="0" t="s">
        <v>3082</v>
      </c>
      <c r="G56" s="0" t="s">
        <v>1651</v>
      </c>
    </row>
    <row customHeight="1" ht="11.25">
      <c r="A57" s="1285" t="s">
        <v>14</v>
      </c>
      <c r="B57" s="0" t="s">
        <v>3078</v>
      </c>
      <c r="C57" s="0" t="s">
        <v>3079</v>
      </c>
      <c r="D57" s="0" t="s">
        <v>3191</v>
      </c>
      <c r="E57" s="0" t="s">
        <v>3192</v>
      </c>
      <c r="F57" s="0" t="s">
        <v>3082</v>
      </c>
      <c r="G57" s="0" t="s">
        <v>1654</v>
      </c>
    </row>
    <row customHeight="1" ht="11.25">
      <c r="A58" s="1285" t="s">
        <v>14</v>
      </c>
      <c r="B58" s="0" t="s">
        <v>3078</v>
      </c>
      <c r="C58" s="0" t="s">
        <v>3079</v>
      </c>
      <c r="D58" s="0" t="s">
        <v>3193</v>
      </c>
      <c r="E58" s="0" t="s">
        <v>3194</v>
      </c>
      <c r="F58" s="0" t="s">
        <v>3082</v>
      </c>
      <c r="G58" s="0" t="s">
        <v>1657</v>
      </c>
    </row>
    <row customHeight="1" ht="11.25">
      <c r="A59" s="1285" t="s">
        <v>14</v>
      </c>
      <c r="B59" s="0" t="s">
        <v>3078</v>
      </c>
      <c r="C59" s="0" t="s">
        <v>3079</v>
      </c>
      <c r="D59" s="0" t="s">
        <v>3195</v>
      </c>
      <c r="E59" s="0" t="s">
        <v>3196</v>
      </c>
      <c r="F59" s="0" t="s">
        <v>3082</v>
      </c>
      <c r="G59" s="0" t="s">
        <v>1661</v>
      </c>
    </row>
    <row customHeight="1" ht="11.25">
      <c r="A60" s="1285" t="s">
        <v>14</v>
      </c>
      <c r="B60" s="0" t="s">
        <v>3078</v>
      </c>
      <c r="C60" s="0" t="s">
        <v>3079</v>
      </c>
      <c r="D60" s="0" t="s">
        <v>3197</v>
      </c>
      <c r="E60" s="0" t="s">
        <v>3198</v>
      </c>
      <c r="F60" s="0" t="s">
        <v>3082</v>
      </c>
      <c r="G60" s="0" t="s">
        <v>1664</v>
      </c>
    </row>
    <row customHeight="1" ht="11.25">
      <c r="A61" s="1285" t="s">
        <v>14</v>
      </c>
      <c r="B61" s="0" t="s">
        <v>3078</v>
      </c>
      <c r="C61" s="0" t="s">
        <v>3079</v>
      </c>
      <c r="D61" s="0" t="s">
        <v>3199</v>
      </c>
      <c r="E61" s="0" t="s">
        <v>3200</v>
      </c>
      <c r="F61" s="0" t="s">
        <v>3082</v>
      </c>
      <c r="G61" s="0" t="s">
        <v>3201</v>
      </c>
    </row>
    <row customHeight="1" ht="11.25">
      <c r="A62" s="1285" t="s">
        <v>14</v>
      </c>
      <c r="B62" s="0" t="s">
        <v>3078</v>
      </c>
      <c r="C62" s="0" t="s">
        <v>3079</v>
      </c>
      <c r="D62" s="0" t="s">
        <v>3202</v>
      </c>
      <c r="E62" s="0" t="s">
        <v>3203</v>
      </c>
      <c r="F62" s="0" t="s">
        <v>3082</v>
      </c>
      <c r="G62" s="0" t="s">
        <v>3204</v>
      </c>
    </row>
    <row customHeight="1" ht="11.25">
      <c r="A63" s="1285" t="s">
        <v>14</v>
      </c>
      <c r="B63" s="0" t="s">
        <v>3078</v>
      </c>
      <c r="C63" s="0" t="s">
        <v>3079</v>
      </c>
      <c r="D63" s="0" t="s">
        <v>3205</v>
      </c>
      <c r="E63" s="0" t="s">
        <v>3206</v>
      </c>
      <c r="F63" s="0" t="s">
        <v>3082</v>
      </c>
      <c r="G63" s="0" t="s">
        <v>3207</v>
      </c>
    </row>
    <row customHeight="1" ht="11.25">
      <c r="A64" s="1285" t="s">
        <v>14</v>
      </c>
      <c r="B64" s="0" t="s">
        <v>3078</v>
      </c>
      <c r="C64" s="0" t="s">
        <v>3079</v>
      </c>
      <c r="D64" s="0" t="s">
        <v>3208</v>
      </c>
      <c r="E64" s="0" t="s">
        <v>3209</v>
      </c>
      <c r="F64" s="0" t="s">
        <v>3082</v>
      </c>
      <c r="G64" s="0" t="s">
        <v>3210</v>
      </c>
    </row>
    <row customHeight="1" ht="11.25">
      <c r="A65" s="1285" t="s">
        <v>14</v>
      </c>
      <c r="B65" s="0" t="s">
        <v>3078</v>
      </c>
      <c r="C65" s="0" t="s">
        <v>3079</v>
      </c>
      <c r="D65" s="0" t="s">
        <v>3211</v>
      </c>
      <c r="E65" s="0" t="s">
        <v>3212</v>
      </c>
      <c r="F65" s="0" t="s">
        <v>3082</v>
      </c>
      <c r="G65" s="0" t="s">
        <v>3213</v>
      </c>
    </row>
    <row customHeight="1" ht="11.25">
      <c r="A66" s="1285" t="s">
        <v>14</v>
      </c>
      <c r="B66" s="0" t="s">
        <v>3078</v>
      </c>
      <c r="C66" s="0" t="s">
        <v>3079</v>
      </c>
      <c r="D66" s="0" t="s">
        <v>3214</v>
      </c>
      <c r="E66" s="0" t="s">
        <v>3215</v>
      </c>
      <c r="F66" s="0" t="s">
        <v>3082</v>
      </c>
      <c r="G66" s="0" t="s">
        <v>3216</v>
      </c>
    </row>
    <row customHeight="1" ht="11.25">
      <c r="A67" s="1285" t="s">
        <v>14</v>
      </c>
      <c r="B67" s="0" t="s">
        <v>3078</v>
      </c>
      <c r="C67" s="0" t="s">
        <v>3079</v>
      </c>
      <c r="D67" s="0" t="s">
        <v>3217</v>
      </c>
      <c r="E67" s="0" t="s">
        <v>3218</v>
      </c>
      <c r="F67" s="0" t="s">
        <v>3082</v>
      </c>
      <c r="G67" s="0" t="s">
        <v>1972</v>
      </c>
    </row>
    <row customHeight="1" ht="11.25">
      <c r="A68" s="1285" t="s">
        <v>14</v>
      </c>
      <c r="B68" s="0" t="s">
        <v>3078</v>
      </c>
      <c r="C68" s="0" t="s">
        <v>3079</v>
      </c>
      <c r="D68" s="0" t="s">
        <v>3219</v>
      </c>
      <c r="E68" s="0" t="s">
        <v>3220</v>
      </c>
      <c r="F68" s="0" t="s">
        <v>3082</v>
      </c>
      <c r="G68" s="0" t="s">
        <v>3221</v>
      </c>
    </row>
    <row customHeight="1" ht="11.25">
      <c r="A69" s="1285" t="s">
        <v>14</v>
      </c>
      <c r="B69" s="0" t="s">
        <v>3078</v>
      </c>
      <c r="C69" s="0" t="s">
        <v>3079</v>
      </c>
      <c r="D69" s="0" t="s">
        <v>3222</v>
      </c>
      <c r="E69" s="0" t="s">
        <v>3223</v>
      </c>
      <c r="F69" s="0" t="s">
        <v>3082</v>
      </c>
      <c r="G69" s="0" t="s">
        <v>2183</v>
      </c>
    </row>
    <row customHeight="1" ht="11.25">
      <c r="A70" s="1285" t="s">
        <v>14</v>
      </c>
      <c r="B70" s="0" t="s">
        <v>3078</v>
      </c>
      <c r="C70" s="0" t="s">
        <v>3079</v>
      </c>
      <c r="D70" s="0" t="s">
        <v>3224</v>
      </c>
      <c r="E70" s="0" t="s">
        <v>3225</v>
      </c>
      <c r="F70" s="0" t="s">
        <v>3082</v>
      </c>
      <c r="G70" s="0" t="s">
        <v>3226</v>
      </c>
    </row>
    <row customHeight="1" ht="11.25">
      <c r="A71" s="1285" t="s">
        <v>14</v>
      </c>
      <c r="B71" s="0" t="s">
        <v>3078</v>
      </c>
      <c r="C71" s="0" t="s">
        <v>3079</v>
      </c>
      <c r="D71" s="0" t="s">
        <v>3227</v>
      </c>
      <c r="E71" s="0" t="s">
        <v>3228</v>
      </c>
      <c r="F71" s="0" t="s">
        <v>3082</v>
      </c>
      <c r="G71" s="0" t="s">
        <v>3229</v>
      </c>
    </row>
    <row customHeight="1" ht="11.25">
      <c r="A72" s="1285" t="s">
        <v>14</v>
      </c>
      <c r="B72" s="0" t="s">
        <v>3078</v>
      </c>
      <c r="C72" s="0" t="s">
        <v>3079</v>
      </c>
      <c r="D72" s="0" t="s">
        <v>3230</v>
      </c>
      <c r="E72" s="0" t="s">
        <v>3231</v>
      </c>
      <c r="F72" s="0" t="s">
        <v>3082</v>
      </c>
      <c r="G72" s="0" t="s">
        <v>3232</v>
      </c>
    </row>
    <row customHeight="1" ht="11.25">
      <c r="A73" s="1285" t="s">
        <v>14</v>
      </c>
      <c r="B73" s="0" t="s">
        <v>3078</v>
      </c>
      <c r="C73" s="0" t="s">
        <v>3079</v>
      </c>
      <c r="D73" s="0" t="s">
        <v>3233</v>
      </c>
      <c r="E73" s="0" t="s">
        <v>3234</v>
      </c>
      <c r="F73" s="0" t="s">
        <v>3082</v>
      </c>
      <c r="G73" s="0" t="s">
        <v>3235</v>
      </c>
    </row>
    <row customHeight="1" ht="11.25">
      <c r="A74" s="1285" t="s">
        <v>14</v>
      </c>
      <c r="B74" s="0" t="s">
        <v>3078</v>
      </c>
      <c r="C74" s="0" t="s">
        <v>3079</v>
      </c>
      <c r="D74" s="0" t="s">
        <v>3236</v>
      </c>
      <c r="E74" s="0" t="s">
        <v>3237</v>
      </c>
      <c r="F74" s="0" t="s">
        <v>3082</v>
      </c>
      <c r="G74" s="0" t="s">
        <v>3238</v>
      </c>
    </row>
    <row customHeight="1" ht="11.25">
      <c r="A75" s="1285" t="s">
        <v>14</v>
      </c>
      <c r="B75" s="0" t="s">
        <v>3078</v>
      </c>
      <c r="C75" s="0" t="s">
        <v>3079</v>
      </c>
      <c r="D75" s="0" t="s">
        <v>3239</v>
      </c>
      <c r="E75" s="0" t="s">
        <v>3240</v>
      </c>
      <c r="F75" s="0" t="s">
        <v>3082</v>
      </c>
      <c r="G75" s="0" t="s">
        <v>3241</v>
      </c>
    </row>
    <row customHeight="1" ht="11.25">
      <c r="A76" s="1285" t="s">
        <v>14</v>
      </c>
      <c r="B76" s="0" t="s">
        <v>3078</v>
      </c>
      <c r="C76" s="0" t="s">
        <v>3079</v>
      </c>
      <c r="D76" s="0" t="s">
        <v>3242</v>
      </c>
      <c r="E76" s="0" t="s">
        <v>3243</v>
      </c>
      <c r="F76" s="0" t="s">
        <v>3082</v>
      </c>
      <c r="G76" s="0" t="s">
        <v>3244</v>
      </c>
    </row>
    <row customHeight="1" ht="11.25">
      <c r="A77" s="1285" t="s">
        <v>14</v>
      </c>
      <c r="B77" s="0" t="s">
        <v>3078</v>
      </c>
      <c r="C77" s="0" t="s">
        <v>3079</v>
      </c>
      <c r="D77" s="0" t="s">
        <v>3245</v>
      </c>
      <c r="E77" s="0" t="s">
        <v>3246</v>
      </c>
      <c r="F77" s="0" t="s">
        <v>3082</v>
      </c>
      <c r="G77" s="0" t="s">
        <v>3247</v>
      </c>
    </row>
    <row customHeight="1" ht="11.25">
      <c r="A78" s="1285" t="s">
        <v>14</v>
      </c>
      <c r="B78" s="0" t="s">
        <v>3078</v>
      </c>
      <c r="C78" s="0" t="s">
        <v>3079</v>
      </c>
      <c r="D78" s="0" t="s">
        <v>3248</v>
      </c>
      <c r="E78" s="0" t="s">
        <v>3249</v>
      </c>
      <c r="F78" s="0" t="s">
        <v>3082</v>
      </c>
      <c r="G78" s="0" t="s">
        <v>3250</v>
      </c>
    </row>
    <row customHeight="1" ht="11.25">
      <c r="A79" s="1285" t="s">
        <v>14</v>
      </c>
      <c r="B79" s="0" t="s">
        <v>3078</v>
      </c>
      <c r="C79" s="0" t="s">
        <v>3079</v>
      </c>
      <c r="D79" s="0" t="s">
        <v>3251</v>
      </c>
      <c r="E79" s="0" t="s">
        <v>3252</v>
      </c>
      <c r="F79" s="0" t="s">
        <v>3082</v>
      </c>
      <c r="G79" s="0" t="s">
        <v>3253</v>
      </c>
    </row>
    <row customHeight="1" ht="11.25">
      <c r="A80" s="1285" t="s">
        <v>14</v>
      </c>
      <c r="B80" s="0" t="s">
        <v>3078</v>
      </c>
      <c r="C80" s="0" t="s">
        <v>3079</v>
      </c>
      <c r="D80" s="0" t="s">
        <v>3254</v>
      </c>
      <c r="E80" s="0" t="s">
        <v>3255</v>
      </c>
      <c r="F80" s="0" t="s">
        <v>3082</v>
      </c>
      <c r="G80" s="0" t="s">
        <v>3256</v>
      </c>
    </row>
    <row customHeight="1" ht="11.25">
      <c r="A81" s="1285" t="s">
        <v>14</v>
      </c>
      <c r="B81" s="0" t="s">
        <v>3078</v>
      </c>
      <c r="C81" s="0" t="s">
        <v>3079</v>
      </c>
      <c r="D81" s="0" t="s">
        <v>3257</v>
      </c>
      <c r="E81" s="0" t="s">
        <v>3258</v>
      </c>
      <c r="F81" s="0" t="s">
        <v>3112</v>
      </c>
      <c r="G81" s="0" t="s">
        <v>3259</v>
      </c>
    </row>
    <row customHeight="1" ht="11.25">
      <c r="A82" s="1285" t="s">
        <v>14</v>
      </c>
      <c r="B82" s="0" t="s">
        <v>3078</v>
      </c>
      <c r="C82" s="0" t="s">
        <v>3079</v>
      </c>
      <c r="D82" s="0" t="s">
        <v>3260</v>
      </c>
      <c r="E82" s="0" t="s">
        <v>3261</v>
      </c>
      <c r="F82" s="0" t="s">
        <v>3082</v>
      </c>
      <c r="G82" s="0" t="s">
        <v>3262</v>
      </c>
    </row>
    <row customHeight="1" ht="11.25">
      <c r="A83" s="1285" t="s">
        <v>14</v>
      </c>
      <c r="B83" s="0" t="s">
        <v>3078</v>
      </c>
      <c r="C83" s="0" t="s">
        <v>3079</v>
      </c>
      <c r="D83" s="0" t="s">
        <v>3263</v>
      </c>
      <c r="E83" s="0" t="s">
        <v>3264</v>
      </c>
      <c r="F83" s="0" t="s">
        <v>3082</v>
      </c>
      <c r="G83" s="0" t="s">
        <v>3265</v>
      </c>
    </row>
    <row customHeight="1" ht="11.25">
      <c r="A84" s="1285" t="s">
        <v>14</v>
      </c>
      <c r="B84" s="0" t="s">
        <v>3078</v>
      </c>
      <c r="C84" s="0" t="s">
        <v>3079</v>
      </c>
      <c r="D84" s="0" t="s">
        <v>3266</v>
      </c>
      <c r="E84" s="0" t="s">
        <v>3267</v>
      </c>
      <c r="F84" s="0" t="s">
        <v>3082</v>
      </c>
      <c r="G84" s="0" t="s">
        <v>3268</v>
      </c>
    </row>
    <row customHeight="1" ht="11.25">
      <c r="A85" s="1285" t="s">
        <v>14</v>
      </c>
      <c r="B85" s="0" t="s">
        <v>3078</v>
      </c>
      <c r="C85" s="0" t="s">
        <v>3079</v>
      </c>
      <c r="D85" s="0" t="s">
        <v>3269</v>
      </c>
      <c r="E85" s="0" t="s">
        <v>3270</v>
      </c>
      <c r="F85" s="0" t="s">
        <v>3082</v>
      </c>
      <c r="G85" s="0" t="s">
        <v>3271</v>
      </c>
    </row>
    <row customHeight="1" ht="11.25">
      <c r="A86" s="1285" t="s">
        <v>14</v>
      </c>
      <c r="B86" s="0" t="s">
        <v>3078</v>
      </c>
      <c r="C86" s="0" t="s">
        <v>3079</v>
      </c>
      <c r="D86" s="0" t="s">
        <v>3272</v>
      </c>
      <c r="E86" s="0" t="s">
        <v>3273</v>
      </c>
      <c r="F86" s="0" t="s">
        <v>3082</v>
      </c>
      <c r="G86" s="0" t="s">
        <v>3274</v>
      </c>
    </row>
    <row customHeight="1" ht="11.25">
      <c r="A87" s="1285" t="s">
        <v>14</v>
      </c>
      <c r="B87" s="0" t="s">
        <v>3078</v>
      </c>
      <c r="C87" s="0" t="s">
        <v>3079</v>
      </c>
      <c r="D87" s="0" t="s">
        <v>3275</v>
      </c>
      <c r="E87" s="0" t="s">
        <v>3276</v>
      </c>
      <c r="F87" s="0" t="s">
        <v>3082</v>
      </c>
      <c r="G87" s="0" t="s">
        <v>3277</v>
      </c>
    </row>
    <row customHeight="1" ht="11.25">
      <c r="A88" s="1285" t="s">
        <v>14</v>
      </c>
      <c r="B88" s="0" t="s">
        <v>3078</v>
      </c>
      <c r="C88" s="0" t="s">
        <v>3079</v>
      </c>
      <c r="D88" s="0" t="s">
        <v>3278</v>
      </c>
      <c r="E88" s="0" t="s">
        <v>3279</v>
      </c>
      <c r="F88" s="0" t="s">
        <v>3082</v>
      </c>
      <c r="G88" s="0" t="s">
        <v>3280</v>
      </c>
    </row>
    <row customHeight="1" ht="11.25">
      <c r="A89" s="1285" t="s">
        <v>14</v>
      </c>
      <c r="B89" s="0" t="s">
        <v>3078</v>
      </c>
      <c r="C89" s="0" t="s">
        <v>3079</v>
      </c>
      <c r="D89" s="0" t="s">
        <v>3281</v>
      </c>
      <c r="E89" s="0" t="s">
        <v>3282</v>
      </c>
      <c r="F89" s="0" t="s">
        <v>3082</v>
      </c>
      <c r="G89" s="0" t="s">
        <v>3283</v>
      </c>
    </row>
    <row customHeight="1" ht="11.25">
      <c r="A90" s="1285" t="s">
        <v>14</v>
      </c>
      <c r="B90" s="0" t="s">
        <v>3078</v>
      </c>
      <c r="C90" s="0" t="s">
        <v>3079</v>
      </c>
      <c r="D90" s="0" t="s">
        <v>3284</v>
      </c>
      <c r="E90" s="0" t="s">
        <v>3285</v>
      </c>
      <c r="F90" s="0" t="s">
        <v>3082</v>
      </c>
      <c r="G90" s="0" t="s">
        <v>3286</v>
      </c>
    </row>
    <row customHeight="1" ht="11.25">
      <c r="A91" s="1285" t="s">
        <v>14</v>
      </c>
      <c r="B91" s="0" t="s">
        <v>3078</v>
      </c>
      <c r="C91" s="0" t="s">
        <v>3079</v>
      </c>
      <c r="D91" s="0" t="s">
        <v>3287</v>
      </c>
      <c r="E91" s="0" t="s">
        <v>3288</v>
      </c>
      <c r="F91" s="0" t="s">
        <v>3082</v>
      </c>
      <c r="G91" s="0" t="s">
        <v>3289</v>
      </c>
    </row>
    <row customHeight="1" ht="11.25">
      <c r="A92" s="1285" t="s">
        <v>14</v>
      </c>
      <c r="B92" s="0" t="s">
        <v>3078</v>
      </c>
      <c r="C92" s="0" t="s">
        <v>3079</v>
      </c>
      <c r="D92" s="0" t="s">
        <v>3290</v>
      </c>
      <c r="E92" s="0" t="s">
        <v>3291</v>
      </c>
      <c r="F92" s="0" t="s">
        <v>3082</v>
      </c>
      <c r="G92" s="0" t="s">
        <v>3292</v>
      </c>
    </row>
    <row customHeight="1" ht="11.25">
      <c r="A93" s="1285" t="s">
        <v>14</v>
      </c>
      <c r="B93" s="0" t="s">
        <v>3078</v>
      </c>
      <c r="C93" s="0" t="s">
        <v>3079</v>
      </c>
      <c r="D93" s="0" t="s">
        <v>3293</v>
      </c>
      <c r="E93" s="0" t="s">
        <v>3294</v>
      </c>
      <c r="F93" s="0" t="s">
        <v>3082</v>
      </c>
      <c r="G93" s="0" t="s">
        <v>3295</v>
      </c>
    </row>
    <row customHeight="1" ht="11.25">
      <c r="A94" s="1285" t="s">
        <v>14</v>
      </c>
      <c r="B94" s="0" t="s">
        <v>3078</v>
      </c>
      <c r="C94" s="0" t="s">
        <v>3079</v>
      </c>
      <c r="D94" s="0" t="s">
        <v>3296</v>
      </c>
      <c r="E94" s="0" t="s">
        <v>3297</v>
      </c>
      <c r="F94" s="0" t="s">
        <v>3082</v>
      </c>
      <c r="G94" s="0" t="s">
        <v>3298</v>
      </c>
    </row>
    <row customHeight="1" ht="11.25">
      <c r="A95" s="1285" t="s">
        <v>14</v>
      </c>
      <c r="B95" s="0" t="s">
        <v>3078</v>
      </c>
      <c r="C95" s="0" t="s">
        <v>3079</v>
      </c>
      <c r="D95" s="0" t="s">
        <v>3299</v>
      </c>
      <c r="E95" s="0" t="s">
        <v>3300</v>
      </c>
      <c r="F95" s="0" t="s">
        <v>3082</v>
      </c>
      <c r="G95" s="0" t="s">
        <v>3301</v>
      </c>
    </row>
    <row customHeight="1" ht="11.25">
      <c r="A96" s="1285" t="s">
        <v>14</v>
      </c>
      <c r="B96" s="0" t="s">
        <v>3078</v>
      </c>
      <c r="C96" s="0" t="s">
        <v>3079</v>
      </c>
      <c r="D96" s="0" t="s">
        <v>3302</v>
      </c>
      <c r="E96" s="0" t="s">
        <v>3303</v>
      </c>
      <c r="F96" s="0" t="s">
        <v>3082</v>
      </c>
      <c r="G96" s="0" t="s">
        <v>3304</v>
      </c>
    </row>
    <row customHeight="1" ht="11.25">
      <c r="A97" s="1285" t="s">
        <v>14</v>
      </c>
      <c r="B97" s="0" t="s">
        <v>3078</v>
      </c>
      <c r="C97" s="0" t="s">
        <v>3079</v>
      </c>
      <c r="D97" s="0" t="s">
        <v>3305</v>
      </c>
      <c r="E97" s="0" t="s">
        <v>3306</v>
      </c>
      <c r="F97" s="0" t="s">
        <v>3082</v>
      </c>
      <c r="G97" s="0" t="s">
        <v>3307</v>
      </c>
    </row>
    <row customHeight="1" ht="11.25">
      <c r="A98" s="1285" t="s">
        <v>14</v>
      </c>
      <c r="B98" s="0" t="s">
        <v>3078</v>
      </c>
      <c r="C98" s="0" t="s">
        <v>3079</v>
      </c>
      <c r="D98" s="0" t="s">
        <v>3308</v>
      </c>
      <c r="E98" s="0" t="s">
        <v>3309</v>
      </c>
      <c r="F98" s="0" t="s">
        <v>3082</v>
      </c>
      <c r="G98" s="0" t="s">
        <v>3310</v>
      </c>
    </row>
    <row customHeight="1" ht="11.25">
      <c r="A99" s="1285" t="s">
        <v>14</v>
      </c>
      <c r="B99" s="0" t="s">
        <v>3078</v>
      </c>
      <c r="C99" s="0" t="s">
        <v>3079</v>
      </c>
      <c r="D99" s="0" t="s">
        <v>3311</v>
      </c>
      <c r="E99" s="0" t="s">
        <v>3312</v>
      </c>
      <c r="F99" s="0" t="s">
        <v>3082</v>
      </c>
      <c r="G99" s="0" t="s">
        <v>3313</v>
      </c>
    </row>
    <row customHeight="1" ht="11.25">
      <c r="A100" s="1285" t="s">
        <v>14</v>
      </c>
      <c r="B100" s="0" t="s">
        <v>3078</v>
      </c>
      <c r="C100" s="0" t="s">
        <v>3079</v>
      </c>
      <c r="D100" s="0" t="s">
        <v>3314</v>
      </c>
      <c r="E100" s="0" t="s">
        <v>3315</v>
      </c>
      <c r="F100" s="0" t="s">
        <v>3082</v>
      </c>
      <c r="G100" s="0" t="s">
        <v>3316</v>
      </c>
    </row>
    <row customHeight="1" ht="11.25">
      <c r="A101" s="1285" t="s">
        <v>14</v>
      </c>
      <c r="B101" s="0" t="s">
        <v>3078</v>
      </c>
      <c r="C101" s="0" t="s">
        <v>3079</v>
      </c>
      <c r="D101" s="0" t="s">
        <v>3317</v>
      </c>
      <c r="E101" s="0" t="s">
        <v>3318</v>
      </c>
      <c r="F101" s="0" t="s">
        <v>3082</v>
      </c>
      <c r="G101" s="0" t="s">
        <v>3319</v>
      </c>
    </row>
    <row customHeight="1" ht="11.25">
      <c r="A102" s="1285" t="s">
        <v>14</v>
      </c>
      <c r="B102" s="0" t="s">
        <v>3078</v>
      </c>
      <c r="C102" s="0" t="s">
        <v>3079</v>
      </c>
      <c r="D102" s="0" t="s">
        <v>3320</v>
      </c>
      <c r="E102" s="0" t="s">
        <v>3321</v>
      </c>
      <c r="F102" s="0" t="s">
        <v>3082</v>
      </c>
      <c r="G102" s="0" t="s">
        <v>3322</v>
      </c>
    </row>
    <row customHeight="1" ht="11.25">
      <c r="A103" s="1285" t="s">
        <v>14</v>
      </c>
      <c r="B103" s="0" t="s">
        <v>3078</v>
      </c>
      <c r="C103" s="0" t="s">
        <v>3079</v>
      </c>
      <c r="D103" s="0" t="s">
        <v>3323</v>
      </c>
      <c r="E103" s="0" t="s">
        <v>3324</v>
      </c>
      <c r="F103" s="0" t="s">
        <v>3082</v>
      </c>
      <c r="G103" s="0" t="s">
        <v>3325</v>
      </c>
    </row>
    <row customHeight="1" ht="11.25">
      <c r="A104" s="1285" t="s">
        <v>14</v>
      </c>
      <c r="B104" s="0" t="s">
        <v>3078</v>
      </c>
      <c r="C104" s="0" t="s">
        <v>3079</v>
      </c>
      <c r="D104" s="0" t="s">
        <v>3326</v>
      </c>
      <c r="E104" s="0" t="s">
        <v>3327</v>
      </c>
      <c r="F104" s="0" t="s">
        <v>3082</v>
      </c>
      <c r="G104" s="0" t="s">
        <v>3328</v>
      </c>
    </row>
    <row customHeight="1" ht="11.25">
      <c r="A105" s="1285" t="s">
        <v>14</v>
      </c>
      <c r="B105" s="0" t="s">
        <v>3078</v>
      </c>
      <c r="C105" s="0" t="s">
        <v>3079</v>
      </c>
      <c r="D105" s="0" t="s">
        <v>3329</v>
      </c>
      <c r="E105" s="0" t="s">
        <v>3330</v>
      </c>
      <c r="F105" s="0" t="s">
        <v>3082</v>
      </c>
      <c r="G105" s="0" t="s">
        <v>3331</v>
      </c>
    </row>
    <row customHeight="1" ht="11.25">
      <c r="A106" s="1285" t="s">
        <v>14</v>
      </c>
      <c r="B106" s="0" t="s">
        <v>3078</v>
      </c>
      <c r="C106" s="0" t="s">
        <v>3079</v>
      </c>
      <c r="D106" s="0" t="s">
        <v>3332</v>
      </c>
      <c r="E106" s="0" t="s">
        <v>3333</v>
      </c>
      <c r="F106" s="0" t="s">
        <v>3082</v>
      </c>
      <c r="G106" s="0" t="s">
        <v>3334</v>
      </c>
    </row>
    <row customHeight="1" ht="11.25">
      <c r="A107" s="1285" t="s">
        <v>14</v>
      </c>
      <c r="B107" s="0" t="s">
        <v>3078</v>
      </c>
      <c r="C107" s="0" t="s">
        <v>3079</v>
      </c>
      <c r="D107" s="0" t="s">
        <v>3335</v>
      </c>
      <c r="E107" s="0" t="s">
        <v>3336</v>
      </c>
      <c r="F107" s="0" t="s">
        <v>3082</v>
      </c>
      <c r="G107" s="0" t="s">
        <v>3337</v>
      </c>
    </row>
    <row customHeight="1" ht="11.25">
      <c r="A108" s="1285" t="s">
        <v>14</v>
      </c>
      <c r="B108" s="0" t="s">
        <v>3078</v>
      </c>
      <c r="C108" s="0" t="s">
        <v>3079</v>
      </c>
      <c r="D108" s="0" t="s">
        <v>3338</v>
      </c>
      <c r="E108" s="0" t="s">
        <v>3339</v>
      </c>
      <c r="F108" s="0" t="s">
        <v>3082</v>
      </c>
      <c r="G108" s="0" t="s">
        <v>3340</v>
      </c>
    </row>
    <row customHeight="1" ht="11.25">
      <c r="A109" s="1285" t="s">
        <v>14</v>
      </c>
      <c r="B109" s="0" t="s">
        <v>3078</v>
      </c>
      <c r="C109" s="0" t="s">
        <v>3079</v>
      </c>
      <c r="D109" s="0" t="s">
        <v>3341</v>
      </c>
      <c r="E109" s="0" t="s">
        <v>3342</v>
      </c>
      <c r="F109" s="0" t="s">
        <v>3082</v>
      </c>
      <c r="G109" s="0" t="s">
        <v>3343</v>
      </c>
    </row>
    <row customHeight="1" ht="11.25">
      <c r="A110" s="1285" t="s">
        <v>14</v>
      </c>
      <c r="B110" s="0" t="s">
        <v>3078</v>
      </c>
      <c r="C110" s="0" t="s">
        <v>3079</v>
      </c>
      <c r="D110" s="0" t="s">
        <v>3344</v>
      </c>
      <c r="E110" s="0" t="s">
        <v>3345</v>
      </c>
      <c r="F110" s="0" t="s">
        <v>3082</v>
      </c>
      <c r="G110" s="0" t="s">
        <v>3346</v>
      </c>
    </row>
    <row customHeight="1" ht="11.25">
      <c r="A111" s="1285" t="s">
        <v>14</v>
      </c>
      <c r="B111" s="0" t="s">
        <v>3078</v>
      </c>
      <c r="C111" s="0" t="s">
        <v>3079</v>
      </c>
      <c r="D111" s="0" t="s">
        <v>3347</v>
      </c>
      <c r="E111" s="0" t="s">
        <v>3348</v>
      </c>
      <c r="F111" s="0" t="s">
        <v>3082</v>
      </c>
      <c r="G111" s="0" t="s">
        <v>3349</v>
      </c>
    </row>
    <row customHeight="1" ht="11.25">
      <c r="A112" s="1285" t="s">
        <v>14</v>
      </c>
      <c r="B112" s="0" t="s">
        <v>3078</v>
      </c>
      <c r="C112" s="0" t="s">
        <v>3079</v>
      </c>
      <c r="D112" s="0" t="s">
        <v>3350</v>
      </c>
      <c r="E112" s="0" t="s">
        <v>3351</v>
      </c>
      <c r="F112" s="0" t="s">
        <v>3082</v>
      </c>
      <c r="G112" s="0" t="s">
        <v>3352</v>
      </c>
    </row>
    <row customHeight="1" ht="11.25">
      <c r="A113" s="1285" t="s">
        <v>14</v>
      </c>
      <c r="B113" s="0" t="s">
        <v>3078</v>
      </c>
      <c r="C113" s="0" t="s">
        <v>3079</v>
      </c>
      <c r="D113" s="0" t="s">
        <v>3353</v>
      </c>
      <c r="E113" s="0" t="s">
        <v>3354</v>
      </c>
      <c r="F113" s="0" t="s">
        <v>3112</v>
      </c>
      <c r="G113" s="0" t="s">
        <v>3355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0469E3-04D7-E0B8-0CA1-95A7EAE786C4}" mc:Ignorable="x14ac xr xr2 xr3">
  <sheetPr>
    <tabColor rgb="FFFFCC99"/>
  </sheetPr>
  <dimension ref="A1:I3"/>
  <sheetViews>
    <sheetView topLeftCell="A1" showGridLines="0" workbookViewId="0">
      <selection activeCell="A1" sqref="A1"/>
    </sheetView>
  </sheetViews>
  <sheetFormatPr defaultColWidth="9.140625" customHeight="1" defaultRowHeight="11.25"/>
  <cols>
    <col min="1" max="1" style="42061" width="13.8515625" customWidth="1"/>
    <col min="2" max="2" style="42061" width="10.421875" customWidth="1"/>
    <col min="3" max="3" style="42062" width="7.57421875" customWidth="1"/>
    <col min="4" max="4" style="42061" width="13.8515625" customWidth="1"/>
    <col min="5" max="5" style="42061" width="11.57421875" customWidth="1"/>
    <col min="6" max="6" style="42061" width="16.28125" customWidth="1"/>
    <col min="7" max="7" style="42061" width="16.00390625" customWidth="1"/>
    <col min="8" max="9" style="42061" width="16.140625" customWidth="1"/>
  </cols>
  <sheetData>
    <row customHeight="1" ht="11.25">
      <c r="A1" s="1747" t="s">
        <v>3356</v>
      </c>
      <c r="B1" s="1747" t="s">
        <v>3357</v>
      </c>
      <c r="C1" s="2073" t="s">
        <v>3358</v>
      </c>
      <c r="D1" s="1747" t="s">
        <v>3359</v>
      </c>
      <c r="E1" s="1747" t="s">
        <v>3360</v>
      </c>
      <c r="F1" s="2073" t="s">
        <v>3361</v>
      </c>
      <c r="G1" s="2073" t="s">
        <v>3362</v>
      </c>
      <c r="H1" s="2073" t="s">
        <v>3363</v>
      </c>
      <c r="I1" s="2073" t="s">
        <v>3364</v>
      </c>
    </row>
    <row customHeight="1" ht="11.25">
      <c r="A2" s="8622" t="s">
        <v>102</v>
      </c>
      <c r="B2" s="8622" t="s">
        <v>3365</v>
      </c>
      <c r="C2" s="8622" t="s">
        <v>3366</v>
      </c>
      <c r="D2" s="8622" t="s">
        <v>3367</v>
      </c>
      <c r="E2" s="8622" t="s">
        <v>3368</v>
      </c>
      <c r="F2" s="8622" t="s">
        <v>3369</v>
      </c>
      <c r="G2" s="8622" t="s">
        <v>901</v>
      </c>
      <c r="H2" s="8622" t="s">
        <v>3370</v>
      </c>
      <c r="I2" s="8622" t="s">
        <v>3371</v>
      </c>
    </row>
    <row customHeight="1" ht="11.25">
      <c r="A3" s="8622" t="s">
        <v>103</v>
      </c>
      <c r="B3" s="8622" t="s">
        <v>895</v>
      </c>
      <c r="C3" s="8622" t="s">
        <v>3372</v>
      </c>
      <c r="D3" s="8622" t="s">
        <v>898</v>
      </c>
      <c r="E3" s="8622" t="s">
        <v>899</v>
      </c>
      <c r="F3" s="8622" t="s">
        <v>900</v>
      </c>
      <c r="G3" s="8622" t="s">
        <v>901</v>
      </c>
      <c r="H3" s="8622" t="s">
        <v>902</v>
      </c>
      <c r="I3" s="8622" t="s">
        <v>903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3C1CD9-08DD-AF2E-2CC9-E282332A025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B6209F-2341-3926-4946-232775536319}"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123</v>
      </c>
      <c r="B1" s="79" t="s">
        <v>3373</v>
      </c>
    </row>
    <row customHeight="1" ht="11.25">
      <c r="A2" s="973" t="s">
        <v>94</v>
      </c>
      <c r="B2" s="973" t="s">
        <v>3374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B7CAA1-A038-6456-3CD1-C0C0A51A8AC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2061" width="9.140625"/>
    <col min="2" max="2" style="42061" width="65.28125" customWidth="1"/>
  </cols>
  <sheetData>
    <row customHeight="1" ht="11.25">
      <c r="A1" s="1747" t="s">
        <v>3375</v>
      </c>
      <c r="B1" s="1747" t="s">
        <v>3376</v>
      </c>
    </row>
    <row customHeight="1" ht="11.25">
      <c r="A2" s="1747">
        <v>4213775</v>
      </c>
      <c r="B2" s="1747" t="s">
        <v>1194</v>
      </c>
    </row>
    <row customHeight="1" ht="11.25">
      <c r="A3" s="1747">
        <v>4213784</v>
      </c>
      <c r="B3" s="1747" t="s">
        <v>1229</v>
      </c>
    </row>
    <row customHeight="1" ht="11.25">
      <c r="A4" s="1747">
        <v>4213781</v>
      </c>
      <c r="B4" s="1747" t="s">
        <v>1222</v>
      </c>
    </row>
    <row customHeight="1" ht="11.25">
      <c r="A5" s="1747">
        <v>4213776</v>
      </c>
      <c r="B5" s="1747" t="s">
        <v>159</v>
      </c>
    </row>
    <row customHeight="1" ht="11.25">
      <c r="A6" s="1747">
        <v>4213777</v>
      </c>
      <c r="B6" s="1747" t="s">
        <v>165</v>
      </c>
    </row>
    <row customHeight="1" ht="11.25">
      <c r="A7" s="1747">
        <v>4213778</v>
      </c>
      <c r="B7" s="1747" t="s">
        <v>171</v>
      </c>
    </row>
    <row customHeight="1" ht="11.25">
      <c r="A8" s="1747">
        <v>4213780</v>
      </c>
      <c r="B8" s="1747" t="s">
        <v>177</v>
      </c>
    </row>
    <row customHeight="1" ht="11.25">
      <c r="A9" s="1747">
        <v>4213779</v>
      </c>
      <c r="B9" s="1747" t="s">
        <v>1361</v>
      </c>
    </row>
    <row customHeight="1" ht="11.25">
      <c r="A10" s="1747">
        <v>4213783</v>
      </c>
      <c r="B10" s="1747" t="s">
        <v>195</v>
      </c>
    </row>
    <row customHeight="1" ht="11.25">
      <c r="A11" s="1747">
        <v>4213782</v>
      </c>
      <c r="B11" s="1747" t="s">
        <v>183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884F99-6FCE-772B-4AD6-81BA91DCFF13}"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39981" width="9.140625" hidden="1" customWidth="1"/>
    <col min="2" max="2" style="39982" width="9.140625" hidden="1" customWidth="1"/>
    <col min="3" max="3" style="39983" width="3.7109375" customWidth="1"/>
    <col min="4" max="4" style="39982" width="5.57421875" customWidth="1"/>
    <col min="5" max="5" style="39982" width="48.421875" customWidth="1"/>
    <col min="6" max="6" style="39982" width="38.140625" customWidth="1"/>
    <col min="7" max="7" style="39538" width="1.7109375" hidden="1" customWidth="1"/>
    <col min="8" max="11" style="39982" width="19.8515625" customWidth="1"/>
    <col min="12" max="12" style="39982" width="9.7109375" customWidth="1"/>
    <col min="13" max="18" style="39982" width="19.8515625" customWidth="1"/>
    <col min="19" max="19" style="39538" width="1.7109375" hidden="1" customWidth="1"/>
    <col min="20" max="22" style="39984" width="19.8515625" hidden="1" customWidth="1"/>
    <col min="23" max="23" style="39538" width="1.7109375" hidden="1" customWidth="1"/>
    <col min="24" max="26" style="39984" width="19.8515625" hidden="1" customWidth="1"/>
    <col min="27" max="27" style="39538" width="1.7109375" hidden="1" customWidth="1"/>
    <col min="28" max="29" style="39984" width="19.8515625" hidden="1" customWidth="1"/>
    <col min="30" max="30" style="39538" width="1.7109375" hidden="1" customWidth="1"/>
    <col min="31" max="31" style="39982" width="103.7109375" customWidth="1"/>
    <col min="32" max="34" style="39984" width="103.7109375" hidden="1" customWidth="1"/>
    <col min="35" max="35" style="39985" width="3.7109375" customWidth="1"/>
    <col min="36" max="38" style="39986" width="10.57421875"/>
    <col min="39" max="39" style="39986" width="13.7109375" hidden="1" customWidth="1"/>
    <col min="40" max="40" style="39986" width="15.421875" customWidth="1"/>
    <col min="41" max="41" style="39986" width="16.28125" customWidth="1"/>
    <col min="42" max="45" style="39986" width="10.57421875"/>
  </cols>
  <sheetData>
    <row customHeight="1" ht="14.25" hidden="1">
      <c r="E1" s="1324"/>
      <c r="F1" s="1324"/>
      <c r="G1" s="1324"/>
      <c r="H1" s="3041" t="s">
        <v>343</v>
      </c>
      <c r="I1" s="3041"/>
      <c r="J1" s="3041"/>
      <c r="K1" s="3041"/>
      <c r="L1" s="3041"/>
      <c r="M1" s="3041"/>
      <c r="N1" s="3041"/>
      <c r="O1" s="3041"/>
      <c r="P1" s="3041"/>
      <c r="Q1" s="3041"/>
      <c r="R1" s="3041"/>
      <c r="T1" s="3041" t="s">
        <v>344</v>
      </c>
      <c r="U1" s="3041"/>
      <c r="V1" s="3041"/>
      <c r="X1" s="3041" t="s">
        <v>345</v>
      </c>
      <c r="Y1" s="3041"/>
      <c r="Z1" s="3041"/>
      <c r="AB1" s="3041" t="s">
        <v>346</v>
      </c>
      <c r="AC1" s="3041"/>
    </row>
    <row customHeight="1" ht="14.25" hidden="1"/>
    <row s="39919" customFormat="1" customHeight="1" ht="6">
      <c r="C3" s="1613"/>
      <c r="D3" s="1614"/>
      <c r="E3" s="1614"/>
      <c r="F3" s="1614"/>
      <c r="G3" s="1614"/>
      <c r="H3" s="1614" t="s">
        <v>347</v>
      </c>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J3" s="1423"/>
      <c r="AK3" s="1423"/>
      <c r="AL3" s="1423"/>
      <c r="AM3" s="1423"/>
      <c r="AN3" s="1423"/>
      <c r="AO3" s="1423"/>
      <c r="AP3" s="1423"/>
      <c r="AQ3" s="1423"/>
      <c r="AR3" s="1423"/>
      <c r="AS3" s="1423"/>
    </row>
    <row customHeight="1" ht="37.5">
      <c r="C4" s="1362"/>
      <c r="D4" s="29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84"/>
      <c r="F4" s="2984"/>
      <c r="G4" s="2984"/>
      <c r="H4" s="2984"/>
      <c r="I4" s="2984"/>
      <c r="J4" s="2984"/>
      <c r="K4" s="2984"/>
      <c r="L4" s="2984"/>
      <c r="M4" s="2984"/>
      <c r="N4" s="2984"/>
      <c r="O4" s="2984"/>
      <c r="P4" s="2984"/>
      <c r="Q4" s="2984"/>
      <c r="R4" s="2985"/>
      <c r="S4" s="1765"/>
      <c r="T4" s="1611"/>
      <c r="U4" s="1611"/>
      <c r="V4" s="1611"/>
      <c r="W4" s="1611"/>
      <c r="X4" s="1611"/>
      <c r="Y4" s="1611"/>
      <c r="Z4" s="1611"/>
      <c r="AA4" s="1611"/>
      <c r="AB4" s="1611"/>
      <c r="AC4" s="1611"/>
      <c r="AD4" s="1611"/>
      <c r="AE4" s="1403"/>
      <c r="AF4" s="1403"/>
      <c r="AG4" s="1403"/>
      <c r="AH4" s="1403"/>
      <c r="AI4" s="1400"/>
    </row>
    <row s="39538" customFormat="1" customHeight="1" ht="17.25">
      <c r="A5" s="1671"/>
      <c r="C5" s="1734"/>
      <c r="D5" s="3038" t="str">
        <f>IF(org=0,"Не определено",org)</f>
        <v>ПАО "ТГК-1" филиал "Невский"</v>
      </c>
      <c r="E5" s="3039"/>
      <c r="F5" s="3039"/>
      <c r="G5" s="3039"/>
      <c r="H5" s="3039"/>
      <c r="I5" s="3039"/>
      <c r="J5" s="3039"/>
      <c r="K5" s="3039"/>
      <c r="L5" s="3039"/>
      <c r="M5" s="3039"/>
      <c r="N5" s="3039"/>
      <c r="O5" s="3039"/>
      <c r="P5" s="3039"/>
      <c r="Q5" s="3039"/>
      <c r="R5" s="3040"/>
      <c r="S5" s="1765"/>
      <c r="T5" s="1611"/>
      <c r="U5" s="1611"/>
      <c r="V5" s="1611"/>
      <c r="W5" s="1611"/>
      <c r="X5" s="1611"/>
      <c r="Y5" s="1611"/>
      <c r="Z5" s="1611"/>
      <c r="AA5" s="1611"/>
      <c r="AB5" s="1611"/>
      <c r="AC5" s="1611"/>
      <c r="AD5" s="1611"/>
      <c r="AE5" s="1403"/>
      <c r="AF5" s="1403"/>
      <c r="AG5" s="1403"/>
      <c r="AH5" s="1403"/>
      <c r="AI5" s="1400"/>
      <c r="AJ5" s="1423"/>
      <c r="AK5" s="1423"/>
      <c r="AL5" s="1423"/>
      <c r="AM5" s="1423"/>
      <c r="AN5" s="1423"/>
      <c r="AO5" s="1423"/>
      <c r="AP5" s="1423"/>
      <c r="AQ5" s="1423"/>
      <c r="AR5" s="1423"/>
      <c r="AS5" s="1423"/>
    </row>
    <row s="39931" customFormat="1" customHeight="1" ht="11.25">
      <c r="A6" s="1391"/>
      <c r="C6" s="1398"/>
      <c r="D6" s="1397"/>
      <c r="E6" s="1397"/>
      <c r="F6" s="1397"/>
      <c r="G6" s="1397"/>
      <c r="H6" s="1397"/>
      <c r="I6" s="1397"/>
      <c r="J6" s="1397"/>
      <c r="K6" s="1397"/>
      <c r="L6" s="1397"/>
      <c r="M6" s="1397"/>
      <c r="N6" s="1397"/>
      <c r="O6" s="1397"/>
      <c r="P6" s="1397"/>
      <c r="Q6" s="1397"/>
      <c r="R6" s="1664"/>
      <c r="S6" s="1664"/>
      <c r="T6" s="1397"/>
      <c r="U6" s="1397"/>
      <c r="V6" s="1624"/>
      <c r="W6" s="1624"/>
      <c r="X6" s="1397"/>
      <c r="Y6" s="1397"/>
      <c r="Z6" s="1624"/>
      <c r="AA6" s="1624"/>
      <c r="AB6" s="1397"/>
      <c r="AC6" s="1624"/>
      <c r="AD6" s="1624"/>
      <c r="AE6" s="1397"/>
      <c r="AF6" s="1397"/>
      <c r="AG6" s="1397"/>
      <c r="AH6" s="1397"/>
      <c r="AJ6" s="1401"/>
      <c r="AK6" s="1401"/>
      <c r="AL6" s="1401"/>
      <c r="AM6" s="1401"/>
      <c r="AN6" s="1401"/>
      <c r="AO6" s="1401"/>
      <c r="AP6" s="1401"/>
      <c r="AQ6" s="1401"/>
      <c r="AR6" s="1401"/>
      <c r="AS6" s="1401"/>
    </row>
    <row customHeight="1" ht="14.25">
      <c r="C7" s="1362"/>
      <c r="D7" s="3042" t="s">
        <v>291</v>
      </c>
      <c r="E7" s="3043"/>
      <c r="F7" s="3043"/>
      <c r="G7" s="3043"/>
      <c r="H7" s="3043"/>
      <c r="I7" s="3043"/>
      <c r="J7" s="3043"/>
      <c r="K7" s="3043"/>
      <c r="L7" s="3043"/>
      <c r="M7" s="3043"/>
      <c r="N7" s="3043"/>
      <c r="O7" s="3043"/>
      <c r="P7" s="3043"/>
      <c r="Q7" s="3043"/>
      <c r="R7" s="3043"/>
      <c r="S7" s="3043"/>
      <c r="T7" s="3043"/>
      <c r="U7" s="3043"/>
      <c r="V7" s="3043"/>
      <c r="W7" s="3043"/>
      <c r="X7" s="3043"/>
      <c r="Y7" s="3043"/>
      <c r="Z7" s="3043"/>
      <c r="AA7" s="3043"/>
      <c r="AB7" s="3043"/>
      <c r="AC7" s="3043"/>
      <c r="AD7" s="3044"/>
      <c r="AE7" s="3047" t="s">
        <v>292</v>
      </c>
      <c r="AF7" s="3047" t="s">
        <v>292</v>
      </c>
      <c r="AG7" s="3047" t="s">
        <v>292</v>
      </c>
      <c r="AH7" s="3047" t="s">
        <v>292</v>
      </c>
    </row>
    <row customHeight="1" ht="25.5">
      <c r="C8" s="1362"/>
      <c r="D8" s="2953" t="s">
        <v>84</v>
      </c>
      <c r="E8" s="3047" t="str">
        <f>"Наименование "&amp;IF(TEMPLATE_SPHERE&lt;&gt;"HEAT","централизованной ","")&amp;"системы "&amp;TEMPLATE_SPHERE_RUS</f>
        <v>Наименование системы теплоснабжения</v>
      </c>
      <c r="F8" s="3047" t="str">
        <f>IF(TEMPLATE_SPHERE&lt;&gt;"HEAT","Регулируемый вид деятельности","Вид регулируемой деятельности")</f>
        <v>Вид регулируемой деятельности</v>
      </c>
      <c r="G8" s="1740"/>
      <c r="H8" s="3048" t="s">
        <v>348</v>
      </c>
      <c r="I8" s="3050" t="s">
        <v>349</v>
      </c>
      <c r="J8" s="3047" t="s">
        <v>350</v>
      </c>
      <c r="K8" s="3047"/>
      <c r="L8" s="3047"/>
      <c r="M8" s="3042"/>
      <c r="N8" s="3047" t="s">
        <v>351</v>
      </c>
      <c r="O8" s="3047"/>
      <c r="P8" s="3047" t="s">
        <v>352</v>
      </c>
      <c r="Q8" s="3047"/>
      <c r="R8" s="3054" t="s">
        <v>353</v>
      </c>
      <c r="S8" s="1736"/>
      <c r="T8" s="3052" t="s">
        <v>354</v>
      </c>
      <c r="U8" s="3052" t="s">
        <v>355</v>
      </c>
      <c r="V8" s="3052" t="s">
        <v>356</v>
      </c>
      <c r="W8" s="1738"/>
      <c r="X8" s="3052" t="s">
        <v>357</v>
      </c>
      <c r="Y8" s="3052" t="s">
        <v>358</v>
      </c>
      <c r="Z8" s="3052" t="s">
        <v>359</v>
      </c>
      <c r="AA8" s="1738"/>
      <c r="AB8" s="3052" t="s">
        <v>360</v>
      </c>
      <c r="AC8" s="3052" t="s">
        <v>353</v>
      </c>
      <c r="AD8" s="1738"/>
      <c r="AE8" s="3047"/>
      <c r="AF8" s="3047"/>
      <c r="AG8" s="3047"/>
      <c r="AH8" s="3047"/>
    </row>
    <row customHeight="1" ht="43.5">
      <c r="C9" s="1362"/>
      <c r="D9" s="2953"/>
      <c r="E9" s="3047"/>
      <c r="F9" s="3047"/>
      <c r="G9" s="1741"/>
      <c r="H9" s="3049"/>
      <c r="I9" s="3051"/>
      <c r="J9" s="1337" t="s">
        <v>361</v>
      </c>
      <c r="K9" s="1337" t="s">
        <v>362</v>
      </c>
      <c r="L9" s="1337" t="s">
        <v>363</v>
      </c>
      <c r="M9" s="1343" t="s">
        <v>364</v>
      </c>
      <c r="N9" s="1337" t="s">
        <v>365</v>
      </c>
      <c r="O9" s="1337" t="s">
        <v>364</v>
      </c>
      <c r="P9" s="1337" t="s">
        <v>366</v>
      </c>
      <c r="Q9" s="1337" t="s">
        <v>364</v>
      </c>
      <c r="R9" s="3055"/>
      <c r="S9" s="1737"/>
      <c r="T9" s="3053"/>
      <c r="U9" s="3053"/>
      <c r="V9" s="3053"/>
      <c r="W9" s="1739"/>
      <c r="X9" s="3053"/>
      <c r="Y9" s="3053"/>
      <c r="Z9" s="3053"/>
      <c r="AA9" s="1739"/>
      <c r="AB9" s="3053"/>
      <c r="AC9" s="3053"/>
      <c r="AD9" s="1739"/>
      <c r="AE9" s="3047"/>
      <c r="AF9" s="3047"/>
      <c r="AG9" s="3047"/>
      <c r="AH9" s="3047"/>
    </row>
    <row customHeight="1" ht="12" hidden="1">
      <c r="C10" s="1399"/>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59"/>
      <c r="AP10" s="1412"/>
      <c r="AQ10" s="1412"/>
    </row>
    <row s="39960" customFormat="1" customHeight="1" ht="11.25" hidden="1">
      <c r="C11" s="1410"/>
      <c r="D11" s="1411" t="s">
        <v>367</v>
      </c>
      <c r="E11" s="1411"/>
      <c r="F11" s="1411"/>
      <c r="G11" s="1411"/>
      <c r="H11" s="1409"/>
      <c r="I11" s="1409"/>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347"/>
      <c r="AF11" s="1347"/>
      <c r="AG11" s="1347"/>
      <c r="AH11" s="1347"/>
      <c r="AJ11" s="1401"/>
      <c r="AK11" s="1401"/>
      <c r="AL11" s="1401"/>
      <c r="AM11" s="1401"/>
      <c r="AN11" s="1401"/>
      <c r="AO11" s="1401"/>
      <c r="AP11" s="1401"/>
      <c r="AQ11" s="1401"/>
      <c r="AR11" s="1401"/>
      <c r="AS11" s="1401"/>
    </row>
    <row customHeight="1" ht="14.25">
      <c r="A12" s="1359"/>
      <c r="C12" s="1362"/>
      <c r="D12" s="1346" t="s">
        <v>102</v>
      </c>
      <c r="E12" s="2692" t="s">
        <v>18</v>
      </c>
      <c r="F12" s="1767"/>
      <c r="G12" s="1768"/>
      <c r="H12" s="2693"/>
      <c r="I12" s="2693"/>
      <c r="J12" s="1345"/>
      <c r="K12" s="2779"/>
      <c r="L12" s="1344"/>
      <c r="M12" s="2779"/>
      <c r="N12" s="1345"/>
      <c r="O12" s="2779"/>
      <c r="P12" s="1345"/>
      <c r="Q12" s="2779"/>
      <c r="R12" s="1345"/>
      <c r="S12" s="1766"/>
      <c r="T12" s="2693"/>
      <c r="U12" s="1345"/>
      <c r="V12" s="1345"/>
      <c r="W12" s="1739"/>
      <c r="X12" s="2693"/>
      <c r="Y12" s="1345"/>
      <c r="Z12" s="1345"/>
      <c r="AA12" s="1739"/>
      <c r="AB12" s="2693"/>
      <c r="AC12" s="1345"/>
      <c r="AD12" s="1739"/>
      <c r="AE12" s="3045" t="s">
        <v>368</v>
      </c>
      <c r="AF12" s="3045" t="s">
        <v>369</v>
      </c>
      <c r="AG12" s="3045" t="s">
        <v>370</v>
      </c>
      <c r="AH12" s="3045" t="s">
        <v>371</v>
      </c>
      <c r="AI12" s="1359"/>
      <c r="AM12" s="1423"/>
      <c r="AP12" s="1412" t="s">
        <v>372</v>
      </c>
      <c r="AQ12" s="1412" t="s">
        <v>372</v>
      </c>
    </row>
    <row customHeight="1" ht="17.25">
      <c r="A13" s="1359"/>
      <c r="C13" s="1362"/>
      <c r="D13" s="1317"/>
      <c r="E13" s="1781" t="str">
        <f>IF(TITLE_DIFFERENTIATION_TYPE="нет","","Добавить систему")</f>
        <v/>
      </c>
      <c r="F13" s="1781" t="str">
        <f>IF(TITLE_DIFFERENTIATION_TYPE="нет","Добавить вид деятельности","")</f>
        <v>Добавить вид деятельности</v>
      </c>
      <c r="G13" s="1225"/>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769"/>
      <c r="AE13" s="3046"/>
      <c r="AF13" s="3046"/>
      <c r="AG13" s="3046"/>
      <c r="AH13" s="3046"/>
      <c r="AI13" s="1359"/>
    </row>
    <row customHeight="1" ht="14.25">
      <c r="AI14" s="1359"/>
    </row>
    <row customHeight="1" ht="14.25">
      <c r="E15" s="1670"/>
      <c r="L15" s="1670"/>
    </row>
    <row customHeight="1" ht="14.25">
      <c r="L16" s="1670"/>
    </row>
    <row customHeight="1" ht="14.25">
      <c r="L17" s="1670"/>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74E16-9E2D-4598-5872-27D2A292A91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2061" width="9.140625"/>
    <col min="2" max="2" style="42061" width="65.28125" customWidth="1"/>
  </cols>
  <sheetData>
    <row customHeight="1" ht="11.25">
      <c r="A1" s="1747" t="s">
        <v>3375</v>
      </c>
      <c r="B1" s="1747" t="s">
        <v>3377</v>
      </c>
    </row>
    <row customHeight="1" ht="11.25">
      <c r="A2" s="1747" t="s">
        <v>3378</v>
      </c>
      <c r="B2" s="1747" t="s">
        <v>1463</v>
      </c>
    </row>
    <row customHeight="1" ht="11.25">
      <c r="A3" s="1747" t="s">
        <v>3379</v>
      </c>
      <c r="B3" s="1747" t="s">
        <v>1472</v>
      </c>
    </row>
    <row customHeight="1" ht="11.25">
      <c r="A4" s="1747" t="s">
        <v>3380</v>
      </c>
      <c r="B4" s="1747" t="s">
        <v>1481</v>
      </c>
    </row>
    <row customHeight="1" ht="11.25">
      <c r="A5" s="1747" t="s">
        <v>3381</v>
      </c>
      <c r="B5" s="1747" t="s">
        <v>1490</v>
      </c>
    </row>
    <row customHeight="1" ht="11.25">
      <c r="A6" s="1747" t="s">
        <v>3382</v>
      </c>
      <c r="B6" s="1747" t="s">
        <v>1496</v>
      </c>
    </row>
    <row customHeight="1" ht="11.25">
      <c r="A7" s="1747" t="s">
        <v>3383</v>
      </c>
      <c r="B7" s="1747" t="s">
        <v>1504</v>
      </c>
    </row>
    <row customHeight="1" ht="11.25">
      <c r="A8" s="1747" t="s">
        <v>3384</v>
      </c>
      <c r="B8" s="1747" t="s">
        <v>1510</v>
      </c>
    </row>
    <row customHeight="1" ht="11.25">
      <c r="A9" s="1747" t="s">
        <v>3385</v>
      </c>
      <c r="B9" s="1747" t="s">
        <v>1516</v>
      </c>
    </row>
    <row customHeight="1" ht="11.25">
      <c r="A10" s="1747" t="s">
        <v>3386</v>
      </c>
      <c r="B10" s="1747" t="s">
        <v>1520</v>
      </c>
    </row>
    <row customHeight="1" ht="11.25">
      <c r="A11" s="1747" t="s">
        <v>3387</v>
      </c>
      <c r="B11" s="1747" t="s">
        <v>1527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BDACE3-048E-A7AF-122D-A1EE4B8D3932}"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1285" t="s">
        <v>3077</v>
      </c>
      <c r="B1" s="1285" t="s">
        <v>3072</v>
      </c>
      <c r="C1" s="1285" t="s">
        <v>3074</v>
      </c>
      <c r="D1" s="1285" t="s">
        <v>3075</v>
      </c>
    </row>
    <row customHeight="1" ht="11.25">
      <c r="A2" s="0">
        <v>1</v>
      </c>
      <c r="B2" s="0" t="s">
        <v>3388</v>
      </c>
      <c r="C2" s="0" t="s">
        <v>3388</v>
      </c>
      <c r="D2" s="0" t="s">
        <v>3389</v>
      </c>
    </row>
    <row customHeight="1" ht="11.25">
      <c r="A3" s="0">
        <v>2</v>
      </c>
      <c r="B3" s="0" t="s">
        <v>3388</v>
      </c>
      <c r="C3" s="0" t="s">
        <v>3390</v>
      </c>
      <c r="D3" s="0" t="s">
        <v>3391</v>
      </c>
    </row>
    <row customHeight="1" ht="11.25">
      <c r="A4" s="0">
        <v>3</v>
      </c>
      <c r="B4" s="0" t="s">
        <v>3388</v>
      </c>
      <c r="C4" s="0" t="s">
        <v>3392</v>
      </c>
      <c r="D4" s="0" t="s">
        <v>3393</v>
      </c>
    </row>
    <row customHeight="1" ht="11.25">
      <c r="A5" s="0">
        <v>4</v>
      </c>
      <c r="B5" s="0" t="s">
        <v>3388</v>
      </c>
      <c r="C5" s="0" t="s">
        <v>3394</v>
      </c>
      <c r="D5" s="0" t="s">
        <v>3395</v>
      </c>
    </row>
    <row customHeight="1" ht="11.25">
      <c r="A6" s="0">
        <v>5</v>
      </c>
      <c r="B6" s="0" t="s">
        <v>3388</v>
      </c>
      <c r="C6" s="0" t="s">
        <v>3396</v>
      </c>
      <c r="D6" s="0" t="s">
        <v>3397</v>
      </c>
    </row>
    <row customHeight="1" ht="11.25">
      <c r="A7" s="0">
        <v>6</v>
      </c>
      <c r="B7" s="0" t="s">
        <v>3388</v>
      </c>
      <c r="C7" s="0" t="s">
        <v>3398</v>
      </c>
      <c r="D7" s="0" t="s">
        <v>3399</v>
      </c>
    </row>
    <row customHeight="1" ht="11.25">
      <c r="A8" s="0">
        <v>7</v>
      </c>
      <c r="B8" s="0" t="s">
        <v>3388</v>
      </c>
      <c r="C8" s="0" t="s">
        <v>3400</v>
      </c>
      <c r="D8" s="0" t="s">
        <v>3401</v>
      </c>
    </row>
    <row customHeight="1" ht="11.25">
      <c r="A9" s="0">
        <v>8</v>
      </c>
      <c r="B9" s="0" t="s">
        <v>3388</v>
      </c>
      <c r="C9" s="0" t="s">
        <v>3402</v>
      </c>
      <c r="D9" s="0" t="s">
        <v>3403</v>
      </c>
    </row>
    <row customHeight="1" ht="11.25">
      <c r="A10" s="0">
        <v>9</v>
      </c>
      <c r="B10" s="0" t="s">
        <v>3388</v>
      </c>
      <c r="C10" s="0" t="s">
        <v>3404</v>
      </c>
      <c r="D10" s="0" t="s">
        <v>3405</v>
      </c>
    </row>
    <row customHeight="1" ht="11.25">
      <c r="A11" s="0">
        <v>10</v>
      </c>
      <c r="B11" s="0" t="s">
        <v>3388</v>
      </c>
      <c r="C11" s="0" t="s">
        <v>3406</v>
      </c>
      <c r="D11" s="0" t="s">
        <v>3407</v>
      </c>
    </row>
    <row customHeight="1" ht="11.25">
      <c r="A12" s="0">
        <v>11</v>
      </c>
      <c r="B12" s="0" t="s">
        <v>3388</v>
      </c>
      <c r="C12" s="0" t="s">
        <v>3408</v>
      </c>
      <c r="D12" s="0" t="s">
        <v>3409</v>
      </c>
    </row>
    <row customHeight="1" ht="11.25">
      <c r="A13" s="0">
        <v>13</v>
      </c>
      <c r="B13" s="0" t="s">
        <v>3388</v>
      </c>
      <c r="C13" s="0" t="s">
        <v>3410</v>
      </c>
      <c r="D13" s="0" t="s">
        <v>3411</v>
      </c>
    </row>
    <row customHeight="1" ht="11.25">
      <c r="A14" s="0">
        <v>14</v>
      </c>
      <c r="B14" s="0" t="s">
        <v>3388</v>
      </c>
      <c r="C14" s="0" t="s">
        <v>3412</v>
      </c>
      <c r="D14" s="0" t="s">
        <v>3413</v>
      </c>
    </row>
    <row customHeight="1" ht="11.25">
      <c r="A15" s="0">
        <v>15</v>
      </c>
      <c r="B15" s="0" t="s">
        <v>3388</v>
      </c>
      <c r="C15" s="0" t="s">
        <v>3414</v>
      </c>
      <c r="D15" s="0" t="s">
        <v>3415</v>
      </c>
    </row>
    <row customHeight="1" ht="11.25">
      <c r="A16" s="0">
        <v>16</v>
      </c>
      <c r="B16" s="0" t="s">
        <v>3388</v>
      </c>
      <c r="C16" s="0" t="s">
        <v>3416</v>
      </c>
      <c r="D16" s="0" t="s">
        <v>3417</v>
      </c>
    </row>
    <row customHeight="1" ht="11.25">
      <c r="A17" s="0">
        <v>17</v>
      </c>
      <c r="B17" s="0" t="s">
        <v>3388</v>
      </c>
      <c r="C17" s="0" t="s">
        <v>3418</v>
      </c>
      <c r="D17" s="0" t="s">
        <v>3419</v>
      </c>
    </row>
    <row customHeight="1" ht="11.25">
      <c r="A18" s="0">
        <v>18</v>
      </c>
      <c r="B18" s="0" t="s">
        <v>3388</v>
      </c>
      <c r="C18" s="0" t="s">
        <v>3420</v>
      </c>
      <c r="D18" s="0" t="s">
        <v>3421</v>
      </c>
    </row>
    <row customHeight="1" ht="11.25">
      <c r="A19" s="0">
        <v>19</v>
      </c>
      <c r="B19" s="0" t="s">
        <v>3388</v>
      </c>
      <c r="C19" s="0" t="s">
        <v>3422</v>
      </c>
      <c r="D19" s="0" t="s">
        <v>3423</v>
      </c>
    </row>
    <row customHeight="1" ht="11.25">
      <c r="A20" s="0">
        <v>20</v>
      </c>
      <c r="B20" s="0" t="s">
        <v>3388</v>
      </c>
      <c r="C20" s="0" t="s">
        <v>3424</v>
      </c>
      <c r="D20" s="0" t="s">
        <v>3425</v>
      </c>
    </row>
    <row customHeight="1" ht="11.25">
      <c r="A21" s="0">
        <v>21</v>
      </c>
      <c r="B21" s="0" t="s">
        <v>3426</v>
      </c>
      <c r="C21" s="0" t="s">
        <v>3427</v>
      </c>
      <c r="D21" s="0" t="s">
        <v>3428</v>
      </c>
    </row>
    <row customHeight="1" ht="11.25">
      <c r="A22" s="0">
        <v>22</v>
      </c>
      <c r="B22" s="0" t="s">
        <v>3426</v>
      </c>
      <c r="C22" s="0" t="s">
        <v>3426</v>
      </c>
      <c r="D22" s="0" t="s">
        <v>3429</v>
      </c>
    </row>
    <row customHeight="1" ht="11.25">
      <c r="A23" s="0">
        <v>23</v>
      </c>
      <c r="B23" s="0" t="s">
        <v>3426</v>
      </c>
      <c r="C23" s="0" t="s">
        <v>3430</v>
      </c>
      <c r="D23" s="0" t="s">
        <v>3431</v>
      </c>
    </row>
    <row customHeight="1" ht="11.25">
      <c r="A24" s="0">
        <v>24</v>
      </c>
      <c r="B24" s="0" t="s">
        <v>3426</v>
      </c>
      <c r="C24" s="0" t="s">
        <v>3432</v>
      </c>
      <c r="D24" s="0" t="s">
        <v>3433</v>
      </c>
    </row>
    <row customHeight="1" ht="11.25">
      <c r="A25" s="0">
        <v>25</v>
      </c>
      <c r="B25" s="0" t="s">
        <v>3426</v>
      </c>
      <c r="C25" s="0" t="s">
        <v>3434</v>
      </c>
      <c r="D25" s="0" t="s">
        <v>3435</v>
      </c>
    </row>
    <row customHeight="1" ht="11.25">
      <c r="A26" s="0">
        <v>26</v>
      </c>
      <c r="B26" s="0" t="s">
        <v>3426</v>
      </c>
      <c r="C26" s="0" t="s">
        <v>3436</v>
      </c>
      <c r="D26" s="0" t="s">
        <v>3437</v>
      </c>
    </row>
    <row customHeight="1" ht="11.25">
      <c r="A27" s="0">
        <v>27</v>
      </c>
      <c r="B27" s="0" t="s">
        <v>3426</v>
      </c>
      <c r="C27" s="0" t="s">
        <v>3438</v>
      </c>
      <c r="D27" s="0" t="s">
        <v>3439</v>
      </c>
    </row>
    <row customHeight="1" ht="11.25">
      <c r="A28" s="0">
        <v>28</v>
      </c>
      <c r="B28" s="0" t="s">
        <v>3426</v>
      </c>
      <c r="C28" s="0" t="s">
        <v>3440</v>
      </c>
      <c r="D28" s="0" t="s">
        <v>3441</v>
      </c>
    </row>
    <row customHeight="1" ht="11.25">
      <c r="A29" s="0">
        <v>29</v>
      </c>
      <c r="B29" s="0" t="s">
        <v>3426</v>
      </c>
      <c r="C29" s="0" t="s">
        <v>3442</v>
      </c>
      <c r="D29" s="0" t="s">
        <v>3443</v>
      </c>
    </row>
    <row customHeight="1" ht="11.25">
      <c r="A30" s="0">
        <v>30</v>
      </c>
      <c r="B30" s="0" t="s">
        <v>3426</v>
      </c>
      <c r="C30" s="0" t="s">
        <v>3444</v>
      </c>
      <c r="D30" s="0" t="s">
        <v>3445</v>
      </c>
    </row>
    <row customHeight="1" ht="11.25">
      <c r="A31" s="0">
        <v>31</v>
      </c>
      <c r="B31" s="0" t="s">
        <v>3426</v>
      </c>
      <c r="C31" s="0" t="s">
        <v>3446</v>
      </c>
      <c r="D31" s="0" t="s">
        <v>3447</v>
      </c>
    </row>
    <row customHeight="1" ht="11.25">
      <c r="A32" s="0">
        <v>32</v>
      </c>
      <c r="B32" s="0" t="s">
        <v>3448</v>
      </c>
      <c r="C32" s="0" t="s">
        <v>3448</v>
      </c>
      <c r="D32" s="0" t="s">
        <v>3449</v>
      </c>
    </row>
    <row customHeight="1" ht="11.25">
      <c r="A33" s="0">
        <v>33</v>
      </c>
      <c r="B33" s="0" t="s">
        <v>3448</v>
      </c>
      <c r="C33" s="0" t="s">
        <v>3450</v>
      </c>
      <c r="D33" s="0" t="s">
        <v>3451</v>
      </c>
    </row>
    <row customHeight="1" ht="11.25">
      <c r="A34" s="0">
        <v>34</v>
      </c>
      <c r="B34" s="0" t="s">
        <v>3448</v>
      </c>
      <c r="C34" s="0" t="s">
        <v>3452</v>
      </c>
      <c r="D34" s="0" t="s">
        <v>3453</v>
      </c>
    </row>
    <row customHeight="1" ht="11.25">
      <c r="A35" s="0">
        <v>35</v>
      </c>
      <c r="B35" s="0" t="s">
        <v>3448</v>
      </c>
      <c r="C35" s="0" t="s">
        <v>3454</v>
      </c>
      <c r="D35" s="0" t="s">
        <v>3455</v>
      </c>
    </row>
    <row customHeight="1" ht="11.25">
      <c r="A36" s="0">
        <v>36</v>
      </c>
      <c r="B36" s="0" t="s">
        <v>3448</v>
      </c>
      <c r="C36" s="0" t="s">
        <v>3456</v>
      </c>
      <c r="D36" s="0" t="s">
        <v>3457</v>
      </c>
    </row>
    <row customHeight="1" ht="11.25">
      <c r="A37" s="0">
        <v>37</v>
      </c>
      <c r="B37" s="0" t="s">
        <v>3448</v>
      </c>
      <c r="C37" s="0" t="s">
        <v>3458</v>
      </c>
      <c r="D37" s="0" t="s">
        <v>3459</v>
      </c>
    </row>
    <row customHeight="1" ht="11.25">
      <c r="A38" s="0">
        <v>38</v>
      </c>
      <c r="B38" s="0" t="s">
        <v>3448</v>
      </c>
      <c r="C38" s="0" t="s">
        <v>3414</v>
      </c>
      <c r="D38" s="0" t="s">
        <v>3460</v>
      </c>
    </row>
    <row customHeight="1" ht="11.25">
      <c r="A39" s="0">
        <v>39</v>
      </c>
      <c r="B39" s="0" t="s">
        <v>3448</v>
      </c>
      <c r="C39" s="0" t="s">
        <v>3461</v>
      </c>
      <c r="D39" s="0" t="s">
        <v>3462</v>
      </c>
    </row>
    <row customHeight="1" ht="11.25">
      <c r="A40" s="0">
        <v>40</v>
      </c>
      <c r="B40" s="0" t="s">
        <v>3448</v>
      </c>
      <c r="C40" s="0" t="s">
        <v>3463</v>
      </c>
      <c r="D40" s="0" t="s">
        <v>3464</v>
      </c>
    </row>
    <row customHeight="1" ht="11.25">
      <c r="A41" s="0">
        <v>41</v>
      </c>
      <c r="B41" s="0" t="s">
        <v>3465</v>
      </c>
      <c r="C41" s="0" t="s">
        <v>3465</v>
      </c>
      <c r="D41" s="0" t="s">
        <v>3466</v>
      </c>
    </row>
    <row customHeight="1" ht="11.25">
      <c r="A42" s="0">
        <v>42</v>
      </c>
      <c r="B42" s="0" t="s">
        <v>3465</v>
      </c>
      <c r="C42" s="0" t="s">
        <v>3467</v>
      </c>
      <c r="D42" s="0" t="s">
        <v>3468</v>
      </c>
    </row>
    <row customHeight="1" ht="11.25">
      <c r="A43" s="0">
        <v>43</v>
      </c>
      <c r="B43" s="0" t="s">
        <v>3465</v>
      </c>
      <c r="C43" s="0" t="s">
        <v>3469</v>
      </c>
      <c r="D43" s="0" t="s">
        <v>3470</v>
      </c>
    </row>
    <row customHeight="1" ht="11.25">
      <c r="A44" s="0">
        <v>44</v>
      </c>
      <c r="B44" s="0" t="s">
        <v>3465</v>
      </c>
      <c r="C44" s="0" t="s">
        <v>3471</v>
      </c>
      <c r="D44" s="0" t="s">
        <v>3472</v>
      </c>
    </row>
    <row customHeight="1" ht="11.25">
      <c r="A45" s="0">
        <v>45</v>
      </c>
      <c r="B45" s="0" t="s">
        <v>3465</v>
      </c>
      <c r="C45" s="0" t="s">
        <v>3473</v>
      </c>
      <c r="D45" s="0" t="s">
        <v>3474</v>
      </c>
    </row>
    <row customHeight="1" ht="11.25">
      <c r="A46" s="0">
        <v>46</v>
      </c>
      <c r="B46" s="0" t="s">
        <v>3465</v>
      </c>
      <c r="C46" s="0" t="s">
        <v>3475</v>
      </c>
      <c r="D46" s="0" t="s">
        <v>3476</v>
      </c>
    </row>
    <row customHeight="1" ht="11.25">
      <c r="A47" s="0">
        <v>47</v>
      </c>
      <c r="B47" s="0" t="s">
        <v>3465</v>
      </c>
      <c r="C47" s="0" t="s">
        <v>3477</v>
      </c>
      <c r="D47" s="0" t="s">
        <v>3478</v>
      </c>
    </row>
    <row customHeight="1" ht="11.25">
      <c r="A48" s="0">
        <v>48</v>
      </c>
      <c r="B48" s="0" t="s">
        <v>3465</v>
      </c>
      <c r="C48" s="0" t="s">
        <v>3479</v>
      </c>
      <c r="D48" s="0" t="s">
        <v>3480</v>
      </c>
    </row>
    <row customHeight="1" ht="11.25">
      <c r="A49" s="0">
        <v>49</v>
      </c>
      <c r="B49" s="0" t="s">
        <v>3465</v>
      </c>
      <c r="C49" s="0" t="s">
        <v>3481</v>
      </c>
      <c r="D49" s="0" t="s">
        <v>3482</v>
      </c>
    </row>
    <row customHeight="1" ht="11.25">
      <c r="A50" s="0">
        <v>50</v>
      </c>
      <c r="B50" s="0" t="s">
        <v>3465</v>
      </c>
      <c r="C50" s="0" t="s">
        <v>3483</v>
      </c>
      <c r="D50" s="0" t="s">
        <v>3484</v>
      </c>
    </row>
    <row customHeight="1" ht="11.25">
      <c r="A51" s="0">
        <v>51</v>
      </c>
      <c r="B51" s="0" t="s">
        <v>3465</v>
      </c>
      <c r="C51" s="0" t="s">
        <v>3485</v>
      </c>
      <c r="D51" s="0" t="s">
        <v>3486</v>
      </c>
    </row>
    <row customHeight="1" ht="11.25">
      <c r="A52" s="0">
        <v>52</v>
      </c>
      <c r="B52" s="0" t="s">
        <v>3465</v>
      </c>
      <c r="C52" s="0" t="s">
        <v>3487</v>
      </c>
      <c r="D52" s="0" t="s">
        <v>3488</v>
      </c>
    </row>
    <row customHeight="1" ht="11.25">
      <c r="A53" s="0">
        <v>53</v>
      </c>
      <c r="B53" s="0" t="s">
        <v>3465</v>
      </c>
      <c r="C53" s="0" t="s">
        <v>3489</v>
      </c>
      <c r="D53" s="0" t="s">
        <v>3490</v>
      </c>
    </row>
    <row customHeight="1" ht="11.25">
      <c r="A54" s="0">
        <v>54</v>
      </c>
      <c r="B54" s="0" t="s">
        <v>3465</v>
      </c>
      <c r="C54" s="0" t="s">
        <v>3491</v>
      </c>
      <c r="D54" s="0" t="s">
        <v>3492</v>
      </c>
    </row>
    <row customHeight="1" ht="11.25">
      <c r="A55" s="0">
        <v>55</v>
      </c>
      <c r="B55" s="0" t="s">
        <v>3465</v>
      </c>
      <c r="C55" s="0" t="s">
        <v>3493</v>
      </c>
      <c r="D55" s="0" t="s">
        <v>3494</v>
      </c>
    </row>
    <row customHeight="1" ht="11.25">
      <c r="A56" s="0">
        <v>56</v>
      </c>
      <c r="B56" s="0" t="s">
        <v>3465</v>
      </c>
      <c r="C56" s="0" t="s">
        <v>3495</v>
      </c>
      <c r="D56" s="0" t="s">
        <v>3496</v>
      </c>
    </row>
    <row customHeight="1" ht="11.25">
      <c r="A57" s="0">
        <v>57</v>
      </c>
      <c r="B57" s="0" t="s">
        <v>3497</v>
      </c>
      <c r="C57" s="0" t="s">
        <v>3498</v>
      </c>
      <c r="D57" s="0" t="s">
        <v>3499</v>
      </c>
    </row>
    <row customHeight="1" ht="11.25">
      <c r="A58" s="0">
        <v>58</v>
      </c>
      <c r="B58" s="0" t="s">
        <v>3497</v>
      </c>
      <c r="C58" s="0" t="s">
        <v>3497</v>
      </c>
      <c r="D58" s="0" t="s">
        <v>3500</v>
      </c>
    </row>
    <row customHeight="1" ht="11.25">
      <c r="A59" s="0">
        <v>59</v>
      </c>
      <c r="B59" s="0" t="s">
        <v>3497</v>
      </c>
      <c r="C59" s="0" t="s">
        <v>3501</v>
      </c>
      <c r="D59" s="0" t="s">
        <v>3502</v>
      </c>
    </row>
    <row customHeight="1" ht="11.25">
      <c r="A60" s="0">
        <v>60</v>
      </c>
      <c r="B60" s="0" t="s">
        <v>3497</v>
      </c>
      <c r="C60" s="0" t="s">
        <v>3503</v>
      </c>
      <c r="D60" s="0" t="s">
        <v>3504</v>
      </c>
    </row>
    <row customHeight="1" ht="11.25">
      <c r="A61" s="0">
        <v>61</v>
      </c>
      <c r="B61" s="0" t="s">
        <v>3497</v>
      </c>
      <c r="C61" s="0" t="s">
        <v>3505</v>
      </c>
      <c r="D61" s="0" t="s">
        <v>3506</v>
      </c>
    </row>
    <row customHeight="1" ht="11.25">
      <c r="A62" s="0">
        <v>62</v>
      </c>
      <c r="B62" s="0" t="s">
        <v>3497</v>
      </c>
      <c r="C62" s="0" t="s">
        <v>3507</v>
      </c>
      <c r="D62" s="0" t="s">
        <v>3508</v>
      </c>
    </row>
    <row customHeight="1" ht="11.25">
      <c r="A63" s="0">
        <v>63</v>
      </c>
      <c r="B63" s="0" t="s">
        <v>3497</v>
      </c>
      <c r="C63" s="0" t="s">
        <v>3509</v>
      </c>
      <c r="D63" s="0" t="s">
        <v>3510</v>
      </c>
    </row>
    <row customHeight="1" ht="11.25">
      <c r="A64" s="0">
        <v>64</v>
      </c>
      <c r="B64" s="0" t="s">
        <v>3497</v>
      </c>
      <c r="C64" s="0" t="s">
        <v>3511</v>
      </c>
      <c r="D64" s="0" t="s">
        <v>3512</v>
      </c>
    </row>
    <row customHeight="1" ht="11.25">
      <c r="A65" s="0">
        <v>65</v>
      </c>
      <c r="B65" s="0" t="s">
        <v>3497</v>
      </c>
      <c r="C65" s="0" t="s">
        <v>3513</v>
      </c>
      <c r="D65" s="0" t="s">
        <v>3514</v>
      </c>
    </row>
    <row customHeight="1" ht="11.25">
      <c r="A66" s="0">
        <v>66</v>
      </c>
      <c r="B66" s="0" t="s">
        <v>3497</v>
      </c>
      <c r="C66" s="0" t="s">
        <v>3515</v>
      </c>
      <c r="D66" s="0" t="s">
        <v>3516</v>
      </c>
    </row>
    <row customHeight="1" ht="11.25">
      <c r="A67" s="0">
        <v>67</v>
      </c>
      <c r="B67" s="0" t="s">
        <v>3497</v>
      </c>
      <c r="C67" s="0" t="s">
        <v>3517</v>
      </c>
      <c r="D67" s="0" t="s">
        <v>3518</v>
      </c>
    </row>
    <row customHeight="1" ht="11.25">
      <c r="A68" s="0">
        <v>68</v>
      </c>
      <c r="B68" s="0" t="s">
        <v>3497</v>
      </c>
      <c r="C68" s="0" t="s">
        <v>3519</v>
      </c>
      <c r="D68" s="0" t="s">
        <v>3520</v>
      </c>
    </row>
    <row customHeight="1" ht="11.25">
      <c r="A69" s="0">
        <v>69</v>
      </c>
      <c r="B69" s="0" t="s">
        <v>3497</v>
      </c>
      <c r="C69" s="0" t="s">
        <v>3521</v>
      </c>
      <c r="D69" s="0" t="s">
        <v>3522</v>
      </c>
    </row>
    <row customHeight="1" ht="11.25">
      <c r="A70" s="0">
        <v>70</v>
      </c>
      <c r="B70" s="0" t="s">
        <v>3523</v>
      </c>
      <c r="C70" s="0" t="s">
        <v>3523</v>
      </c>
      <c r="D70" s="0" t="s">
        <v>3524</v>
      </c>
    </row>
    <row customHeight="1" ht="11.25">
      <c r="A71" s="0">
        <v>71</v>
      </c>
      <c r="B71" s="0" t="s">
        <v>3523</v>
      </c>
      <c r="C71" s="0" t="s">
        <v>3525</v>
      </c>
      <c r="D71" s="0" t="s">
        <v>3526</v>
      </c>
    </row>
    <row customHeight="1" ht="11.25">
      <c r="A72" s="0">
        <v>72</v>
      </c>
      <c r="B72" s="0" t="s">
        <v>3523</v>
      </c>
      <c r="C72" s="0" t="s">
        <v>3527</v>
      </c>
      <c r="D72" s="0" t="s">
        <v>3528</v>
      </c>
    </row>
    <row customHeight="1" ht="11.25">
      <c r="A73" s="0">
        <v>73</v>
      </c>
      <c r="B73" s="0" t="s">
        <v>3523</v>
      </c>
      <c r="C73" s="0" t="s">
        <v>3529</v>
      </c>
      <c r="D73" s="0" t="s">
        <v>3530</v>
      </c>
    </row>
    <row customHeight="1" ht="11.25">
      <c r="A74" s="0">
        <v>74</v>
      </c>
      <c r="B74" s="0" t="s">
        <v>3523</v>
      </c>
      <c r="C74" s="0" t="s">
        <v>3531</v>
      </c>
      <c r="D74" s="0" t="s">
        <v>3532</v>
      </c>
    </row>
    <row customHeight="1" ht="11.25">
      <c r="A75" s="0">
        <v>75</v>
      </c>
      <c r="B75" s="0" t="s">
        <v>3523</v>
      </c>
      <c r="C75" s="0" t="s">
        <v>3533</v>
      </c>
      <c r="D75" s="0" t="s">
        <v>3534</v>
      </c>
    </row>
    <row customHeight="1" ht="11.25">
      <c r="A76" s="0">
        <v>76</v>
      </c>
      <c r="B76" s="0" t="s">
        <v>3523</v>
      </c>
      <c r="C76" s="0" t="s">
        <v>3535</v>
      </c>
      <c r="D76" s="0" t="s">
        <v>3536</v>
      </c>
    </row>
    <row customHeight="1" ht="11.25">
      <c r="A77" s="0">
        <v>77</v>
      </c>
      <c r="B77" s="0" t="s">
        <v>3523</v>
      </c>
      <c r="C77" s="0" t="s">
        <v>3537</v>
      </c>
      <c r="D77" s="0" t="s">
        <v>3538</v>
      </c>
    </row>
    <row customHeight="1" ht="11.25">
      <c r="A78" s="0">
        <v>78</v>
      </c>
      <c r="B78" s="0" t="s">
        <v>3523</v>
      </c>
      <c r="C78" s="0" t="s">
        <v>3539</v>
      </c>
      <c r="D78" s="0" t="s">
        <v>3540</v>
      </c>
    </row>
    <row customHeight="1" ht="11.25">
      <c r="A79" s="0">
        <v>79</v>
      </c>
      <c r="B79" s="0" t="s">
        <v>3523</v>
      </c>
      <c r="C79" s="0" t="s">
        <v>3541</v>
      </c>
      <c r="D79" s="0" t="s">
        <v>3542</v>
      </c>
    </row>
    <row customHeight="1" ht="11.25">
      <c r="A80" s="0">
        <v>80</v>
      </c>
      <c r="B80" s="0" t="s">
        <v>3543</v>
      </c>
      <c r="C80" s="0" t="s">
        <v>3544</v>
      </c>
      <c r="D80" s="0" t="s">
        <v>3545</v>
      </c>
    </row>
    <row customHeight="1" ht="11.25">
      <c r="A81" s="0">
        <v>81</v>
      </c>
      <c r="B81" s="0" t="s">
        <v>3543</v>
      </c>
      <c r="C81" s="0" t="s">
        <v>3543</v>
      </c>
      <c r="D81" s="0" t="s">
        <v>3546</v>
      </c>
    </row>
    <row customHeight="1" ht="11.25">
      <c r="A82" s="0">
        <v>82</v>
      </c>
      <c r="B82" s="0" t="s">
        <v>3543</v>
      </c>
      <c r="C82" s="0" t="s">
        <v>3547</v>
      </c>
      <c r="D82" s="0" t="s">
        <v>3548</v>
      </c>
    </row>
    <row customHeight="1" ht="11.25">
      <c r="A83" s="0">
        <v>83</v>
      </c>
      <c r="B83" s="0" t="s">
        <v>3543</v>
      </c>
      <c r="C83" s="0" t="s">
        <v>3549</v>
      </c>
      <c r="D83" s="0" t="s">
        <v>3550</v>
      </c>
    </row>
    <row customHeight="1" ht="11.25">
      <c r="A84" s="0">
        <v>84</v>
      </c>
      <c r="B84" s="0" t="s">
        <v>3543</v>
      </c>
      <c r="C84" s="0" t="s">
        <v>3551</v>
      </c>
      <c r="D84" s="0" t="s">
        <v>3552</v>
      </c>
    </row>
    <row customHeight="1" ht="11.25">
      <c r="A85" s="0">
        <v>85</v>
      </c>
      <c r="B85" s="0" t="s">
        <v>3543</v>
      </c>
      <c r="C85" s="0" t="s">
        <v>3553</v>
      </c>
      <c r="D85" s="0" t="s">
        <v>3554</v>
      </c>
    </row>
    <row customHeight="1" ht="11.25">
      <c r="A86" s="0">
        <v>86</v>
      </c>
      <c r="B86" s="0" t="s">
        <v>3543</v>
      </c>
      <c r="C86" s="0" t="s">
        <v>3555</v>
      </c>
      <c r="D86" s="0" t="s">
        <v>3556</v>
      </c>
    </row>
    <row customHeight="1" ht="11.25">
      <c r="A87" s="0">
        <v>87</v>
      </c>
      <c r="B87" s="0" t="s">
        <v>3543</v>
      </c>
      <c r="C87" s="0" t="s">
        <v>3557</v>
      </c>
      <c r="D87" s="0" t="s">
        <v>3558</v>
      </c>
    </row>
    <row customHeight="1" ht="11.25">
      <c r="A88" s="0">
        <v>88</v>
      </c>
      <c r="B88" s="0" t="s">
        <v>3543</v>
      </c>
      <c r="C88" s="0" t="s">
        <v>3559</v>
      </c>
      <c r="D88" s="0" t="s">
        <v>3560</v>
      </c>
    </row>
    <row customHeight="1" ht="11.25">
      <c r="A89" s="0">
        <v>89</v>
      </c>
      <c r="B89" s="0" t="s">
        <v>3561</v>
      </c>
      <c r="C89" s="0" t="s">
        <v>3562</v>
      </c>
      <c r="D89" s="0" t="s">
        <v>3563</v>
      </c>
    </row>
    <row customHeight="1" ht="11.25">
      <c r="A90" s="0">
        <v>90</v>
      </c>
      <c r="B90" s="0" t="s">
        <v>3561</v>
      </c>
      <c r="C90" s="0" t="s">
        <v>3564</v>
      </c>
      <c r="D90" s="0" t="s">
        <v>3565</v>
      </c>
    </row>
    <row customHeight="1" ht="11.25">
      <c r="A91" s="0">
        <v>91</v>
      </c>
      <c r="B91" s="0" t="s">
        <v>3561</v>
      </c>
      <c r="C91" s="0" t="s">
        <v>3561</v>
      </c>
      <c r="D91" s="0" t="s">
        <v>3566</v>
      </c>
    </row>
    <row customHeight="1" ht="11.25">
      <c r="A92" s="0">
        <v>92</v>
      </c>
      <c r="B92" s="0" t="s">
        <v>3561</v>
      </c>
      <c r="C92" s="0" t="s">
        <v>3567</v>
      </c>
      <c r="D92" s="0" t="s">
        <v>3568</v>
      </c>
    </row>
    <row customHeight="1" ht="11.25">
      <c r="A93" s="0">
        <v>93</v>
      </c>
      <c r="B93" s="0" t="s">
        <v>3561</v>
      </c>
      <c r="C93" s="0" t="s">
        <v>3569</v>
      </c>
      <c r="D93" s="0" t="s">
        <v>3570</v>
      </c>
    </row>
    <row customHeight="1" ht="11.25">
      <c r="A94" s="0">
        <v>94</v>
      </c>
      <c r="B94" s="0" t="s">
        <v>3561</v>
      </c>
      <c r="C94" s="0" t="s">
        <v>3571</v>
      </c>
      <c r="D94" s="0" t="s">
        <v>3572</v>
      </c>
    </row>
    <row customHeight="1" ht="11.25">
      <c r="A95" s="0">
        <v>95</v>
      </c>
      <c r="B95" s="0" t="s">
        <v>3561</v>
      </c>
      <c r="C95" s="0" t="s">
        <v>3573</v>
      </c>
      <c r="D95" s="0" t="s">
        <v>3574</v>
      </c>
    </row>
    <row customHeight="1" ht="11.25">
      <c r="A96" s="0">
        <v>96</v>
      </c>
      <c r="B96" s="0" t="s">
        <v>3561</v>
      </c>
      <c r="C96" s="0" t="s">
        <v>3575</v>
      </c>
      <c r="D96" s="0" t="s">
        <v>3576</v>
      </c>
    </row>
    <row customHeight="1" ht="11.25">
      <c r="A97" s="0">
        <v>97</v>
      </c>
      <c r="B97" s="0" t="s">
        <v>3561</v>
      </c>
      <c r="C97" s="0" t="s">
        <v>3577</v>
      </c>
      <c r="D97" s="0" t="s">
        <v>3578</v>
      </c>
    </row>
    <row customHeight="1" ht="11.25">
      <c r="A98" s="0">
        <v>98</v>
      </c>
      <c r="B98" s="0" t="s">
        <v>3561</v>
      </c>
      <c r="C98" s="0" t="s">
        <v>3579</v>
      </c>
      <c r="D98" s="0" t="s">
        <v>3580</v>
      </c>
    </row>
    <row customHeight="1" ht="11.25">
      <c r="A99" s="0">
        <v>99</v>
      </c>
      <c r="B99" s="0" t="s">
        <v>3561</v>
      </c>
      <c r="C99" s="0" t="s">
        <v>3581</v>
      </c>
      <c r="D99" s="0" t="s">
        <v>3582</v>
      </c>
    </row>
    <row customHeight="1" ht="11.25">
      <c r="A100" s="0">
        <v>100</v>
      </c>
      <c r="B100" s="0" t="s">
        <v>3561</v>
      </c>
      <c r="C100" s="0" t="s">
        <v>3583</v>
      </c>
      <c r="D100" s="0" t="s">
        <v>3584</v>
      </c>
    </row>
    <row customHeight="1" ht="11.25">
      <c r="A101" s="0">
        <v>101</v>
      </c>
      <c r="B101" s="0" t="s">
        <v>3585</v>
      </c>
      <c r="C101" s="0" t="s">
        <v>3585</v>
      </c>
      <c r="D101" s="0" t="s">
        <v>3586</v>
      </c>
    </row>
    <row customHeight="1" ht="11.25">
      <c r="A102" s="0">
        <v>102</v>
      </c>
      <c r="B102" s="0" t="s">
        <v>3587</v>
      </c>
      <c r="C102" s="0" t="s">
        <v>3587</v>
      </c>
      <c r="D102" s="0" t="s">
        <v>3588</v>
      </c>
    </row>
    <row customHeight="1" ht="11.25">
      <c r="A103" s="0">
        <v>103</v>
      </c>
      <c r="B103" s="0" t="s">
        <v>3589</v>
      </c>
      <c r="C103" s="0" t="s">
        <v>3589</v>
      </c>
      <c r="D103" s="0" t="s">
        <v>3590</v>
      </c>
    </row>
    <row customHeight="1" ht="11.25">
      <c r="A104" s="0">
        <v>104</v>
      </c>
      <c r="B104" s="0" t="s">
        <v>3591</v>
      </c>
      <c r="C104" s="0" t="s">
        <v>3591</v>
      </c>
      <c r="D104" s="0" t="s">
        <v>3592</v>
      </c>
    </row>
    <row customHeight="1" ht="11.25">
      <c r="A105" s="0">
        <v>105</v>
      </c>
      <c r="B105" s="0" t="s">
        <v>3593</v>
      </c>
      <c r="C105" s="0" t="s">
        <v>3593</v>
      </c>
      <c r="D105" s="0" t="s">
        <v>3594</v>
      </c>
    </row>
    <row customHeight="1" ht="11.25">
      <c r="A106" s="0">
        <v>106</v>
      </c>
      <c r="B106" s="0" t="s">
        <v>3595</v>
      </c>
      <c r="C106" s="0" t="s">
        <v>3595</v>
      </c>
      <c r="D106" s="0" t="s">
        <v>3596</v>
      </c>
    </row>
    <row customHeight="1" ht="11.25">
      <c r="A107" s="0">
        <v>107</v>
      </c>
      <c r="B107" s="0" t="s">
        <v>3597</v>
      </c>
      <c r="C107" s="0" t="s">
        <v>3597</v>
      </c>
      <c r="D107" s="0" t="s">
        <v>3598</v>
      </c>
    </row>
    <row customHeight="1" ht="11.25">
      <c r="A108" s="0">
        <v>108</v>
      </c>
      <c r="B108" s="0" t="s">
        <v>3599</v>
      </c>
      <c r="C108" s="0" t="s">
        <v>3599</v>
      </c>
      <c r="D108" s="0" t="s">
        <v>3600</v>
      </c>
    </row>
    <row customHeight="1" ht="11.25">
      <c r="A109" s="0">
        <v>109</v>
      </c>
      <c r="B109" s="0" t="s">
        <v>3601</v>
      </c>
      <c r="C109" s="0" t="s">
        <v>3601</v>
      </c>
      <c r="D109" s="0" t="s">
        <v>3602</v>
      </c>
    </row>
    <row customHeight="1" ht="11.25">
      <c r="A110" s="0">
        <v>110</v>
      </c>
      <c r="B110" s="0" t="s">
        <v>3603</v>
      </c>
      <c r="C110" s="0" t="s">
        <v>3603</v>
      </c>
      <c r="D110" s="0" t="s">
        <v>3604</v>
      </c>
    </row>
    <row customHeight="1" ht="11.25">
      <c r="A111" s="0">
        <v>111</v>
      </c>
      <c r="B111" s="0" t="s">
        <v>3603</v>
      </c>
      <c r="C111" s="0" t="s">
        <v>3605</v>
      </c>
      <c r="D111" s="0" t="s">
        <v>3606</v>
      </c>
    </row>
    <row customHeight="1" ht="11.25">
      <c r="A112" s="0">
        <v>112</v>
      </c>
      <c r="B112" s="0" t="s">
        <v>3603</v>
      </c>
      <c r="C112" s="0" t="s">
        <v>3607</v>
      </c>
      <c r="D112" s="0" t="s">
        <v>3608</v>
      </c>
    </row>
    <row customHeight="1" ht="11.25">
      <c r="A113" s="0">
        <v>113</v>
      </c>
      <c r="B113" s="0" t="s">
        <v>3603</v>
      </c>
      <c r="C113" s="0" t="s">
        <v>3609</v>
      </c>
      <c r="D113" s="0" t="s">
        <v>3610</v>
      </c>
    </row>
    <row customHeight="1" ht="11.25">
      <c r="A114" s="0">
        <v>114</v>
      </c>
      <c r="B114" s="0" t="s">
        <v>3603</v>
      </c>
      <c r="C114" s="0" t="s">
        <v>3611</v>
      </c>
      <c r="D114" s="0" t="s">
        <v>3612</v>
      </c>
    </row>
    <row customHeight="1" ht="11.25">
      <c r="A115" s="0">
        <v>115</v>
      </c>
      <c r="B115" s="0" t="s">
        <v>3603</v>
      </c>
      <c r="C115" s="0" t="s">
        <v>3487</v>
      </c>
      <c r="D115" s="0" t="s">
        <v>3613</v>
      </c>
    </row>
    <row customHeight="1" ht="11.25">
      <c r="A116" s="0">
        <v>116</v>
      </c>
      <c r="B116" s="0" t="s">
        <v>3603</v>
      </c>
      <c r="C116" s="0" t="s">
        <v>3491</v>
      </c>
      <c r="D116" s="0" t="s">
        <v>3614</v>
      </c>
    </row>
    <row customHeight="1" ht="11.25">
      <c r="A117" s="0">
        <v>117</v>
      </c>
      <c r="B117" s="0" t="s">
        <v>3603</v>
      </c>
      <c r="C117" s="0" t="s">
        <v>3615</v>
      </c>
      <c r="D117" s="0" t="s">
        <v>3616</v>
      </c>
    </row>
    <row customHeight="1" ht="11.25">
      <c r="A118" s="0">
        <v>118</v>
      </c>
      <c r="B118" s="0" t="s">
        <v>3603</v>
      </c>
      <c r="C118" s="0" t="s">
        <v>3617</v>
      </c>
      <c r="D118" s="0" t="s">
        <v>3618</v>
      </c>
    </row>
    <row customHeight="1" ht="11.25">
      <c r="A119" s="0">
        <v>119</v>
      </c>
      <c r="B119" s="0" t="s">
        <v>3619</v>
      </c>
      <c r="C119" s="0" t="s">
        <v>3620</v>
      </c>
      <c r="D119" s="0" t="s">
        <v>3621</v>
      </c>
    </row>
    <row customHeight="1" ht="11.25">
      <c r="A120" s="0">
        <v>120</v>
      </c>
      <c r="B120" s="0" t="s">
        <v>3619</v>
      </c>
      <c r="C120" s="0" t="s">
        <v>3619</v>
      </c>
      <c r="D120" s="0" t="s">
        <v>3622</v>
      </c>
    </row>
    <row customHeight="1" ht="11.25">
      <c r="A121" s="0">
        <v>121</v>
      </c>
      <c r="B121" s="0" t="s">
        <v>3619</v>
      </c>
      <c r="C121" s="0" t="s">
        <v>3623</v>
      </c>
      <c r="D121" s="0" t="s">
        <v>3624</v>
      </c>
    </row>
    <row customHeight="1" ht="11.25">
      <c r="A122" s="0">
        <v>122</v>
      </c>
      <c r="B122" s="0" t="s">
        <v>3619</v>
      </c>
      <c r="C122" s="0" t="s">
        <v>3625</v>
      </c>
      <c r="D122" s="0" t="s">
        <v>3626</v>
      </c>
    </row>
    <row customHeight="1" ht="11.25">
      <c r="A123" s="0">
        <v>123</v>
      </c>
      <c r="B123" s="0" t="s">
        <v>3619</v>
      </c>
      <c r="C123" s="0" t="s">
        <v>3627</v>
      </c>
      <c r="D123" s="0" t="s">
        <v>3628</v>
      </c>
    </row>
    <row customHeight="1" ht="11.25">
      <c r="A124" s="0">
        <v>124</v>
      </c>
      <c r="B124" s="0" t="s">
        <v>3619</v>
      </c>
      <c r="C124" s="0" t="s">
        <v>3629</v>
      </c>
      <c r="D124" s="0" t="s">
        <v>3630</v>
      </c>
    </row>
    <row customHeight="1" ht="11.25">
      <c r="A125" s="0">
        <v>125</v>
      </c>
      <c r="B125" s="0" t="s">
        <v>3619</v>
      </c>
      <c r="C125" s="0" t="s">
        <v>3631</v>
      </c>
      <c r="D125" s="0" t="s">
        <v>3632</v>
      </c>
    </row>
    <row customHeight="1" ht="11.25">
      <c r="A126" s="0">
        <v>126</v>
      </c>
      <c r="B126" s="0" t="s">
        <v>3633</v>
      </c>
      <c r="C126" s="0" t="s">
        <v>3633</v>
      </c>
      <c r="D126" s="0" t="s">
        <v>3634</v>
      </c>
    </row>
    <row customHeight="1" ht="11.25">
      <c r="A127" s="0">
        <v>127</v>
      </c>
      <c r="B127" s="0" t="s">
        <v>3635</v>
      </c>
      <c r="C127" s="0" t="s">
        <v>3636</v>
      </c>
      <c r="D127" s="0" t="s">
        <v>3637</v>
      </c>
    </row>
    <row customHeight="1" ht="11.25">
      <c r="A128" s="0">
        <v>128</v>
      </c>
      <c r="B128" s="0" t="s">
        <v>3635</v>
      </c>
      <c r="C128" s="0" t="s">
        <v>3638</v>
      </c>
      <c r="D128" s="0" t="s">
        <v>3639</v>
      </c>
    </row>
    <row customHeight="1" ht="11.25">
      <c r="A129" s="0">
        <v>129</v>
      </c>
      <c r="B129" s="0" t="s">
        <v>3635</v>
      </c>
      <c r="C129" s="0" t="s">
        <v>3640</v>
      </c>
      <c r="D129" s="0" t="s">
        <v>3641</v>
      </c>
    </row>
    <row customHeight="1" ht="11.25">
      <c r="A130" s="0">
        <v>130</v>
      </c>
      <c r="B130" s="0" t="s">
        <v>3635</v>
      </c>
      <c r="C130" s="0" t="s">
        <v>3635</v>
      </c>
      <c r="D130" s="0" t="s">
        <v>3642</v>
      </c>
    </row>
    <row customHeight="1" ht="11.25">
      <c r="A131" s="0">
        <v>131</v>
      </c>
      <c r="B131" s="0" t="s">
        <v>3635</v>
      </c>
      <c r="C131" s="0" t="s">
        <v>3643</v>
      </c>
      <c r="D131" s="0" t="s">
        <v>3644</v>
      </c>
    </row>
    <row customHeight="1" ht="11.25">
      <c r="A132" s="0">
        <v>132</v>
      </c>
      <c r="B132" s="0" t="s">
        <v>3635</v>
      </c>
      <c r="C132" s="0" t="s">
        <v>3645</v>
      </c>
      <c r="D132" s="0" t="s">
        <v>3646</v>
      </c>
    </row>
    <row customHeight="1" ht="11.25">
      <c r="A133" s="0">
        <v>133</v>
      </c>
      <c r="B133" s="0" t="s">
        <v>3635</v>
      </c>
      <c r="C133" s="0" t="s">
        <v>3647</v>
      </c>
      <c r="D133" s="0" t="s">
        <v>3648</v>
      </c>
    </row>
    <row customHeight="1" ht="11.25">
      <c r="A134" s="0">
        <v>134</v>
      </c>
      <c r="B134" s="0" t="s">
        <v>3635</v>
      </c>
      <c r="C134" s="0" t="s">
        <v>3649</v>
      </c>
      <c r="D134" s="0" t="s">
        <v>3650</v>
      </c>
    </row>
    <row customHeight="1" ht="11.25">
      <c r="A135" s="0">
        <v>135</v>
      </c>
      <c r="B135" s="0" t="s">
        <v>3635</v>
      </c>
      <c r="C135" s="0" t="s">
        <v>3651</v>
      </c>
      <c r="D135" s="0" t="s">
        <v>3652</v>
      </c>
    </row>
    <row customHeight="1" ht="11.25">
      <c r="A136" s="0">
        <v>136</v>
      </c>
      <c r="B136" s="0" t="s">
        <v>3635</v>
      </c>
      <c r="C136" s="0" t="s">
        <v>3653</v>
      </c>
      <c r="D136" s="0" t="s">
        <v>3654</v>
      </c>
    </row>
    <row customHeight="1" ht="11.25">
      <c r="A137" s="0">
        <v>137</v>
      </c>
      <c r="B137" s="0" t="s">
        <v>3635</v>
      </c>
      <c r="C137" s="0" t="s">
        <v>3655</v>
      </c>
      <c r="D137" s="0" t="s">
        <v>3656</v>
      </c>
    </row>
    <row customHeight="1" ht="11.25">
      <c r="A138" s="0">
        <v>138</v>
      </c>
      <c r="B138" s="0" t="s">
        <v>3635</v>
      </c>
      <c r="C138" s="0" t="s">
        <v>3657</v>
      </c>
      <c r="D138" s="0" t="s">
        <v>3658</v>
      </c>
    </row>
    <row customHeight="1" ht="11.25">
      <c r="A139" s="0">
        <v>139</v>
      </c>
      <c r="B139" s="0" t="s">
        <v>3635</v>
      </c>
      <c r="C139" s="0" t="s">
        <v>3659</v>
      </c>
      <c r="D139" s="0" t="s">
        <v>3660</v>
      </c>
    </row>
    <row customHeight="1" ht="11.25">
      <c r="A140" s="0">
        <v>140</v>
      </c>
      <c r="B140" s="0" t="s">
        <v>3661</v>
      </c>
      <c r="C140" s="0" t="s">
        <v>3661</v>
      </c>
      <c r="D140" s="0" t="s">
        <v>3662</v>
      </c>
    </row>
    <row customHeight="1" ht="11.25">
      <c r="A141" s="0">
        <v>141</v>
      </c>
      <c r="B141" s="0" t="s">
        <v>3663</v>
      </c>
      <c r="C141" s="0" t="s">
        <v>3664</v>
      </c>
      <c r="D141" s="0" t="s">
        <v>3665</v>
      </c>
    </row>
    <row customHeight="1" ht="11.25">
      <c r="A142" s="0">
        <v>142</v>
      </c>
      <c r="B142" s="0" t="s">
        <v>3663</v>
      </c>
      <c r="C142" s="0" t="s">
        <v>3666</v>
      </c>
      <c r="D142" s="0" t="s">
        <v>3667</v>
      </c>
    </row>
    <row customHeight="1" ht="11.25">
      <c r="A143" s="0">
        <v>143</v>
      </c>
      <c r="B143" s="0" t="s">
        <v>3663</v>
      </c>
      <c r="C143" s="0" t="s">
        <v>3668</v>
      </c>
      <c r="D143" s="0" t="s">
        <v>3669</v>
      </c>
    </row>
    <row customHeight="1" ht="11.25">
      <c r="A144" s="0">
        <v>144</v>
      </c>
      <c r="B144" s="0" t="s">
        <v>3663</v>
      </c>
      <c r="C144" s="0" t="s">
        <v>3670</v>
      </c>
      <c r="D144" s="0" t="s">
        <v>3671</v>
      </c>
    </row>
    <row customHeight="1" ht="11.25">
      <c r="A145" s="0">
        <v>145</v>
      </c>
      <c r="B145" s="0" t="s">
        <v>3663</v>
      </c>
      <c r="C145" s="0" t="s">
        <v>3672</v>
      </c>
      <c r="D145" s="0" t="s">
        <v>3673</v>
      </c>
    </row>
    <row customHeight="1" ht="11.25">
      <c r="A146" s="0">
        <v>146</v>
      </c>
      <c r="B146" s="0" t="s">
        <v>3663</v>
      </c>
      <c r="C146" s="0" t="s">
        <v>3674</v>
      </c>
      <c r="D146" s="0" t="s">
        <v>3675</v>
      </c>
    </row>
    <row customHeight="1" ht="11.25">
      <c r="A147" s="0">
        <v>147</v>
      </c>
      <c r="B147" s="0" t="s">
        <v>3663</v>
      </c>
      <c r="C147" s="0" t="s">
        <v>3676</v>
      </c>
      <c r="D147" s="0" t="s">
        <v>3677</v>
      </c>
    </row>
    <row customHeight="1" ht="11.25">
      <c r="A148" s="0">
        <v>148</v>
      </c>
      <c r="B148" s="0" t="s">
        <v>3663</v>
      </c>
      <c r="C148" s="0" t="s">
        <v>3663</v>
      </c>
      <c r="D148" s="0" t="s">
        <v>3678</v>
      </c>
    </row>
    <row customHeight="1" ht="11.25">
      <c r="A149" s="0">
        <v>149</v>
      </c>
      <c r="B149" s="0" t="s">
        <v>3663</v>
      </c>
      <c r="C149" s="0" t="s">
        <v>3679</v>
      </c>
      <c r="D149" s="0" t="s">
        <v>3680</v>
      </c>
    </row>
    <row customHeight="1" ht="11.25">
      <c r="A150" s="0">
        <v>150</v>
      </c>
      <c r="B150" s="0" t="s">
        <v>3663</v>
      </c>
      <c r="C150" s="0" t="s">
        <v>3681</v>
      </c>
      <c r="D150" s="0" t="s">
        <v>3682</v>
      </c>
    </row>
    <row customHeight="1" ht="11.25">
      <c r="A151" s="0">
        <v>151</v>
      </c>
      <c r="B151" s="0" t="s">
        <v>3663</v>
      </c>
      <c r="C151" s="0" t="s">
        <v>3683</v>
      </c>
      <c r="D151" s="0" t="s">
        <v>3684</v>
      </c>
    </row>
    <row customHeight="1" ht="11.25">
      <c r="A152" s="0">
        <v>152</v>
      </c>
      <c r="B152" s="0" t="s">
        <v>3663</v>
      </c>
      <c r="C152" s="0" t="s">
        <v>3685</v>
      </c>
      <c r="D152" s="0" t="s">
        <v>3686</v>
      </c>
    </row>
    <row customHeight="1" ht="11.25">
      <c r="A153" s="0">
        <v>153</v>
      </c>
      <c r="B153" s="0" t="s">
        <v>3663</v>
      </c>
      <c r="C153" s="0" t="s">
        <v>3687</v>
      </c>
      <c r="D153" s="0" t="s">
        <v>3688</v>
      </c>
    </row>
    <row customHeight="1" ht="11.25">
      <c r="A154" s="0">
        <v>154</v>
      </c>
      <c r="B154" s="0" t="s">
        <v>3663</v>
      </c>
      <c r="C154" s="0" t="s">
        <v>3689</v>
      </c>
      <c r="D154" s="0" t="s">
        <v>3690</v>
      </c>
    </row>
    <row customHeight="1" ht="11.25">
      <c r="A155" s="0">
        <v>155</v>
      </c>
      <c r="B155" s="0" t="s">
        <v>3663</v>
      </c>
      <c r="C155" s="0" t="s">
        <v>3691</v>
      </c>
      <c r="D155" s="0" t="s">
        <v>3692</v>
      </c>
    </row>
    <row customHeight="1" ht="11.25">
      <c r="A156" s="0">
        <v>156</v>
      </c>
      <c r="B156" s="0" t="s">
        <v>3663</v>
      </c>
      <c r="C156" s="0" t="s">
        <v>3693</v>
      </c>
      <c r="D156" s="0" t="s">
        <v>3694</v>
      </c>
    </row>
    <row customHeight="1" ht="11.25">
      <c r="A157" s="0">
        <v>157</v>
      </c>
      <c r="B157" s="0" t="s">
        <v>3663</v>
      </c>
      <c r="C157" s="0" t="s">
        <v>3695</v>
      </c>
      <c r="D157" s="0" t="s">
        <v>3696</v>
      </c>
    </row>
    <row customHeight="1" ht="11.25">
      <c r="A158" s="0">
        <v>158</v>
      </c>
      <c r="B158" s="0" t="s">
        <v>3663</v>
      </c>
      <c r="C158" s="0" t="s">
        <v>3697</v>
      </c>
      <c r="D158" s="0" t="s">
        <v>3698</v>
      </c>
    </row>
    <row customHeight="1" ht="11.25">
      <c r="A159" s="0">
        <v>159</v>
      </c>
      <c r="B159" s="0" t="s">
        <v>3663</v>
      </c>
      <c r="C159" s="0" t="s">
        <v>3699</v>
      </c>
      <c r="D159" s="0" t="s">
        <v>3700</v>
      </c>
    </row>
    <row customHeight="1" ht="11.25">
      <c r="A160" s="0">
        <v>160</v>
      </c>
      <c r="B160" s="0" t="s">
        <v>3663</v>
      </c>
      <c r="C160" s="0" t="s">
        <v>3701</v>
      </c>
      <c r="D160" s="0" t="s">
        <v>3702</v>
      </c>
    </row>
    <row customHeight="1" ht="11.25">
      <c r="A161" s="0">
        <v>161</v>
      </c>
      <c r="B161" s="0" t="s">
        <v>3663</v>
      </c>
      <c r="C161" s="0" t="s">
        <v>3703</v>
      </c>
      <c r="D161" s="0" t="s">
        <v>3704</v>
      </c>
    </row>
    <row customHeight="1" ht="11.25">
      <c r="A162" s="0">
        <v>162</v>
      </c>
      <c r="B162" s="0" t="s">
        <v>3705</v>
      </c>
      <c r="C162" s="0" t="s">
        <v>3706</v>
      </c>
      <c r="D162" s="0" t="s">
        <v>3707</v>
      </c>
    </row>
    <row customHeight="1" ht="11.25">
      <c r="A163" s="0">
        <v>163</v>
      </c>
      <c r="B163" s="0" t="s">
        <v>3705</v>
      </c>
      <c r="C163" s="0" t="s">
        <v>3705</v>
      </c>
      <c r="D163" s="0" t="s">
        <v>3708</v>
      </c>
    </row>
    <row customHeight="1" ht="11.25">
      <c r="A164" s="0">
        <v>164</v>
      </c>
      <c r="B164" s="0" t="s">
        <v>3705</v>
      </c>
      <c r="C164" s="0" t="s">
        <v>3709</v>
      </c>
      <c r="D164" s="0" t="s">
        <v>3710</v>
      </c>
    </row>
    <row customHeight="1" ht="11.25">
      <c r="A165" s="0">
        <v>165</v>
      </c>
      <c r="B165" s="0" t="s">
        <v>3705</v>
      </c>
      <c r="C165" s="0" t="s">
        <v>3711</v>
      </c>
      <c r="D165" s="0" t="s">
        <v>3712</v>
      </c>
    </row>
    <row customHeight="1" ht="11.25">
      <c r="A166" s="0">
        <v>166</v>
      </c>
      <c r="B166" s="0" t="s">
        <v>3705</v>
      </c>
      <c r="C166" s="0" t="s">
        <v>3713</v>
      </c>
      <c r="D166" s="0" t="s">
        <v>3714</v>
      </c>
    </row>
    <row customHeight="1" ht="11.25">
      <c r="A167" s="0">
        <v>167</v>
      </c>
      <c r="B167" s="0" t="s">
        <v>3705</v>
      </c>
      <c r="C167" s="0" t="s">
        <v>3715</v>
      </c>
      <c r="D167" s="0" t="s">
        <v>3716</v>
      </c>
    </row>
    <row customHeight="1" ht="11.25">
      <c r="A168" s="0">
        <v>168</v>
      </c>
      <c r="B168" s="0" t="s">
        <v>3705</v>
      </c>
      <c r="C168" s="0" t="s">
        <v>3717</v>
      </c>
      <c r="D168" s="0" t="s">
        <v>3718</v>
      </c>
    </row>
    <row customHeight="1" ht="11.25">
      <c r="A169" s="0">
        <v>169</v>
      </c>
      <c r="B169" s="0" t="s">
        <v>3705</v>
      </c>
      <c r="C169" s="0" t="s">
        <v>3719</v>
      </c>
      <c r="D169" s="0" t="s">
        <v>3720</v>
      </c>
    </row>
    <row customHeight="1" ht="11.25">
      <c r="A170" s="0">
        <v>170</v>
      </c>
      <c r="B170" s="0" t="s">
        <v>3705</v>
      </c>
      <c r="C170" s="0" t="s">
        <v>3721</v>
      </c>
      <c r="D170" s="0" t="s">
        <v>3722</v>
      </c>
    </row>
    <row customHeight="1" ht="11.25">
      <c r="A171" s="0">
        <v>171</v>
      </c>
      <c r="B171" s="0" t="s">
        <v>3723</v>
      </c>
      <c r="C171" s="0" t="s">
        <v>3724</v>
      </c>
      <c r="D171" s="0" t="s">
        <v>3725</v>
      </c>
    </row>
    <row customHeight="1" ht="11.25">
      <c r="A172" s="0">
        <v>172</v>
      </c>
      <c r="B172" s="0" t="s">
        <v>3723</v>
      </c>
      <c r="C172" s="0" t="s">
        <v>3723</v>
      </c>
      <c r="D172" s="0" t="s">
        <v>3726</v>
      </c>
    </row>
    <row customHeight="1" ht="11.25">
      <c r="A173" s="0">
        <v>173</v>
      </c>
      <c r="B173" s="0" t="s">
        <v>3723</v>
      </c>
      <c r="C173" s="0" t="s">
        <v>3727</v>
      </c>
      <c r="D173" s="0" t="s">
        <v>3728</v>
      </c>
    </row>
    <row customHeight="1" ht="11.25">
      <c r="A174" s="0">
        <v>174</v>
      </c>
      <c r="B174" s="0" t="s">
        <v>3723</v>
      </c>
      <c r="C174" s="0" t="s">
        <v>3729</v>
      </c>
      <c r="D174" s="0" t="s">
        <v>3730</v>
      </c>
    </row>
    <row customHeight="1" ht="11.25">
      <c r="A175" s="0">
        <v>175</v>
      </c>
      <c r="B175" s="0" t="s">
        <v>3723</v>
      </c>
      <c r="C175" s="0" t="s">
        <v>3731</v>
      </c>
      <c r="D175" s="0" t="s">
        <v>3732</v>
      </c>
    </row>
    <row customHeight="1" ht="11.25">
      <c r="A176" s="0">
        <v>176</v>
      </c>
      <c r="B176" s="0" t="s">
        <v>3723</v>
      </c>
      <c r="C176" s="0" t="s">
        <v>3713</v>
      </c>
      <c r="D176" s="0" t="s">
        <v>3733</v>
      </c>
    </row>
    <row customHeight="1" ht="11.25">
      <c r="A177" s="0">
        <v>177</v>
      </c>
      <c r="B177" s="0" t="s">
        <v>3723</v>
      </c>
      <c r="C177" s="0" t="s">
        <v>3734</v>
      </c>
      <c r="D177" s="0" t="s">
        <v>3735</v>
      </c>
    </row>
    <row customHeight="1" ht="11.25">
      <c r="A178" s="0">
        <v>178</v>
      </c>
      <c r="B178" s="0" t="s">
        <v>3723</v>
      </c>
      <c r="C178" s="0" t="s">
        <v>3736</v>
      </c>
      <c r="D178" s="0" t="s">
        <v>3737</v>
      </c>
    </row>
    <row customHeight="1" ht="11.25">
      <c r="A179" s="0">
        <v>179</v>
      </c>
      <c r="B179" s="0" t="s">
        <v>3723</v>
      </c>
      <c r="C179" s="0" t="s">
        <v>3738</v>
      </c>
      <c r="D179" s="0" t="s">
        <v>3739</v>
      </c>
    </row>
    <row customHeight="1" ht="11.25">
      <c r="A180" s="0">
        <v>180</v>
      </c>
      <c r="B180" s="0" t="s">
        <v>3723</v>
      </c>
      <c r="C180" s="0" t="s">
        <v>3740</v>
      </c>
      <c r="D180" s="0" t="s">
        <v>3741</v>
      </c>
    </row>
    <row customHeight="1" ht="11.25">
      <c r="A181" s="0">
        <v>181</v>
      </c>
      <c r="B181" s="0" t="s">
        <v>3742</v>
      </c>
      <c r="C181" s="0" t="s">
        <v>3743</v>
      </c>
      <c r="D181" s="0" t="s">
        <v>3744</v>
      </c>
    </row>
    <row customHeight="1" ht="11.25">
      <c r="A182" s="0">
        <v>182</v>
      </c>
      <c r="B182" s="0" t="s">
        <v>3742</v>
      </c>
      <c r="C182" s="0" t="s">
        <v>3745</v>
      </c>
      <c r="D182" s="0" t="s">
        <v>3746</v>
      </c>
    </row>
    <row customHeight="1" ht="11.25">
      <c r="A183" s="0">
        <v>183</v>
      </c>
      <c r="B183" s="0" t="s">
        <v>3742</v>
      </c>
      <c r="C183" s="0" t="s">
        <v>3747</v>
      </c>
      <c r="D183" s="0" t="s">
        <v>3748</v>
      </c>
    </row>
    <row customHeight="1" ht="11.25">
      <c r="A184" s="0">
        <v>184</v>
      </c>
      <c r="B184" s="0" t="s">
        <v>3742</v>
      </c>
      <c r="C184" s="0" t="s">
        <v>3742</v>
      </c>
      <c r="D184" s="0" t="s">
        <v>3749</v>
      </c>
    </row>
    <row customHeight="1" ht="11.25">
      <c r="A185" s="0">
        <v>185</v>
      </c>
      <c r="B185" s="0" t="s">
        <v>3742</v>
      </c>
      <c r="C185" s="0" t="s">
        <v>3750</v>
      </c>
      <c r="D185" s="0" t="s">
        <v>3751</v>
      </c>
    </row>
    <row customHeight="1" ht="11.25">
      <c r="A186" s="0">
        <v>186</v>
      </c>
      <c r="B186" s="0" t="s">
        <v>3742</v>
      </c>
      <c r="C186" s="0" t="s">
        <v>3752</v>
      </c>
      <c r="D186" s="0" t="s">
        <v>3753</v>
      </c>
    </row>
    <row customHeight="1" ht="11.25">
      <c r="A187" s="0">
        <v>187</v>
      </c>
      <c r="B187" s="0" t="s">
        <v>3742</v>
      </c>
      <c r="C187" s="0" t="s">
        <v>3754</v>
      </c>
      <c r="D187" s="0" t="s">
        <v>3755</v>
      </c>
    </row>
    <row customHeight="1" ht="11.25">
      <c r="A188" s="0">
        <v>188</v>
      </c>
      <c r="B188" s="0" t="s">
        <v>3742</v>
      </c>
      <c r="C188" s="0" t="s">
        <v>3756</v>
      </c>
      <c r="D188" s="0" t="s">
        <v>3757</v>
      </c>
    </row>
    <row customHeight="1" ht="11.25">
      <c r="A189" s="0">
        <v>189</v>
      </c>
      <c r="B189" s="0" t="s">
        <v>3742</v>
      </c>
      <c r="C189" s="0" t="s">
        <v>3758</v>
      </c>
      <c r="D189" s="0" t="s">
        <v>3759</v>
      </c>
    </row>
    <row customHeight="1" ht="11.25">
      <c r="A190" s="0">
        <v>190</v>
      </c>
      <c r="B190" s="0" t="s">
        <v>3742</v>
      </c>
      <c r="C190" s="0" t="s">
        <v>3760</v>
      </c>
      <c r="D190" s="0" t="s">
        <v>3761</v>
      </c>
    </row>
    <row customHeight="1" ht="11.25">
      <c r="A191" s="0">
        <v>191</v>
      </c>
      <c r="B191" s="0" t="s">
        <v>3742</v>
      </c>
      <c r="C191" s="0" t="s">
        <v>3762</v>
      </c>
      <c r="D191" s="0" t="s">
        <v>3763</v>
      </c>
    </row>
    <row customHeight="1" ht="11.25">
      <c r="A192" s="0">
        <v>192</v>
      </c>
      <c r="B192" s="0" t="s">
        <v>3764</v>
      </c>
      <c r="C192" s="0" t="s">
        <v>3765</v>
      </c>
      <c r="D192" s="0" t="s">
        <v>3766</v>
      </c>
    </row>
    <row customHeight="1" ht="11.25">
      <c r="A193" s="0">
        <v>193</v>
      </c>
      <c r="B193" s="0" t="s">
        <v>3764</v>
      </c>
      <c r="C193" s="0" t="s">
        <v>3767</v>
      </c>
      <c r="D193" s="0" t="s">
        <v>3768</v>
      </c>
    </row>
    <row customHeight="1" ht="11.25">
      <c r="A194" s="0">
        <v>194</v>
      </c>
      <c r="B194" s="0" t="s">
        <v>3764</v>
      </c>
      <c r="C194" s="0" t="s">
        <v>3640</v>
      </c>
      <c r="D194" s="0" t="s">
        <v>3769</v>
      </c>
    </row>
    <row customHeight="1" ht="11.25">
      <c r="A195" s="0">
        <v>195</v>
      </c>
      <c r="B195" s="0" t="s">
        <v>3764</v>
      </c>
      <c r="C195" s="0" t="s">
        <v>3764</v>
      </c>
      <c r="D195" s="0" t="s">
        <v>3770</v>
      </c>
    </row>
    <row customHeight="1" ht="11.25">
      <c r="A196" s="0">
        <v>196</v>
      </c>
      <c r="B196" s="0" t="s">
        <v>3764</v>
      </c>
      <c r="C196" s="0" t="s">
        <v>3771</v>
      </c>
      <c r="D196" s="0" t="s">
        <v>3772</v>
      </c>
    </row>
    <row customHeight="1" ht="11.25">
      <c r="A197" s="0">
        <v>197</v>
      </c>
      <c r="B197" s="0" t="s">
        <v>3764</v>
      </c>
      <c r="C197" s="0" t="s">
        <v>3773</v>
      </c>
      <c r="D197" s="0" t="s">
        <v>3774</v>
      </c>
    </row>
    <row customHeight="1" ht="11.25">
      <c r="A198" s="0">
        <v>198</v>
      </c>
      <c r="B198" s="0" t="s">
        <v>3764</v>
      </c>
      <c r="C198" s="0" t="s">
        <v>3775</v>
      </c>
      <c r="D198" s="0" t="s">
        <v>3776</v>
      </c>
    </row>
    <row customHeight="1" ht="11.25">
      <c r="A199" s="0">
        <v>199</v>
      </c>
      <c r="B199" s="0" t="s">
        <v>3764</v>
      </c>
      <c r="C199" s="0" t="s">
        <v>3777</v>
      </c>
      <c r="D199" s="0" t="s">
        <v>3778</v>
      </c>
    </row>
    <row customHeight="1" ht="11.25">
      <c r="A200" s="0">
        <v>200</v>
      </c>
      <c r="B200" s="0" t="s">
        <v>3764</v>
      </c>
      <c r="C200" s="0" t="s">
        <v>3779</v>
      </c>
      <c r="D200" s="0" t="s">
        <v>3780</v>
      </c>
    </row>
    <row customHeight="1" ht="11.25">
      <c r="A201" s="0">
        <v>201</v>
      </c>
      <c r="B201" s="0" t="s">
        <v>3764</v>
      </c>
      <c r="C201" s="0" t="s">
        <v>3781</v>
      </c>
      <c r="D201" s="0" t="s">
        <v>3782</v>
      </c>
    </row>
    <row customHeight="1" ht="11.25">
      <c r="A202" s="0">
        <v>202</v>
      </c>
      <c r="B202" s="0" t="s">
        <v>3764</v>
      </c>
      <c r="C202" s="0" t="s">
        <v>3783</v>
      </c>
      <c r="D202" s="0" t="s">
        <v>3784</v>
      </c>
    </row>
    <row customHeight="1" ht="11.25">
      <c r="A203" s="0">
        <v>203</v>
      </c>
      <c r="B203" s="0" t="s">
        <v>3764</v>
      </c>
      <c r="C203" s="0" t="s">
        <v>3785</v>
      </c>
      <c r="D203" s="0" t="s">
        <v>3786</v>
      </c>
    </row>
    <row customHeight="1" ht="11.25">
      <c r="A204" s="0">
        <v>204</v>
      </c>
      <c r="B204" s="0" t="s">
        <v>3764</v>
      </c>
      <c r="C204" s="0" t="s">
        <v>3787</v>
      </c>
      <c r="D204" s="0" t="s">
        <v>3788</v>
      </c>
    </row>
    <row customHeight="1" ht="11.25">
      <c r="A205" s="0">
        <v>205</v>
      </c>
      <c r="B205" s="0" t="s">
        <v>3764</v>
      </c>
      <c r="C205" s="0" t="s">
        <v>3789</v>
      </c>
      <c r="D205" s="0" t="s">
        <v>3790</v>
      </c>
    </row>
    <row customHeight="1" ht="11.25">
      <c r="A206" s="0">
        <v>206</v>
      </c>
      <c r="B206" s="0" t="s">
        <v>3764</v>
      </c>
      <c r="C206" s="0" t="s">
        <v>3791</v>
      </c>
      <c r="D206" s="0" t="s">
        <v>3792</v>
      </c>
    </row>
    <row customHeight="1" ht="11.25">
      <c r="A207" s="0">
        <v>207</v>
      </c>
      <c r="B207" s="0" t="s">
        <v>3793</v>
      </c>
      <c r="C207" s="0" t="s">
        <v>3794</v>
      </c>
      <c r="D207" s="0" t="s">
        <v>3795</v>
      </c>
    </row>
    <row customHeight="1" ht="11.25">
      <c r="A208" s="0">
        <v>208</v>
      </c>
      <c r="B208" s="0" t="s">
        <v>3793</v>
      </c>
      <c r="C208" s="0" t="s">
        <v>3796</v>
      </c>
      <c r="D208" s="0" t="s">
        <v>3797</v>
      </c>
    </row>
    <row customHeight="1" ht="11.25">
      <c r="A209" s="0">
        <v>209</v>
      </c>
      <c r="B209" s="0" t="s">
        <v>3793</v>
      </c>
      <c r="C209" s="0" t="s">
        <v>3798</v>
      </c>
      <c r="D209" s="0" t="s">
        <v>3799</v>
      </c>
    </row>
    <row customHeight="1" ht="11.25">
      <c r="A210" s="0">
        <v>210</v>
      </c>
      <c r="B210" s="0" t="s">
        <v>3793</v>
      </c>
      <c r="C210" s="0" t="s">
        <v>3800</v>
      </c>
      <c r="D210" s="0" t="s">
        <v>3801</v>
      </c>
    </row>
    <row customHeight="1" ht="11.25">
      <c r="A211" s="0">
        <v>211</v>
      </c>
      <c r="B211" s="0" t="s">
        <v>3793</v>
      </c>
      <c r="C211" s="0" t="s">
        <v>3793</v>
      </c>
      <c r="D211" s="0" t="s">
        <v>3802</v>
      </c>
    </row>
    <row customHeight="1" ht="11.25">
      <c r="A212" s="0">
        <v>212</v>
      </c>
      <c r="B212" s="0" t="s">
        <v>3793</v>
      </c>
      <c r="C212" s="0" t="s">
        <v>3803</v>
      </c>
      <c r="D212" s="0" t="s">
        <v>3804</v>
      </c>
    </row>
    <row customHeight="1" ht="11.25">
      <c r="A213" s="0">
        <v>213</v>
      </c>
      <c r="B213" s="0" t="s">
        <v>3793</v>
      </c>
      <c r="C213" s="0" t="s">
        <v>3805</v>
      </c>
      <c r="D213" s="0" t="s">
        <v>3806</v>
      </c>
    </row>
    <row customHeight="1" ht="11.25">
      <c r="A214" s="0">
        <v>214</v>
      </c>
      <c r="B214" s="0" t="s">
        <v>3793</v>
      </c>
      <c r="C214" s="0" t="s">
        <v>3807</v>
      </c>
      <c r="D214" s="0" t="s">
        <v>3808</v>
      </c>
    </row>
    <row customHeight="1" ht="11.25">
      <c r="A215" s="0">
        <v>215</v>
      </c>
      <c r="B215" s="0" t="s">
        <v>3793</v>
      </c>
      <c r="C215" s="0" t="s">
        <v>3809</v>
      </c>
      <c r="D215" s="0" t="s">
        <v>3810</v>
      </c>
    </row>
    <row customHeight="1" ht="11.25">
      <c r="A216" s="0">
        <v>216</v>
      </c>
      <c r="B216" s="0" t="s">
        <v>3793</v>
      </c>
      <c r="C216" s="0" t="s">
        <v>3811</v>
      </c>
      <c r="D216" s="0" t="s">
        <v>3812</v>
      </c>
    </row>
    <row customHeight="1" ht="11.25">
      <c r="A217" s="0">
        <v>217</v>
      </c>
      <c r="B217" s="0" t="s">
        <v>3793</v>
      </c>
      <c r="C217" s="0" t="s">
        <v>3813</v>
      </c>
      <c r="D217" s="0" t="s">
        <v>3814</v>
      </c>
    </row>
    <row customHeight="1" ht="11.25">
      <c r="A218" s="0">
        <v>218</v>
      </c>
      <c r="B218" s="0" t="s">
        <v>3815</v>
      </c>
      <c r="C218" s="0" t="s">
        <v>3816</v>
      </c>
      <c r="D218" s="0" t="s">
        <v>3817</v>
      </c>
    </row>
    <row customHeight="1" ht="11.25">
      <c r="A219" s="0">
        <v>219</v>
      </c>
      <c r="B219" s="0" t="s">
        <v>3815</v>
      </c>
      <c r="C219" s="0" t="s">
        <v>3818</v>
      </c>
      <c r="D219" s="0" t="s">
        <v>3819</v>
      </c>
    </row>
    <row customHeight="1" ht="11.25">
      <c r="A220" s="0">
        <v>220</v>
      </c>
      <c r="B220" s="0" t="s">
        <v>3815</v>
      </c>
      <c r="C220" s="0" t="s">
        <v>3820</v>
      </c>
      <c r="D220" s="0" t="s">
        <v>3821</v>
      </c>
    </row>
    <row customHeight="1" ht="11.25">
      <c r="A221" s="0">
        <v>221</v>
      </c>
      <c r="B221" s="0" t="s">
        <v>3815</v>
      </c>
      <c r="C221" s="0" t="s">
        <v>3822</v>
      </c>
      <c r="D221" s="0" t="s">
        <v>3823</v>
      </c>
    </row>
    <row customHeight="1" ht="11.25">
      <c r="A222" s="0">
        <v>222</v>
      </c>
      <c r="B222" s="0" t="s">
        <v>3815</v>
      </c>
      <c r="C222" s="0" t="s">
        <v>3824</v>
      </c>
      <c r="D222" s="0" t="s">
        <v>3825</v>
      </c>
    </row>
    <row customHeight="1" ht="11.25">
      <c r="A223" s="0">
        <v>223</v>
      </c>
      <c r="B223" s="0" t="s">
        <v>3815</v>
      </c>
      <c r="C223" s="0" t="s">
        <v>3815</v>
      </c>
      <c r="D223" s="0" t="s">
        <v>3826</v>
      </c>
    </row>
    <row customHeight="1" ht="11.25">
      <c r="A224" s="0">
        <v>224</v>
      </c>
      <c r="B224" s="0" t="s">
        <v>3815</v>
      </c>
      <c r="C224" s="0" t="s">
        <v>3827</v>
      </c>
      <c r="D224" s="0" t="s">
        <v>3828</v>
      </c>
    </row>
    <row customHeight="1" ht="11.25">
      <c r="A225" s="0">
        <v>225</v>
      </c>
      <c r="B225" s="0" t="s">
        <v>3815</v>
      </c>
      <c r="C225" s="0" t="s">
        <v>3829</v>
      </c>
      <c r="D225" s="0" t="s">
        <v>3830</v>
      </c>
    </row>
    <row customHeight="1" ht="11.25">
      <c r="A226" s="0">
        <v>226</v>
      </c>
      <c r="B226" s="0" t="s">
        <v>3815</v>
      </c>
      <c r="C226" s="0" t="s">
        <v>3831</v>
      </c>
      <c r="D226" s="0" t="s">
        <v>3832</v>
      </c>
    </row>
    <row customHeight="1" ht="11.25">
      <c r="A227" s="0">
        <v>227</v>
      </c>
      <c r="B227" s="0" t="s">
        <v>3815</v>
      </c>
      <c r="C227" s="0" t="s">
        <v>3833</v>
      </c>
      <c r="D227" s="0" t="s">
        <v>3834</v>
      </c>
    </row>
    <row customHeight="1" ht="11.25">
      <c r="A228" s="0">
        <v>228</v>
      </c>
      <c r="B228" s="0" t="s">
        <v>3815</v>
      </c>
      <c r="C228" s="0" t="s">
        <v>3775</v>
      </c>
      <c r="D228" s="0" t="s">
        <v>3835</v>
      </c>
    </row>
    <row customHeight="1" ht="11.25">
      <c r="A229" s="0">
        <v>229</v>
      </c>
      <c r="B229" s="0" t="s">
        <v>3815</v>
      </c>
      <c r="C229" s="0" t="s">
        <v>3836</v>
      </c>
      <c r="D229" s="0" t="s">
        <v>3837</v>
      </c>
    </row>
    <row customHeight="1" ht="11.25">
      <c r="A230" s="0">
        <v>230</v>
      </c>
      <c r="B230" s="0" t="s">
        <v>3838</v>
      </c>
      <c r="C230" s="0" t="s">
        <v>3562</v>
      </c>
      <c r="D230" s="0" t="s">
        <v>3839</v>
      </c>
    </row>
    <row customHeight="1" ht="11.25">
      <c r="A231" s="0">
        <v>231</v>
      </c>
      <c r="B231" s="0" t="s">
        <v>3838</v>
      </c>
      <c r="C231" s="0" t="s">
        <v>3840</v>
      </c>
      <c r="D231" s="0" t="s">
        <v>3841</v>
      </c>
    </row>
    <row customHeight="1" ht="11.25">
      <c r="A232" s="0">
        <v>232</v>
      </c>
      <c r="B232" s="0" t="s">
        <v>3838</v>
      </c>
      <c r="C232" s="0" t="s">
        <v>3838</v>
      </c>
      <c r="D232" s="0" t="s">
        <v>3842</v>
      </c>
    </row>
    <row customHeight="1" ht="11.25">
      <c r="A233" s="0">
        <v>233</v>
      </c>
      <c r="B233" s="0" t="s">
        <v>3838</v>
      </c>
      <c r="C233" s="0" t="s">
        <v>3843</v>
      </c>
      <c r="D233" s="0" t="s">
        <v>3844</v>
      </c>
    </row>
    <row customHeight="1" ht="11.25">
      <c r="A234" s="0">
        <v>234</v>
      </c>
      <c r="B234" s="0" t="s">
        <v>3838</v>
      </c>
      <c r="C234" s="0" t="s">
        <v>3845</v>
      </c>
      <c r="D234" s="0" t="s">
        <v>3846</v>
      </c>
    </row>
    <row customHeight="1" ht="11.25">
      <c r="A235" s="0">
        <v>235</v>
      </c>
      <c r="B235" s="0" t="s">
        <v>3838</v>
      </c>
      <c r="C235" s="0" t="s">
        <v>3847</v>
      </c>
      <c r="D235" s="0" t="s">
        <v>3848</v>
      </c>
    </row>
    <row customHeight="1" ht="11.25">
      <c r="A236" s="0">
        <v>236</v>
      </c>
      <c r="B236" s="0" t="s">
        <v>3838</v>
      </c>
      <c r="C236" s="0" t="s">
        <v>3849</v>
      </c>
      <c r="D236" s="0" t="s">
        <v>3850</v>
      </c>
    </row>
    <row customHeight="1" ht="11.25">
      <c r="A237" s="0">
        <v>237</v>
      </c>
      <c r="B237" s="0" t="s">
        <v>3838</v>
      </c>
      <c r="C237" s="0" t="s">
        <v>3851</v>
      </c>
      <c r="D237" s="0" t="s">
        <v>3852</v>
      </c>
    </row>
    <row customHeight="1" ht="11.25">
      <c r="A238" s="0">
        <v>238</v>
      </c>
      <c r="B238" s="0" t="s">
        <v>3838</v>
      </c>
      <c r="C238" s="0" t="s">
        <v>3853</v>
      </c>
      <c r="D238" s="0" t="s">
        <v>3854</v>
      </c>
    </row>
    <row customHeight="1" ht="11.25">
      <c r="A239" s="0">
        <v>239</v>
      </c>
      <c r="B239" s="0" t="s">
        <v>3855</v>
      </c>
      <c r="C239" s="0" t="s">
        <v>3856</v>
      </c>
      <c r="D239" s="0" t="s">
        <v>3857</v>
      </c>
    </row>
    <row customHeight="1" ht="11.25">
      <c r="A240" s="0">
        <v>240</v>
      </c>
      <c r="B240" s="0" t="s">
        <v>3855</v>
      </c>
      <c r="C240" s="0" t="s">
        <v>3562</v>
      </c>
      <c r="D240" s="0" t="s">
        <v>3858</v>
      </c>
    </row>
    <row customHeight="1" ht="11.25">
      <c r="A241" s="0">
        <v>241</v>
      </c>
      <c r="B241" s="0" t="s">
        <v>3855</v>
      </c>
      <c r="C241" s="0" t="s">
        <v>3666</v>
      </c>
      <c r="D241" s="0" t="s">
        <v>3859</v>
      </c>
    </row>
    <row customHeight="1" ht="11.25">
      <c r="A242" s="0">
        <v>242</v>
      </c>
      <c r="B242" s="0" t="s">
        <v>3855</v>
      </c>
      <c r="C242" s="0" t="s">
        <v>3860</v>
      </c>
      <c r="D242" s="0" t="s">
        <v>3861</v>
      </c>
    </row>
    <row customHeight="1" ht="11.25">
      <c r="A243" s="0">
        <v>243</v>
      </c>
      <c r="B243" s="0" t="s">
        <v>3855</v>
      </c>
      <c r="C243" s="0" t="s">
        <v>3855</v>
      </c>
      <c r="D243" s="0" t="s">
        <v>3862</v>
      </c>
    </row>
    <row customHeight="1" ht="11.25">
      <c r="A244" s="0">
        <v>244</v>
      </c>
      <c r="B244" s="0" t="s">
        <v>3855</v>
      </c>
      <c r="C244" s="0" t="s">
        <v>3863</v>
      </c>
      <c r="D244" s="0" t="s">
        <v>3864</v>
      </c>
    </row>
    <row customHeight="1" ht="11.25">
      <c r="A245" s="0">
        <v>245</v>
      </c>
      <c r="B245" s="0" t="s">
        <v>3855</v>
      </c>
      <c r="C245" s="0" t="s">
        <v>3865</v>
      </c>
      <c r="D245" s="0" t="s">
        <v>3866</v>
      </c>
    </row>
    <row customHeight="1" ht="11.25">
      <c r="A246" s="0">
        <v>246</v>
      </c>
      <c r="B246" s="0" t="s">
        <v>3855</v>
      </c>
      <c r="C246" s="0" t="s">
        <v>3867</v>
      </c>
      <c r="D246" s="0" t="s">
        <v>3868</v>
      </c>
    </row>
    <row customHeight="1" ht="11.25">
      <c r="A247" s="0">
        <v>247</v>
      </c>
      <c r="B247" s="0" t="s">
        <v>3855</v>
      </c>
      <c r="C247" s="0" t="s">
        <v>3869</v>
      </c>
      <c r="D247" s="0" t="s">
        <v>3870</v>
      </c>
    </row>
    <row customHeight="1" ht="11.25">
      <c r="A248" s="0">
        <v>248</v>
      </c>
      <c r="B248" s="0" t="s">
        <v>3855</v>
      </c>
      <c r="C248" s="0" t="s">
        <v>3871</v>
      </c>
      <c r="D248" s="0" t="s">
        <v>3872</v>
      </c>
    </row>
    <row customHeight="1" ht="11.25">
      <c r="A249" s="0">
        <v>249</v>
      </c>
      <c r="B249" s="0" t="s">
        <v>3855</v>
      </c>
      <c r="C249" s="0" t="s">
        <v>3873</v>
      </c>
      <c r="D249" s="0" t="s">
        <v>3874</v>
      </c>
    </row>
    <row customHeight="1" ht="11.25">
      <c r="A250" s="0">
        <v>250</v>
      </c>
      <c r="B250" s="0" t="s">
        <v>3855</v>
      </c>
      <c r="C250" s="0" t="s">
        <v>3875</v>
      </c>
      <c r="D250" s="0" t="s">
        <v>3876</v>
      </c>
    </row>
    <row customHeight="1" ht="11.25">
      <c r="A251" s="0">
        <v>251</v>
      </c>
      <c r="B251" s="0" t="s">
        <v>3855</v>
      </c>
      <c r="C251" s="0" t="s">
        <v>3877</v>
      </c>
      <c r="D251" s="0" t="s">
        <v>3878</v>
      </c>
    </row>
    <row customHeight="1" ht="11.25">
      <c r="A252" s="0">
        <v>252</v>
      </c>
      <c r="B252" s="0" t="s">
        <v>3855</v>
      </c>
      <c r="C252" s="0" t="s">
        <v>3879</v>
      </c>
      <c r="D252" s="0" t="s">
        <v>3880</v>
      </c>
    </row>
    <row customHeight="1" ht="11.25">
      <c r="A253" s="0">
        <v>253</v>
      </c>
      <c r="B253" s="0" t="s">
        <v>3881</v>
      </c>
      <c r="C253" s="0" t="s">
        <v>3396</v>
      </c>
      <c r="D253" s="0" t="s">
        <v>3882</v>
      </c>
    </row>
    <row customHeight="1" ht="11.25">
      <c r="A254" s="0">
        <v>254</v>
      </c>
      <c r="B254" s="0" t="s">
        <v>3881</v>
      </c>
      <c r="C254" s="0" t="s">
        <v>3883</v>
      </c>
      <c r="D254" s="0" t="s">
        <v>3884</v>
      </c>
    </row>
    <row customHeight="1" ht="11.25">
      <c r="A255" s="0">
        <v>255</v>
      </c>
      <c r="B255" s="0" t="s">
        <v>3881</v>
      </c>
      <c r="C255" s="0" t="s">
        <v>3885</v>
      </c>
      <c r="D255" s="0" t="s">
        <v>3886</v>
      </c>
    </row>
    <row customHeight="1" ht="11.25">
      <c r="A256" s="0">
        <v>256</v>
      </c>
      <c r="B256" s="0" t="s">
        <v>3881</v>
      </c>
      <c r="C256" s="0" t="s">
        <v>3887</v>
      </c>
      <c r="D256" s="0" t="s">
        <v>3888</v>
      </c>
    </row>
    <row customHeight="1" ht="11.25">
      <c r="A257" s="0">
        <v>257</v>
      </c>
      <c r="B257" s="0" t="s">
        <v>3881</v>
      </c>
      <c r="C257" s="0" t="s">
        <v>3881</v>
      </c>
      <c r="D257" s="0" t="s">
        <v>3889</v>
      </c>
    </row>
    <row customHeight="1" ht="11.25">
      <c r="A258" s="0">
        <v>258</v>
      </c>
      <c r="B258" s="0" t="s">
        <v>3881</v>
      </c>
      <c r="C258" s="0" t="s">
        <v>3890</v>
      </c>
      <c r="D258" s="0" t="s">
        <v>3891</v>
      </c>
    </row>
    <row customHeight="1" ht="11.25">
      <c r="A259" s="0">
        <v>259</v>
      </c>
      <c r="B259" s="0" t="s">
        <v>3881</v>
      </c>
      <c r="C259" s="0" t="s">
        <v>3892</v>
      </c>
      <c r="D259" s="0" t="s">
        <v>3893</v>
      </c>
    </row>
    <row customHeight="1" ht="11.25">
      <c r="A260" s="0">
        <v>260</v>
      </c>
      <c r="B260" s="0" t="s">
        <v>3881</v>
      </c>
      <c r="C260" s="0" t="s">
        <v>3894</v>
      </c>
      <c r="D260" s="0" t="s">
        <v>3895</v>
      </c>
    </row>
    <row customHeight="1" ht="11.25">
      <c r="A261" s="0">
        <v>261</v>
      </c>
      <c r="B261" s="0" t="s">
        <v>3881</v>
      </c>
      <c r="C261" s="0" t="s">
        <v>3896</v>
      </c>
      <c r="D261" s="0" t="s">
        <v>3897</v>
      </c>
    </row>
    <row customHeight="1" ht="11.25">
      <c r="A262" s="0">
        <v>262</v>
      </c>
      <c r="B262" s="0" t="s">
        <v>3881</v>
      </c>
      <c r="C262" s="0" t="s">
        <v>3898</v>
      </c>
      <c r="D262" s="0" t="s">
        <v>3899</v>
      </c>
    </row>
    <row customHeight="1" ht="11.25">
      <c r="A263" s="0">
        <v>263</v>
      </c>
      <c r="B263" s="0" t="s">
        <v>3900</v>
      </c>
      <c r="C263" s="0" t="s">
        <v>3901</v>
      </c>
      <c r="D263" s="0" t="s">
        <v>3902</v>
      </c>
    </row>
    <row customHeight="1" ht="11.25">
      <c r="A264" s="0">
        <v>264</v>
      </c>
      <c r="B264" s="0" t="s">
        <v>3900</v>
      </c>
      <c r="C264" s="0" t="s">
        <v>3903</v>
      </c>
      <c r="D264" s="0" t="s">
        <v>3904</v>
      </c>
    </row>
    <row customHeight="1" ht="11.25">
      <c r="A265" s="0">
        <v>265</v>
      </c>
      <c r="B265" s="0" t="s">
        <v>3900</v>
      </c>
      <c r="C265" s="0" t="s">
        <v>3905</v>
      </c>
      <c r="D265" s="0" t="s">
        <v>3906</v>
      </c>
    </row>
    <row customHeight="1" ht="11.25">
      <c r="A266" s="0">
        <v>266</v>
      </c>
      <c r="B266" s="0" t="s">
        <v>3900</v>
      </c>
      <c r="C266" s="0" t="s">
        <v>3907</v>
      </c>
      <c r="D266" s="0" t="s">
        <v>3908</v>
      </c>
    </row>
    <row customHeight="1" ht="11.25">
      <c r="A267" s="0">
        <v>267</v>
      </c>
      <c r="B267" s="0" t="s">
        <v>3900</v>
      </c>
      <c r="C267" s="0" t="s">
        <v>3900</v>
      </c>
      <c r="D267" s="0" t="s">
        <v>3909</v>
      </c>
    </row>
    <row customHeight="1" ht="11.25">
      <c r="A268" s="0">
        <v>268</v>
      </c>
      <c r="B268" s="0" t="s">
        <v>3900</v>
      </c>
      <c r="C268" s="0" t="s">
        <v>3910</v>
      </c>
      <c r="D268" s="0" t="s">
        <v>3911</v>
      </c>
    </row>
    <row customHeight="1" ht="11.25">
      <c r="A269" s="0">
        <v>269</v>
      </c>
      <c r="B269" s="0" t="s">
        <v>3900</v>
      </c>
      <c r="C269" s="0" t="s">
        <v>3912</v>
      </c>
      <c r="D269" s="0" t="s">
        <v>3913</v>
      </c>
    </row>
    <row customHeight="1" ht="11.25">
      <c r="A270" s="0">
        <v>270</v>
      </c>
      <c r="B270" s="0" t="s">
        <v>3900</v>
      </c>
      <c r="C270" s="0" t="s">
        <v>3914</v>
      </c>
      <c r="D270" s="0" t="s">
        <v>3915</v>
      </c>
    </row>
    <row customHeight="1" ht="11.25">
      <c r="A271" s="0">
        <v>271</v>
      </c>
      <c r="B271" s="0" t="s">
        <v>3900</v>
      </c>
      <c r="C271" s="0" t="s">
        <v>3713</v>
      </c>
      <c r="D271" s="0" t="s">
        <v>3916</v>
      </c>
    </row>
    <row customHeight="1" ht="11.25">
      <c r="A272" s="0">
        <v>272</v>
      </c>
      <c r="B272" s="0" t="s">
        <v>3900</v>
      </c>
      <c r="C272" s="0" t="s">
        <v>3917</v>
      </c>
      <c r="D272" s="0" t="s">
        <v>3918</v>
      </c>
    </row>
    <row customHeight="1" ht="11.25">
      <c r="A273" s="0">
        <v>273</v>
      </c>
      <c r="B273" s="0" t="s">
        <v>3919</v>
      </c>
      <c r="C273" s="0" t="s">
        <v>3920</v>
      </c>
      <c r="D273" s="0" t="s">
        <v>3921</v>
      </c>
    </row>
    <row customHeight="1" ht="11.25">
      <c r="A274" s="0">
        <v>274</v>
      </c>
      <c r="B274" s="0" t="s">
        <v>3919</v>
      </c>
      <c r="C274" s="0" t="s">
        <v>3922</v>
      </c>
      <c r="D274" s="0" t="s">
        <v>3923</v>
      </c>
    </row>
    <row customHeight="1" ht="11.25">
      <c r="A275" s="0">
        <v>275</v>
      </c>
      <c r="B275" s="0" t="s">
        <v>3919</v>
      </c>
      <c r="C275" s="0" t="s">
        <v>3924</v>
      </c>
      <c r="D275" s="0" t="s">
        <v>3925</v>
      </c>
    </row>
    <row customHeight="1" ht="11.25">
      <c r="A276" s="0">
        <v>276</v>
      </c>
      <c r="B276" s="0" t="s">
        <v>3919</v>
      </c>
      <c r="C276" s="0" t="s">
        <v>3926</v>
      </c>
      <c r="D276" s="0" t="s">
        <v>3927</v>
      </c>
    </row>
    <row customHeight="1" ht="11.25">
      <c r="A277" s="0">
        <v>277</v>
      </c>
      <c r="B277" s="0" t="s">
        <v>3919</v>
      </c>
      <c r="C277" s="0" t="s">
        <v>3928</v>
      </c>
      <c r="D277" s="0" t="s">
        <v>3929</v>
      </c>
    </row>
    <row customHeight="1" ht="11.25">
      <c r="A278" s="0">
        <v>278</v>
      </c>
      <c r="B278" s="0" t="s">
        <v>3919</v>
      </c>
      <c r="C278" s="0" t="s">
        <v>3930</v>
      </c>
      <c r="D278" s="0" t="s">
        <v>3931</v>
      </c>
    </row>
    <row customHeight="1" ht="11.25">
      <c r="A279" s="0">
        <v>279</v>
      </c>
      <c r="B279" s="0" t="s">
        <v>3919</v>
      </c>
      <c r="C279" s="0" t="s">
        <v>3919</v>
      </c>
      <c r="D279" s="0" t="s">
        <v>3932</v>
      </c>
    </row>
    <row customHeight="1" ht="11.25">
      <c r="A280" s="0">
        <v>280</v>
      </c>
      <c r="B280" s="0" t="s">
        <v>3919</v>
      </c>
      <c r="C280" s="0" t="s">
        <v>3933</v>
      </c>
      <c r="D280" s="0" t="s">
        <v>3934</v>
      </c>
    </row>
    <row customHeight="1" ht="11.25">
      <c r="A281" s="0">
        <v>281</v>
      </c>
      <c r="B281" s="0" t="s">
        <v>3919</v>
      </c>
      <c r="C281" s="0" t="s">
        <v>3935</v>
      </c>
      <c r="D281" s="0" t="s">
        <v>3936</v>
      </c>
    </row>
    <row customHeight="1" ht="11.25">
      <c r="A282" s="0">
        <v>282</v>
      </c>
      <c r="B282" s="0" t="s">
        <v>3919</v>
      </c>
      <c r="C282" s="0" t="s">
        <v>3937</v>
      </c>
      <c r="D282" s="0" t="s">
        <v>3938</v>
      </c>
    </row>
    <row customHeight="1" ht="11.25">
      <c r="A283" s="0">
        <v>283</v>
      </c>
      <c r="B283" s="0" t="s">
        <v>3919</v>
      </c>
      <c r="C283" s="0" t="s">
        <v>3939</v>
      </c>
      <c r="D283" s="0" t="s">
        <v>3940</v>
      </c>
    </row>
    <row customHeight="1" ht="11.25">
      <c r="A284" s="0">
        <v>284</v>
      </c>
      <c r="B284" s="0" t="s">
        <v>3941</v>
      </c>
      <c r="C284" s="0" t="s">
        <v>3942</v>
      </c>
      <c r="D284" s="0" t="s">
        <v>3943</v>
      </c>
    </row>
    <row customHeight="1" ht="11.25">
      <c r="A285" s="0">
        <v>285</v>
      </c>
      <c r="B285" s="0" t="s">
        <v>3941</v>
      </c>
      <c r="C285" s="0" t="s">
        <v>3941</v>
      </c>
      <c r="D285" s="0" t="s">
        <v>3944</v>
      </c>
    </row>
    <row customHeight="1" ht="11.25">
      <c r="A286" s="0">
        <v>286</v>
      </c>
      <c r="B286" s="0" t="s">
        <v>3941</v>
      </c>
      <c r="C286" s="0" t="s">
        <v>3945</v>
      </c>
      <c r="D286" s="0" t="s">
        <v>3946</v>
      </c>
    </row>
    <row customHeight="1" ht="11.25">
      <c r="A287" s="0">
        <v>287</v>
      </c>
      <c r="B287" s="0" t="s">
        <v>3941</v>
      </c>
      <c r="C287" s="0" t="s">
        <v>3947</v>
      </c>
      <c r="D287" s="0" t="s">
        <v>3948</v>
      </c>
    </row>
    <row customHeight="1" ht="11.25">
      <c r="A288" s="0">
        <v>288</v>
      </c>
      <c r="B288" s="0" t="s">
        <v>3941</v>
      </c>
      <c r="C288" s="0" t="s">
        <v>3713</v>
      </c>
      <c r="D288" s="0" t="s">
        <v>3949</v>
      </c>
    </row>
    <row customHeight="1" ht="11.25">
      <c r="A289" s="0">
        <v>289</v>
      </c>
      <c r="B289" s="0" t="s">
        <v>3941</v>
      </c>
      <c r="C289" s="0" t="s">
        <v>3950</v>
      </c>
      <c r="D289" s="0" t="s">
        <v>3951</v>
      </c>
    </row>
    <row customHeight="1" ht="11.25">
      <c r="A290" s="0">
        <v>290</v>
      </c>
      <c r="B290" s="0" t="s">
        <v>3941</v>
      </c>
      <c r="C290" s="0" t="s">
        <v>3952</v>
      </c>
      <c r="D290" s="0" t="s">
        <v>3953</v>
      </c>
    </row>
    <row customHeight="1" ht="11.25">
      <c r="A291" s="0">
        <v>291</v>
      </c>
      <c r="B291" s="0" t="s">
        <v>3941</v>
      </c>
      <c r="C291" s="0" t="s">
        <v>3954</v>
      </c>
      <c r="D291" s="0" t="s">
        <v>3955</v>
      </c>
    </row>
    <row customHeight="1" ht="11.25">
      <c r="A292" s="0">
        <v>292</v>
      </c>
      <c r="B292" s="0" t="s">
        <v>3941</v>
      </c>
      <c r="C292" s="0" t="s">
        <v>3697</v>
      </c>
      <c r="D292" s="0" t="s">
        <v>3956</v>
      </c>
    </row>
    <row customHeight="1" ht="11.25">
      <c r="A293" s="0">
        <v>293</v>
      </c>
      <c r="B293" s="0" t="s">
        <v>3941</v>
      </c>
      <c r="C293" s="0" t="s">
        <v>3957</v>
      </c>
      <c r="D293" s="0" t="s">
        <v>3958</v>
      </c>
    </row>
    <row customHeight="1" ht="11.25">
      <c r="A294" s="0">
        <v>294</v>
      </c>
      <c r="B294" s="0" t="s">
        <v>3941</v>
      </c>
      <c r="C294" s="0" t="s">
        <v>3959</v>
      </c>
      <c r="D294" s="0" t="s">
        <v>3960</v>
      </c>
    </row>
    <row customHeight="1" ht="11.25">
      <c r="A295" s="0">
        <v>295</v>
      </c>
      <c r="B295" s="0" t="s">
        <v>3961</v>
      </c>
      <c r="C295" s="0" t="s">
        <v>3962</v>
      </c>
      <c r="D295" s="0" t="s">
        <v>3963</v>
      </c>
    </row>
    <row customHeight="1" ht="11.25">
      <c r="A296" s="0">
        <v>296</v>
      </c>
      <c r="B296" s="0" t="s">
        <v>3961</v>
      </c>
      <c r="C296" s="0" t="s">
        <v>3964</v>
      </c>
      <c r="D296" s="0" t="s">
        <v>3965</v>
      </c>
    </row>
    <row customHeight="1" ht="11.25">
      <c r="A297" s="0">
        <v>297</v>
      </c>
      <c r="B297" s="0" t="s">
        <v>3961</v>
      </c>
      <c r="C297" s="0" t="s">
        <v>3966</v>
      </c>
      <c r="D297" s="0" t="s">
        <v>3967</v>
      </c>
    </row>
    <row customHeight="1" ht="11.25">
      <c r="A298" s="0">
        <v>298</v>
      </c>
      <c r="B298" s="0" t="s">
        <v>3961</v>
      </c>
      <c r="C298" s="0" t="s">
        <v>3636</v>
      </c>
      <c r="D298" s="0" t="s">
        <v>3968</v>
      </c>
    </row>
    <row customHeight="1" ht="11.25">
      <c r="A299" s="0">
        <v>299</v>
      </c>
      <c r="B299" s="0" t="s">
        <v>3961</v>
      </c>
      <c r="C299" s="0" t="s">
        <v>3969</v>
      </c>
      <c r="D299" s="0" t="s">
        <v>3970</v>
      </c>
    </row>
    <row customHeight="1" ht="11.25">
      <c r="A300" s="0">
        <v>300</v>
      </c>
      <c r="B300" s="0" t="s">
        <v>3961</v>
      </c>
      <c r="C300" s="0" t="s">
        <v>3971</v>
      </c>
      <c r="D300" s="0" t="s">
        <v>3972</v>
      </c>
    </row>
    <row customHeight="1" ht="11.25">
      <c r="A301" s="0">
        <v>301</v>
      </c>
      <c r="B301" s="0" t="s">
        <v>3961</v>
      </c>
      <c r="C301" s="0" t="s">
        <v>3973</v>
      </c>
      <c r="D301" s="0" t="s">
        <v>3974</v>
      </c>
    </row>
    <row customHeight="1" ht="11.25">
      <c r="A302" s="0">
        <v>302</v>
      </c>
      <c r="B302" s="0" t="s">
        <v>3961</v>
      </c>
      <c r="C302" s="0" t="s">
        <v>3406</v>
      </c>
      <c r="D302" s="0" t="s">
        <v>3975</v>
      </c>
    </row>
    <row customHeight="1" ht="11.25">
      <c r="A303" s="0">
        <v>303</v>
      </c>
      <c r="B303" s="0" t="s">
        <v>3961</v>
      </c>
      <c r="C303" s="0" t="s">
        <v>3961</v>
      </c>
      <c r="D303" s="0" t="s">
        <v>3976</v>
      </c>
    </row>
    <row customHeight="1" ht="11.25">
      <c r="A304" s="0">
        <v>304</v>
      </c>
      <c r="B304" s="0" t="s">
        <v>3961</v>
      </c>
      <c r="C304" s="0" t="s">
        <v>3977</v>
      </c>
      <c r="D304" s="0" t="s">
        <v>3978</v>
      </c>
    </row>
    <row customHeight="1" ht="11.25">
      <c r="A305" s="0">
        <v>305</v>
      </c>
      <c r="B305" s="0" t="s">
        <v>3961</v>
      </c>
      <c r="C305" s="0" t="s">
        <v>3979</v>
      </c>
      <c r="D305" s="0" t="s">
        <v>3980</v>
      </c>
    </row>
    <row customHeight="1" ht="11.25">
      <c r="A306" s="0">
        <v>306</v>
      </c>
      <c r="B306" s="0" t="s">
        <v>3961</v>
      </c>
      <c r="C306" s="0" t="s">
        <v>3509</v>
      </c>
      <c r="D306" s="0" t="s">
        <v>3981</v>
      </c>
    </row>
    <row customHeight="1" ht="11.25">
      <c r="A307" s="0">
        <v>307</v>
      </c>
      <c r="B307" s="0" t="s">
        <v>3961</v>
      </c>
      <c r="C307" s="0" t="s">
        <v>3982</v>
      </c>
      <c r="D307" s="0" t="s">
        <v>3983</v>
      </c>
    </row>
    <row customHeight="1" ht="11.25">
      <c r="A308" s="0">
        <v>308</v>
      </c>
      <c r="B308" s="0" t="s">
        <v>3961</v>
      </c>
      <c r="C308" s="0" t="s">
        <v>3984</v>
      </c>
      <c r="D308" s="0" t="s">
        <v>3985</v>
      </c>
    </row>
    <row customHeight="1" ht="11.25">
      <c r="A309" s="0">
        <v>309</v>
      </c>
      <c r="B309" s="0" t="s">
        <v>3961</v>
      </c>
      <c r="C309" s="0" t="s">
        <v>3811</v>
      </c>
      <c r="D309" s="0" t="s">
        <v>3986</v>
      </c>
    </row>
    <row customHeight="1" ht="11.25">
      <c r="A310" s="0">
        <v>310</v>
      </c>
      <c r="B310" s="0" t="s">
        <v>3961</v>
      </c>
      <c r="C310" s="0" t="s">
        <v>3987</v>
      </c>
      <c r="D310" s="0" t="s">
        <v>3988</v>
      </c>
    </row>
    <row customHeight="1" ht="11.25">
      <c r="A311" s="0">
        <v>311</v>
      </c>
      <c r="B311" s="0" t="s">
        <v>3961</v>
      </c>
      <c r="C311" s="0" t="s">
        <v>3989</v>
      </c>
      <c r="D311" s="0" t="s">
        <v>3990</v>
      </c>
    </row>
    <row customHeight="1" ht="11.25">
      <c r="A312" s="0">
        <v>312</v>
      </c>
      <c r="B312" s="0" t="s">
        <v>3961</v>
      </c>
      <c r="C312" s="0" t="s">
        <v>3991</v>
      </c>
      <c r="D312" s="0" t="s">
        <v>3992</v>
      </c>
    </row>
    <row customHeight="1" ht="11.25">
      <c r="A313" s="0">
        <v>313</v>
      </c>
      <c r="B313" s="0" t="s">
        <v>3961</v>
      </c>
      <c r="C313" s="0" t="s">
        <v>3541</v>
      </c>
      <c r="D313" s="0" t="s">
        <v>3993</v>
      </c>
    </row>
    <row customHeight="1" ht="11.25">
      <c r="A314" s="0">
        <v>314</v>
      </c>
      <c r="B314" s="0" t="s">
        <v>3994</v>
      </c>
      <c r="C314" s="0" t="s">
        <v>3995</v>
      </c>
      <c r="D314" s="0" t="s">
        <v>3996</v>
      </c>
    </row>
    <row customHeight="1" ht="11.25">
      <c r="A315" s="0">
        <v>315</v>
      </c>
      <c r="B315" s="0" t="s">
        <v>3994</v>
      </c>
      <c r="C315" s="0" t="s">
        <v>3997</v>
      </c>
      <c r="D315" s="0" t="s">
        <v>3998</v>
      </c>
    </row>
    <row customHeight="1" ht="11.25">
      <c r="A316" s="0">
        <v>316</v>
      </c>
      <c r="B316" s="0" t="s">
        <v>3994</v>
      </c>
      <c r="C316" s="0" t="s">
        <v>3999</v>
      </c>
      <c r="D316" s="0" t="s">
        <v>4000</v>
      </c>
    </row>
    <row customHeight="1" ht="11.25">
      <c r="A317" s="0">
        <v>317</v>
      </c>
      <c r="B317" s="0" t="s">
        <v>3994</v>
      </c>
      <c r="C317" s="0" t="s">
        <v>4001</v>
      </c>
      <c r="D317" s="0" t="s">
        <v>4002</v>
      </c>
    </row>
    <row customHeight="1" ht="11.25">
      <c r="A318" s="0">
        <v>318</v>
      </c>
      <c r="B318" s="0" t="s">
        <v>3994</v>
      </c>
      <c r="C318" s="0" t="s">
        <v>4003</v>
      </c>
      <c r="D318" s="0" t="s">
        <v>4004</v>
      </c>
    </row>
    <row customHeight="1" ht="11.25">
      <c r="A319" s="0">
        <v>319</v>
      </c>
      <c r="B319" s="0" t="s">
        <v>3994</v>
      </c>
      <c r="C319" s="0" t="s">
        <v>4005</v>
      </c>
      <c r="D319" s="0" t="s">
        <v>4006</v>
      </c>
    </row>
    <row customHeight="1" ht="11.25">
      <c r="A320" s="0">
        <v>320</v>
      </c>
      <c r="B320" s="0" t="s">
        <v>3994</v>
      </c>
      <c r="C320" s="0" t="s">
        <v>4007</v>
      </c>
      <c r="D320" s="0" t="s">
        <v>4008</v>
      </c>
    </row>
    <row customHeight="1" ht="11.25">
      <c r="A321" s="0">
        <v>321</v>
      </c>
      <c r="B321" s="0" t="s">
        <v>3994</v>
      </c>
      <c r="C321" s="0" t="s">
        <v>3994</v>
      </c>
      <c r="D321" s="0" t="s">
        <v>4009</v>
      </c>
    </row>
    <row customHeight="1" ht="11.25">
      <c r="A322" s="0">
        <v>322</v>
      </c>
      <c r="B322" s="0" t="s">
        <v>3994</v>
      </c>
      <c r="C322" s="0" t="s">
        <v>4010</v>
      </c>
      <c r="D322" s="0" t="s">
        <v>4011</v>
      </c>
    </row>
    <row customHeight="1" ht="11.25">
      <c r="A323" s="0">
        <v>323</v>
      </c>
      <c r="B323" s="0" t="s">
        <v>3994</v>
      </c>
      <c r="C323" s="0" t="s">
        <v>4012</v>
      </c>
      <c r="D323" s="0" t="s">
        <v>4013</v>
      </c>
    </row>
    <row customHeight="1" ht="11.25">
      <c r="A324" s="0">
        <v>324</v>
      </c>
      <c r="B324" s="0" t="s">
        <v>3994</v>
      </c>
      <c r="C324" s="0" t="s">
        <v>3811</v>
      </c>
      <c r="D324" s="0" t="s">
        <v>4014</v>
      </c>
    </row>
    <row customHeight="1" ht="11.25">
      <c r="A325" s="0">
        <v>325</v>
      </c>
      <c r="B325" s="0" t="s">
        <v>3994</v>
      </c>
      <c r="C325" s="0" t="s">
        <v>4015</v>
      </c>
      <c r="D325" s="0" t="s">
        <v>4016</v>
      </c>
    </row>
    <row customHeight="1" ht="11.25">
      <c r="A326" s="0">
        <v>326</v>
      </c>
      <c r="B326" s="0" t="s">
        <v>3994</v>
      </c>
      <c r="C326" s="0" t="s">
        <v>4017</v>
      </c>
      <c r="D326" s="0" t="s">
        <v>4018</v>
      </c>
    </row>
    <row customHeight="1" ht="11.25">
      <c r="A327" s="0">
        <v>327</v>
      </c>
      <c r="B327" s="0" t="s">
        <v>3994</v>
      </c>
      <c r="C327" s="0" t="s">
        <v>4019</v>
      </c>
      <c r="D327" s="0" t="s">
        <v>4020</v>
      </c>
    </row>
    <row customHeight="1" ht="11.25">
      <c r="A328" s="0">
        <v>328</v>
      </c>
      <c r="B328" s="0" t="s">
        <v>4021</v>
      </c>
      <c r="C328" s="0" t="s">
        <v>4022</v>
      </c>
      <c r="D328" s="0" t="s">
        <v>4023</v>
      </c>
    </row>
    <row customHeight="1" ht="11.25">
      <c r="A329" s="0">
        <v>329</v>
      </c>
      <c r="B329" s="0" t="s">
        <v>4021</v>
      </c>
      <c r="C329" s="0" t="s">
        <v>4024</v>
      </c>
      <c r="D329" s="0" t="s">
        <v>4025</v>
      </c>
    </row>
    <row customHeight="1" ht="11.25">
      <c r="A330" s="0">
        <v>330</v>
      </c>
      <c r="B330" s="0" t="s">
        <v>4021</v>
      </c>
      <c r="C330" s="0" t="s">
        <v>4026</v>
      </c>
      <c r="D330" s="0" t="s">
        <v>4027</v>
      </c>
    </row>
    <row customHeight="1" ht="11.25">
      <c r="A331" s="0">
        <v>331</v>
      </c>
      <c r="B331" s="0" t="s">
        <v>4021</v>
      </c>
      <c r="C331" s="0" t="s">
        <v>4021</v>
      </c>
      <c r="D331" s="0" t="s">
        <v>4028</v>
      </c>
    </row>
    <row customHeight="1" ht="11.25">
      <c r="A332" s="0">
        <v>332</v>
      </c>
      <c r="B332" s="0" t="s">
        <v>4021</v>
      </c>
      <c r="C332" s="0" t="s">
        <v>3527</v>
      </c>
      <c r="D332" s="0" t="s">
        <v>4029</v>
      </c>
    </row>
    <row customHeight="1" ht="11.25">
      <c r="A333" s="0">
        <v>333</v>
      </c>
      <c r="B333" s="0" t="s">
        <v>4021</v>
      </c>
      <c r="C333" s="0" t="s">
        <v>4030</v>
      </c>
      <c r="D333" s="0" t="s">
        <v>4031</v>
      </c>
    </row>
    <row customHeight="1" ht="11.25">
      <c r="A334" s="0">
        <v>334</v>
      </c>
      <c r="B334" s="0" t="s">
        <v>4021</v>
      </c>
      <c r="C334" s="0" t="s">
        <v>3509</v>
      </c>
      <c r="D334" s="0" t="s">
        <v>4032</v>
      </c>
    </row>
    <row customHeight="1" ht="11.25">
      <c r="A335" s="0">
        <v>335</v>
      </c>
      <c r="B335" s="0" t="s">
        <v>4021</v>
      </c>
      <c r="C335" s="0" t="s">
        <v>4033</v>
      </c>
      <c r="D335" s="0" t="s">
        <v>4034</v>
      </c>
    </row>
    <row customHeight="1" ht="11.25">
      <c r="A336" s="0">
        <v>336</v>
      </c>
      <c r="B336" s="0" t="s">
        <v>4021</v>
      </c>
      <c r="C336" s="0" t="s">
        <v>4035</v>
      </c>
      <c r="D336" s="0" t="s">
        <v>4036</v>
      </c>
    </row>
    <row customHeight="1" ht="11.25">
      <c r="A337" s="0">
        <v>337</v>
      </c>
      <c r="B337" s="0" t="s">
        <v>4037</v>
      </c>
      <c r="C337" s="0" t="s">
        <v>4038</v>
      </c>
      <c r="D337" s="0" t="s">
        <v>4039</v>
      </c>
    </row>
    <row customHeight="1" ht="11.25">
      <c r="A338" s="0">
        <v>338</v>
      </c>
      <c r="B338" s="0" t="s">
        <v>4037</v>
      </c>
      <c r="C338" s="0" t="s">
        <v>4040</v>
      </c>
      <c r="D338" s="0" t="s">
        <v>4041</v>
      </c>
    </row>
    <row customHeight="1" ht="11.25">
      <c r="A339" s="0">
        <v>339</v>
      </c>
      <c r="B339" s="0" t="s">
        <v>4037</v>
      </c>
      <c r="C339" s="0" t="s">
        <v>4042</v>
      </c>
      <c r="D339" s="0" t="s">
        <v>4043</v>
      </c>
    </row>
    <row customHeight="1" ht="11.25">
      <c r="A340" s="0">
        <v>340</v>
      </c>
      <c r="B340" s="0" t="s">
        <v>4037</v>
      </c>
      <c r="C340" s="0" t="s">
        <v>4044</v>
      </c>
      <c r="D340" s="0" t="s">
        <v>4045</v>
      </c>
    </row>
    <row customHeight="1" ht="11.25">
      <c r="A341" s="0">
        <v>341</v>
      </c>
      <c r="B341" s="0" t="s">
        <v>4037</v>
      </c>
      <c r="C341" s="0" t="s">
        <v>4046</v>
      </c>
      <c r="D341" s="0" t="s">
        <v>4047</v>
      </c>
    </row>
    <row customHeight="1" ht="11.25">
      <c r="A342" s="0">
        <v>342</v>
      </c>
      <c r="B342" s="0" t="s">
        <v>4037</v>
      </c>
      <c r="C342" s="0" t="s">
        <v>4037</v>
      </c>
      <c r="D342" s="0" t="s">
        <v>4048</v>
      </c>
    </row>
    <row customHeight="1" ht="11.25">
      <c r="A343" s="0">
        <v>343</v>
      </c>
      <c r="B343" s="0" t="s">
        <v>4037</v>
      </c>
      <c r="C343" s="0" t="s">
        <v>3509</v>
      </c>
      <c r="D343" s="0" t="s">
        <v>4049</v>
      </c>
    </row>
    <row customHeight="1" ht="11.25">
      <c r="A344" s="0">
        <v>344</v>
      </c>
      <c r="B344" s="0" t="s">
        <v>4037</v>
      </c>
      <c r="C344" s="0" t="s">
        <v>4050</v>
      </c>
      <c r="D344" s="0" t="s">
        <v>4051</v>
      </c>
    </row>
    <row customHeight="1" ht="11.25">
      <c r="A345" s="0">
        <v>345</v>
      </c>
      <c r="B345" s="0" t="s">
        <v>4037</v>
      </c>
      <c r="C345" s="0" t="s">
        <v>4052</v>
      </c>
      <c r="D345" s="0" t="s">
        <v>4053</v>
      </c>
    </row>
    <row customHeight="1" ht="11.25">
      <c r="A346" s="0">
        <v>346</v>
      </c>
      <c r="B346" s="0" t="s">
        <v>4037</v>
      </c>
      <c r="C346" s="0" t="s">
        <v>4054</v>
      </c>
      <c r="D346" s="0" t="s">
        <v>4055</v>
      </c>
    </row>
    <row customHeight="1" ht="11.25">
      <c r="A347" s="0">
        <v>347</v>
      </c>
      <c r="B347" s="0" t="s">
        <v>4037</v>
      </c>
      <c r="C347" s="0" t="s">
        <v>4056</v>
      </c>
      <c r="D347" s="0" t="s">
        <v>4057</v>
      </c>
    </row>
    <row customHeight="1" ht="11.25">
      <c r="A348" s="0">
        <v>348</v>
      </c>
      <c r="B348" s="0" t="s">
        <v>4037</v>
      </c>
      <c r="C348" s="0" t="s">
        <v>4058</v>
      </c>
      <c r="D348" s="0" t="s">
        <v>4059</v>
      </c>
    </row>
    <row customHeight="1" ht="11.25">
      <c r="A349" s="0">
        <v>349</v>
      </c>
      <c r="B349" s="0" t="s">
        <v>4037</v>
      </c>
      <c r="C349" s="0" t="s">
        <v>4060</v>
      </c>
      <c r="D349" s="0" t="s">
        <v>4061</v>
      </c>
    </row>
    <row customHeight="1" ht="11.25">
      <c r="A350" s="0">
        <v>350</v>
      </c>
      <c r="B350" s="0" t="s">
        <v>4062</v>
      </c>
      <c r="C350" s="0" t="s">
        <v>4063</v>
      </c>
      <c r="D350" s="0" t="s">
        <v>4064</v>
      </c>
    </row>
    <row customHeight="1" ht="11.25">
      <c r="A351" s="0">
        <v>351</v>
      </c>
      <c r="B351" s="0" t="s">
        <v>4062</v>
      </c>
      <c r="C351" s="0" t="s">
        <v>4065</v>
      </c>
      <c r="D351" s="0" t="s">
        <v>4066</v>
      </c>
    </row>
    <row customHeight="1" ht="11.25">
      <c r="A352" s="0">
        <v>352</v>
      </c>
      <c r="B352" s="0" t="s">
        <v>4062</v>
      </c>
      <c r="C352" s="0" t="s">
        <v>4067</v>
      </c>
      <c r="D352" s="0" t="s">
        <v>4068</v>
      </c>
    </row>
    <row customHeight="1" ht="11.25">
      <c r="A353" s="0">
        <v>353</v>
      </c>
      <c r="B353" s="0" t="s">
        <v>4062</v>
      </c>
      <c r="C353" s="0" t="s">
        <v>4062</v>
      </c>
      <c r="D353" s="0" t="s">
        <v>4069</v>
      </c>
    </row>
    <row customHeight="1" ht="11.25">
      <c r="A354" s="0">
        <v>354</v>
      </c>
      <c r="B354" s="0" t="s">
        <v>4062</v>
      </c>
      <c r="C354" s="0" t="s">
        <v>4070</v>
      </c>
      <c r="D354" s="0" t="s">
        <v>4071</v>
      </c>
    </row>
    <row customHeight="1" ht="11.25">
      <c r="A355" s="0">
        <v>355</v>
      </c>
      <c r="B355" s="0" t="s">
        <v>4062</v>
      </c>
      <c r="C355" s="0" t="s">
        <v>4072</v>
      </c>
      <c r="D355" s="0" t="s">
        <v>4073</v>
      </c>
    </row>
    <row customHeight="1" ht="11.25">
      <c r="A356" s="0">
        <v>356</v>
      </c>
      <c r="B356" s="0" t="s">
        <v>4062</v>
      </c>
      <c r="C356" s="0" t="s">
        <v>3581</v>
      </c>
      <c r="D356" s="0" t="s">
        <v>4074</v>
      </c>
    </row>
    <row customHeight="1" ht="11.25">
      <c r="A357" s="0">
        <v>357</v>
      </c>
      <c r="B357" s="0" t="s">
        <v>4062</v>
      </c>
      <c r="C357" s="0" t="s">
        <v>4075</v>
      </c>
      <c r="D357" s="0" t="s">
        <v>4076</v>
      </c>
    </row>
    <row customHeight="1" ht="11.25">
      <c r="A358" s="0">
        <v>358</v>
      </c>
      <c r="B358" s="0" t="s">
        <v>4077</v>
      </c>
      <c r="C358" s="0" t="s">
        <v>4078</v>
      </c>
      <c r="D358" s="0" t="s">
        <v>4079</v>
      </c>
    </row>
    <row customHeight="1" ht="11.25">
      <c r="A359" s="0">
        <v>359</v>
      </c>
      <c r="B359" s="0" t="s">
        <v>4077</v>
      </c>
      <c r="C359" s="0" t="s">
        <v>3743</v>
      </c>
      <c r="D359" s="0" t="s">
        <v>4080</v>
      </c>
    </row>
    <row customHeight="1" ht="11.25">
      <c r="A360" s="0">
        <v>360</v>
      </c>
      <c r="B360" s="0" t="s">
        <v>4077</v>
      </c>
      <c r="C360" s="0" t="s">
        <v>4081</v>
      </c>
      <c r="D360" s="0" t="s">
        <v>4082</v>
      </c>
    </row>
    <row customHeight="1" ht="11.25">
      <c r="A361" s="0">
        <v>361</v>
      </c>
      <c r="B361" s="0" t="s">
        <v>4077</v>
      </c>
      <c r="C361" s="0" t="s">
        <v>3926</v>
      </c>
      <c r="D361" s="0" t="s">
        <v>4083</v>
      </c>
    </row>
    <row customHeight="1" ht="11.25">
      <c r="A362" s="0">
        <v>362</v>
      </c>
      <c r="B362" s="0" t="s">
        <v>4077</v>
      </c>
      <c r="C362" s="0" t="s">
        <v>4001</v>
      </c>
      <c r="D362" s="0" t="s">
        <v>4084</v>
      </c>
    </row>
    <row customHeight="1" ht="11.25">
      <c r="A363" s="0">
        <v>363</v>
      </c>
      <c r="B363" s="0" t="s">
        <v>4077</v>
      </c>
      <c r="C363" s="0" t="s">
        <v>3607</v>
      </c>
      <c r="D363" s="0" t="s">
        <v>4085</v>
      </c>
    </row>
    <row customHeight="1" ht="11.25">
      <c r="A364" s="0">
        <v>364</v>
      </c>
      <c r="B364" s="0" t="s">
        <v>4077</v>
      </c>
      <c r="C364" s="0" t="s">
        <v>4086</v>
      </c>
      <c r="D364" s="0" t="s">
        <v>4087</v>
      </c>
    </row>
    <row customHeight="1" ht="11.25">
      <c r="A365" s="0">
        <v>365</v>
      </c>
      <c r="B365" s="0" t="s">
        <v>4077</v>
      </c>
      <c r="C365" s="0" t="s">
        <v>4077</v>
      </c>
      <c r="D365" s="0" t="s">
        <v>4088</v>
      </c>
    </row>
    <row customHeight="1" ht="11.25">
      <c r="A366" s="0">
        <v>366</v>
      </c>
      <c r="B366" s="0" t="s">
        <v>4077</v>
      </c>
      <c r="C366" s="0" t="s">
        <v>4089</v>
      </c>
      <c r="D366" s="0" t="s">
        <v>4090</v>
      </c>
    </row>
    <row customHeight="1" ht="11.25">
      <c r="A367" s="0">
        <v>367</v>
      </c>
      <c r="B367" s="0" t="s">
        <v>4077</v>
      </c>
      <c r="C367" s="0" t="s">
        <v>4091</v>
      </c>
      <c r="D367" s="0" t="s">
        <v>4092</v>
      </c>
    </row>
    <row customHeight="1" ht="11.25">
      <c r="A368" s="0">
        <v>368</v>
      </c>
      <c r="B368" s="0" t="s">
        <v>4077</v>
      </c>
      <c r="C368" s="0" t="s">
        <v>4093</v>
      </c>
      <c r="D368" s="0" t="s">
        <v>4094</v>
      </c>
    </row>
    <row customHeight="1" ht="11.25">
      <c r="A369" s="0">
        <v>369</v>
      </c>
      <c r="B369" s="0" t="s">
        <v>4077</v>
      </c>
      <c r="C369" s="0" t="s">
        <v>4095</v>
      </c>
      <c r="D369" s="0" t="s">
        <v>4096</v>
      </c>
    </row>
    <row customHeight="1" ht="11.25">
      <c r="A370" s="0">
        <v>370</v>
      </c>
      <c r="B370" s="0" t="s">
        <v>4077</v>
      </c>
      <c r="C370" s="0" t="s">
        <v>4097</v>
      </c>
      <c r="D370" s="0" t="s">
        <v>4098</v>
      </c>
    </row>
    <row customHeight="1" ht="11.25">
      <c r="A371" s="0">
        <v>371</v>
      </c>
      <c r="B371" s="0" t="s">
        <v>4077</v>
      </c>
      <c r="C371" s="0" t="s">
        <v>4099</v>
      </c>
      <c r="D371" s="0" t="s">
        <v>4100</v>
      </c>
    </row>
    <row customHeight="1" ht="11.25">
      <c r="A372" s="0">
        <v>372</v>
      </c>
      <c r="B372" s="0" t="s">
        <v>4077</v>
      </c>
      <c r="C372" s="0" t="s">
        <v>4101</v>
      </c>
      <c r="D372" s="0" t="s">
        <v>4102</v>
      </c>
    </row>
    <row customHeight="1" ht="11.25">
      <c r="A373" s="0">
        <v>373</v>
      </c>
      <c r="B373" s="0" t="s">
        <v>4077</v>
      </c>
      <c r="C373" s="0" t="s">
        <v>4103</v>
      </c>
      <c r="D373" s="0" t="s">
        <v>4104</v>
      </c>
    </row>
    <row customHeight="1" ht="11.25">
      <c r="A374" s="0">
        <v>374</v>
      </c>
      <c r="B374" s="0" t="s">
        <v>4105</v>
      </c>
      <c r="C374" s="0" t="s">
        <v>4106</v>
      </c>
      <c r="D374" s="0" t="s">
        <v>4107</v>
      </c>
    </row>
    <row customHeight="1" ht="11.25">
      <c r="A375" s="0">
        <v>375</v>
      </c>
      <c r="B375" s="0" t="s">
        <v>4105</v>
      </c>
      <c r="C375" s="0" t="s">
        <v>4108</v>
      </c>
      <c r="D375" s="0" t="s">
        <v>4109</v>
      </c>
    </row>
    <row customHeight="1" ht="11.25">
      <c r="A376" s="0">
        <v>376</v>
      </c>
      <c r="B376" s="0" t="s">
        <v>4105</v>
      </c>
      <c r="C376" s="0" t="s">
        <v>4110</v>
      </c>
      <c r="D376" s="0" t="s">
        <v>4111</v>
      </c>
    </row>
    <row customHeight="1" ht="11.25">
      <c r="A377" s="0">
        <v>377</v>
      </c>
      <c r="B377" s="0" t="s">
        <v>4105</v>
      </c>
      <c r="C377" s="0" t="s">
        <v>4112</v>
      </c>
      <c r="D377" s="0" t="s">
        <v>4113</v>
      </c>
    </row>
    <row customHeight="1" ht="11.25">
      <c r="A378" s="0">
        <v>378</v>
      </c>
      <c r="B378" s="0" t="s">
        <v>4105</v>
      </c>
      <c r="C378" s="0" t="s">
        <v>4114</v>
      </c>
      <c r="D378" s="0" t="s">
        <v>4115</v>
      </c>
    </row>
    <row customHeight="1" ht="11.25">
      <c r="A379" s="0">
        <v>379</v>
      </c>
      <c r="B379" s="0" t="s">
        <v>4105</v>
      </c>
      <c r="C379" s="0" t="s">
        <v>4105</v>
      </c>
      <c r="D379" s="0" t="s">
        <v>4116</v>
      </c>
    </row>
    <row customHeight="1" ht="11.25">
      <c r="A380" s="0">
        <v>380</v>
      </c>
      <c r="B380" s="0" t="s">
        <v>4105</v>
      </c>
      <c r="C380" s="0" t="s">
        <v>4117</v>
      </c>
      <c r="D380" s="0" t="s">
        <v>4118</v>
      </c>
    </row>
    <row customHeight="1" ht="11.25">
      <c r="A381" s="0">
        <v>381</v>
      </c>
      <c r="B381" s="0" t="s">
        <v>4105</v>
      </c>
      <c r="C381" s="0" t="s">
        <v>4119</v>
      </c>
      <c r="D381" s="0" t="s">
        <v>4120</v>
      </c>
    </row>
    <row customHeight="1" ht="11.25">
      <c r="A382" s="0">
        <v>382</v>
      </c>
      <c r="B382" s="0" t="s">
        <v>4105</v>
      </c>
      <c r="C382" s="0" t="s">
        <v>4121</v>
      </c>
      <c r="D382" s="0" t="s">
        <v>4122</v>
      </c>
    </row>
    <row customHeight="1" ht="11.25">
      <c r="A383" s="0">
        <v>383</v>
      </c>
      <c r="B383" s="0" t="s">
        <v>4105</v>
      </c>
      <c r="C383" s="0" t="s">
        <v>4123</v>
      </c>
      <c r="D383" s="0" t="s">
        <v>4124</v>
      </c>
    </row>
    <row customHeight="1" ht="11.25">
      <c r="A384" s="0">
        <v>384</v>
      </c>
      <c r="B384" s="0" t="s">
        <v>4125</v>
      </c>
      <c r="C384" s="0" t="s">
        <v>4126</v>
      </c>
      <c r="D384" s="0" t="s">
        <v>4127</v>
      </c>
    </row>
    <row customHeight="1" ht="11.25">
      <c r="A385" s="0">
        <v>385</v>
      </c>
      <c r="B385" s="0" t="s">
        <v>4125</v>
      </c>
      <c r="C385" s="0" t="s">
        <v>4128</v>
      </c>
      <c r="D385" s="0" t="s">
        <v>4129</v>
      </c>
    </row>
    <row customHeight="1" ht="11.25">
      <c r="A386" s="0">
        <v>386</v>
      </c>
      <c r="B386" s="0" t="s">
        <v>4125</v>
      </c>
      <c r="C386" s="0" t="s">
        <v>3562</v>
      </c>
      <c r="D386" s="0" t="s">
        <v>4130</v>
      </c>
    </row>
    <row customHeight="1" ht="11.25">
      <c r="A387" s="0">
        <v>387</v>
      </c>
      <c r="B387" s="0" t="s">
        <v>4125</v>
      </c>
      <c r="C387" s="0" t="s">
        <v>4131</v>
      </c>
      <c r="D387" s="0" t="s">
        <v>4132</v>
      </c>
    </row>
    <row customHeight="1" ht="11.25">
      <c r="A388" s="0">
        <v>388</v>
      </c>
      <c r="B388" s="0" t="s">
        <v>4125</v>
      </c>
      <c r="C388" s="0" t="s">
        <v>4133</v>
      </c>
      <c r="D388" s="0" t="s">
        <v>4134</v>
      </c>
    </row>
    <row customHeight="1" ht="11.25">
      <c r="A389" s="0">
        <v>389</v>
      </c>
      <c r="B389" s="0" t="s">
        <v>4125</v>
      </c>
      <c r="C389" s="0" t="s">
        <v>4135</v>
      </c>
      <c r="D389" s="0" t="s">
        <v>4136</v>
      </c>
    </row>
    <row customHeight="1" ht="11.25">
      <c r="A390" s="0">
        <v>390</v>
      </c>
      <c r="B390" s="0" t="s">
        <v>4125</v>
      </c>
      <c r="C390" s="0" t="s">
        <v>4137</v>
      </c>
      <c r="D390" s="0" t="s">
        <v>4138</v>
      </c>
    </row>
    <row customHeight="1" ht="11.25">
      <c r="A391" s="0">
        <v>391</v>
      </c>
      <c r="B391" s="0" t="s">
        <v>4125</v>
      </c>
      <c r="C391" s="0" t="s">
        <v>4139</v>
      </c>
      <c r="D391" s="0" t="s">
        <v>4140</v>
      </c>
    </row>
    <row customHeight="1" ht="11.25">
      <c r="A392" s="0">
        <v>392</v>
      </c>
      <c r="B392" s="0" t="s">
        <v>4125</v>
      </c>
      <c r="C392" s="0" t="s">
        <v>4141</v>
      </c>
      <c r="D392" s="0" t="s">
        <v>4142</v>
      </c>
    </row>
    <row customHeight="1" ht="11.25">
      <c r="A393" s="0">
        <v>393</v>
      </c>
      <c r="B393" s="0" t="s">
        <v>4125</v>
      </c>
      <c r="C393" s="0" t="s">
        <v>4143</v>
      </c>
      <c r="D393" s="0" t="s">
        <v>4144</v>
      </c>
    </row>
    <row customHeight="1" ht="11.25">
      <c r="A394" s="0">
        <v>394</v>
      </c>
      <c r="B394" s="0" t="s">
        <v>4125</v>
      </c>
      <c r="C394" s="0" t="s">
        <v>4125</v>
      </c>
      <c r="D394" s="0" t="s">
        <v>4145</v>
      </c>
    </row>
    <row customHeight="1" ht="11.25">
      <c r="A395" s="0">
        <v>395</v>
      </c>
      <c r="B395" s="0" t="s">
        <v>4125</v>
      </c>
      <c r="C395" s="0" t="s">
        <v>3487</v>
      </c>
      <c r="D395" s="0" t="s">
        <v>4146</v>
      </c>
    </row>
    <row customHeight="1" ht="11.25">
      <c r="A396" s="0">
        <v>396</v>
      </c>
      <c r="B396" s="0" t="s">
        <v>4125</v>
      </c>
      <c r="C396" s="0" t="s">
        <v>4147</v>
      </c>
      <c r="D396" s="0" t="s">
        <v>4148</v>
      </c>
    </row>
    <row customHeight="1" ht="11.25">
      <c r="A397" s="0">
        <v>397</v>
      </c>
      <c r="B397" s="0" t="s">
        <v>4125</v>
      </c>
      <c r="C397" s="0" t="s">
        <v>4149</v>
      </c>
      <c r="D397" s="0" t="s">
        <v>4150</v>
      </c>
    </row>
    <row customHeight="1" ht="11.25">
      <c r="A398" s="0">
        <v>398</v>
      </c>
      <c r="B398" s="0" t="s">
        <v>4125</v>
      </c>
      <c r="C398" s="0" t="s">
        <v>4151</v>
      </c>
      <c r="D398" s="0" t="s">
        <v>4152</v>
      </c>
    </row>
    <row customHeight="1" ht="11.25">
      <c r="A399" s="0">
        <v>399</v>
      </c>
      <c r="B399" s="0" t="s">
        <v>4125</v>
      </c>
      <c r="C399" s="0" t="s">
        <v>4153</v>
      </c>
      <c r="D399" s="0" t="s">
        <v>4154</v>
      </c>
    </row>
    <row customHeight="1" ht="11.25">
      <c r="A400" s="0">
        <v>400</v>
      </c>
      <c r="B400" s="0" t="s">
        <v>4125</v>
      </c>
      <c r="C400" s="0" t="s">
        <v>4155</v>
      </c>
      <c r="D400" s="0" t="s">
        <v>4156</v>
      </c>
    </row>
    <row customHeight="1" ht="11.25">
      <c r="A401" s="0">
        <v>401</v>
      </c>
      <c r="B401" s="0" t="s">
        <v>4125</v>
      </c>
      <c r="C401" s="0" t="s">
        <v>4157</v>
      </c>
      <c r="D401" s="0" t="s">
        <v>4158</v>
      </c>
    </row>
    <row customHeight="1" ht="11.25">
      <c r="A402" s="0">
        <v>402</v>
      </c>
      <c r="B402" s="0" t="s">
        <v>4125</v>
      </c>
      <c r="C402" s="0" t="s">
        <v>4159</v>
      </c>
      <c r="D402" s="0" t="s">
        <v>4160</v>
      </c>
    </row>
    <row customHeight="1" ht="11.25">
      <c r="A403" s="0">
        <v>403</v>
      </c>
      <c r="B403" s="0" t="s">
        <v>4161</v>
      </c>
      <c r="C403" s="0" t="s">
        <v>3498</v>
      </c>
      <c r="D403" s="0" t="s">
        <v>4162</v>
      </c>
    </row>
    <row customHeight="1" ht="11.25">
      <c r="A404" s="0">
        <v>404</v>
      </c>
      <c r="B404" s="0" t="s">
        <v>4161</v>
      </c>
      <c r="C404" s="0" t="s">
        <v>4163</v>
      </c>
      <c r="D404" s="0" t="s">
        <v>4164</v>
      </c>
    </row>
    <row customHeight="1" ht="11.25">
      <c r="A405" s="0">
        <v>405</v>
      </c>
      <c r="B405" s="0" t="s">
        <v>4161</v>
      </c>
      <c r="C405" s="0" t="s">
        <v>4165</v>
      </c>
      <c r="D405" s="0" t="s">
        <v>4166</v>
      </c>
    </row>
    <row customHeight="1" ht="11.25">
      <c r="A406" s="0">
        <v>406</v>
      </c>
      <c r="B406" s="0" t="s">
        <v>4161</v>
      </c>
      <c r="C406" s="0" t="s">
        <v>3645</v>
      </c>
      <c r="D406" s="0" t="s">
        <v>4167</v>
      </c>
    </row>
    <row customHeight="1" ht="11.25">
      <c r="A407" s="0">
        <v>407</v>
      </c>
      <c r="B407" s="0" t="s">
        <v>4161</v>
      </c>
      <c r="C407" s="0" t="s">
        <v>3509</v>
      </c>
      <c r="D407" s="0" t="s">
        <v>4168</v>
      </c>
    </row>
    <row customHeight="1" ht="11.25">
      <c r="A408" s="0">
        <v>408</v>
      </c>
      <c r="B408" s="0" t="s">
        <v>4161</v>
      </c>
      <c r="C408" s="0" t="s">
        <v>4169</v>
      </c>
      <c r="D408" s="0" t="s">
        <v>4170</v>
      </c>
    </row>
    <row customHeight="1" ht="11.25">
      <c r="A409" s="0">
        <v>409</v>
      </c>
      <c r="B409" s="0" t="s">
        <v>4161</v>
      </c>
      <c r="C409" s="0" t="s">
        <v>4171</v>
      </c>
      <c r="D409" s="0" t="s">
        <v>4172</v>
      </c>
    </row>
    <row customHeight="1" ht="11.25">
      <c r="A410" s="0">
        <v>410</v>
      </c>
      <c r="B410" s="0" t="s">
        <v>4161</v>
      </c>
      <c r="C410" s="0" t="s">
        <v>4161</v>
      </c>
      <c r="D410" s="0" t="s">
        <v>4173</v>
      </c>
    </row>
    <row customHeight="1" ht="11.25">
      <c r="A411" s="0">
        <v>411</v>
      </c>
      <c r="B411" s="0" t="s">
        <v>4161</v>
      </c>
      <c r="C411" s="0" t="s">
        <v>4174</v>
      </c>
      <c r="D411" s="0" t="s">
        <v>4175</v>
      </c>
    </row>
    <row customHeight="1" ht="11.25">
      <c r="A412" s="0">
        <v>412</v>
      </c>
      <c r="B412" s="0" t="s">
        <v>4161</v>
      </c>
      <c r="C412" s="0" t="s">
        <v>4176</v>
      </c>
      <c r="D412" s="0" t="s">
        <v>4177</v>
      </c>
    </row>
    <row customHeight="1" ht="11.25">
      <c r="A413" s="0">
        <v>413</v>
      </c>
      <c r="B413" s="0" t="s">
        <v>4178</v>
      </c>
      <c r="C413" s="0" t="s">
        <v>4179</v>
      </c>
      <c r="D413" s="0" t="s">
        <v>4180</v>
      </c>
    </row>
    <row customHeight="1" ht="11.25">
      <c r="A414" s="0">
        <v>414</v>
      </c>
      <c r="B414" s="0" t="s">
        <v>4178</v>
      </c>
      <c r="C414" s="0" t="s">
        <v>4181</v>
      </c>
      <c r="D414" s="0" t="s">
        <v>4182</v>
      </c>
    </row>
    <row customHeight="1" ht="11.25">
      <c r="A415" s="0">
        <v>415</v>
      </c>
      <c r="B415" s="0" t="s">
        <v>4178</v>
      </c>
      <c r="C415" s="0" t="s">
        <v>4183</v>
      </c>
      <c r="D415" s="0" t="s">
        <v>4184</v>
      </c>
    </row>
    <row customHeight="1" ht="11.25">
      <c r="A416" s="0">
        <v>416</v>
      </c>
      <c r="B416" s="0" t="s">
        <v>4178</v>
      </c>
      <c r="C416" s="0" t="s">
        <v>4185</v>
      </c>
      <c r="D416" s="0" t="s">
        <v>4186</v>
      </c>
    </row>
    <row customHeight="1" ht="11.25">
      <c r="A417" s="0">
        <v>417</v>
      </c>
      <c r="B417" s="0" t="s">
        <v>4178</v>
      </c>
      <c r="C417" s="0" t="s">
        <v>4187</v>
      </c>
      <c r="D417" s="0" t="s">
        <v>4188</v>
      </c>
    </row>
    <row customHeight="1" ht="11.25">
      <c r="A418" s="0">
        <v>418</v>
      </c>
      <c r="B418" s="0" t="s">
        <v>4178</v>
      </c>
      <c r="C418" s="0" t="s">
        <v>4189</v>
      </c>
      <c r="D418" s="0" t="s">
        <v>4190</v>
      </c>
    </row>
    <row customHeight="1" ht="11.25">
      <c r="A419" s="0">
        <v>419</v>
      </c>
      <c r="B419" s="0" t="s">
        <v>4178</v>
      </c>
      <c r="C419" s="0" t="s">
        <v>4010</v>
      </c>
      <c r="D419" s="0" t="s">
        <v>4191</v>
      </c>
    </row>
    <row customHeight="1" ht="11.25">
      <c r="A420" s="0">
        <v>420</v>
      </c>
      <c r="B420" s="0" t="s">
        <v>4178</v>
      </c>
      <c r="C420" s="0" t="s">
        <v>3509</v>
      </c>
      <c r="D420" s="0" t="s">
        <v>4192</v>
      </c>
    </row>
    <row customHeight="1" ht="11.25">
      <c r="A421" s="0">
        <v>421</v>
      </c>
      <c r="B421" s="0" t="s">
        <v>4178</v>
      </c>
      <c r="C421" s="0" t="s">
        <v>4193</v>
      </c>
      <c r="D421" s="0" t="s">
        <v>4194</v>
      </c>
    </row>
    <row customHeight="1" ht="11.25">
      <c r="A422" s="0">
        <v>422</v>
      </c>
      <c r="B422" s="0" t="s">
        <v>4178</v>
      </c>
      <c r="C422" s="0" t="s">
        <v>4195</v>
      </c>
      <c r="D422" s="0" t="s">
        <v>4196</v>
      </c>
    </row>
    <row customHeight="1" ht="11.25">
      <c r="A423" s="0">
        <v>423</v>
      </c>
      <c r="B423" s="0" t="s">
        <v>4178</v>
      </c>
      <c r="C423" s="0" t="s">
        <v>4178</v>
      </c>
      <c r="D423" s="0" t="s">
        <v>4197</v>
      </c>
    </row>
    <row customHeight="1" ht="11.25">
      <c r="A424" s="0">
        <v>424</v>
      </c>
      <c r="B424" s="0" t="s">
        <v>4178</v>
      </c>
      <c r="C424" s="0" t="s">
        <v>4198</v>
      </c>
      <c r="D424" s="0" t="s">
        <v>4199</v>
      </c>
    </row>
    <row customHeight="1" ht="11.25">
      <c r="A425" s="0">
        <v>425</v>
      </c>
      <c r="B425" s="0" t="s">
        <v>4200</v>
      </c>
      <c r="C425" s="0" t="s">
        <v>3432</v>
      </c>
      <c r="D425" s="0" t="s">
        <v>4201</v>
      </c>
    </row>
    <row customHeight="1" ht="11.25">
      <c r="A426" s="0">
        <v>426</v>
      </c>
      <c r="B426" s="0" t="s">
        <v>4200</v>
      </c>
      <c r="C426" s="0" t="s">
        <v>4202</v>
      </c>
      <c r="D426" s="0" t="s">
        <v>4203</v>
      </c>
    </row>
    <row customHeight="1" ht="11.25">
      <c r="A427" s="0">
        <v>427</v>
      </c>
      <c r="B427" s="0" t="s">
        <v>4200</v>
      </c>
      <c r="C427" s="0" t="s">
        <v>4204</v>
      </c>
      <c r="D427" s="0" t="s">
        <v>4205</v>
      </c>
    </row>
    <row customHeight="1" ht="11.25">
      <c r="A428" s="0">
        <v>428</v>
      </c>
      <c r="B428" s="0" t="s">
        <v>4200</v>
      </c>
      <c r="C428" s="0" t="s">
        <v>4206</v>
      </c>
      <c r="D428" s="0" t="s">
        <v>4207</v>
      </c>
    </row>
    <row customHeight="1" ht="11.25">
      <c r="A429" s="0">
        <v>429</v>
      </c>
      <c r="B429" s="0" t="s">
        <v>4200</v>
      </c>
      <c r="C429" s="0" t="s">
        <v>4208</v>
      </c>
      <c r="D429" s="0" t="s">
        <v>4209</v>
      </c>
    </row>
    <row customHeight="1" ht="11.25">
      <c r="A430" s="0">
        <v>430</v>
      </c>
      <c r="B430" s="0" t="s">
        <v>4200</v>
      </c>
      <c r="C430" s="0" t="s">
        <v>4210</v>
      </c>
      <c r="D430" s="0" t="s">
        <v>4211</v>
      </c>
    </row>
    <row customHeight="1" ht="11.25">
      <c r="A431" s="0">
        <v>431</v>
      </c>
      <c r="B431" s="0" t="s">
        <v>4200</v>
      </c>
      <c r="C431" s="0" t="s">
        <v>4212</v>
      </c>
      <c r="D431" s="0" t="s">
        <v>4213</v>
      </c>
    </row>
    <row customHeight="1" ht="11.25">
      <c r="A432" s="0">
        <v>432</v>
      </c>
      <c r="B432" s="0" t="s">
        <v>4200</v>
      </c>
      <c r="C432" s="0" t="s">
        <v>4214</v>
      </c>
      <c r="D432" s="0" t="s">
        <v>4215</v>
      </c>
    </row>
    <row customHeight="1" ht="11.25">
      <c r="A433" s="0">
        <v>433</v>
      </c>
      <c r="B433" s="0" t="s">
        <v>4200</v>
      </c>
      <c r="C433" s="0" t="s">
        <v>4216</v>
      </c>
      <c r="D433" s="0" t="s">
        <v>4217</v>
      </c>
    </row>
    <row customHeight="1" ht="11.25">
      <c r="A434" s="0">
        <v>434</v>
      </c>
      <c r="B434" s="0" t="s">
        <v>4200</v>
      </c>
      <c r="C434" s="0" t="s">
        <v>4200</v>
      </c>
      <c r="D434" s="0" t="s">
        <v>4218</v>
      </c>
    </row>
    <row customHeight="1" ht="11.25">
      <c r="A435" s="0">
        <v>435</v>
      </c>
      <c r="B435" s="0" t="s">
        <v>4200</v>
      </c>
      <c r="C435" s="0" t="s">
        <v>4219</v>
      </c>
      <c r="D435" s="0" t="s">
        <v>4220</v>
      </c>
    </row>
    <row customHeight="1" ht="11.25">
      <c r="A436" s="0">
        <v>436</v>
      </c>
      <c r="B436" s="0" t="s">
        <v>4200</v>
      </c>
      <c r="C436" s="0" t="s">
        <v>4221</v>
      </c>
      <c r="D436" s="0" t="s">
        <v>4222</v>
      </c>
    </row>
    <row customHeight="1" ht="11.25">
      <c r="A437" s="0">
        <v>437</v>
      </c>
      <c r="B437" s="0" t="s">
        <v>4200</v>
      </c>
      <c r="C437" s="0" t="s">
        <v>4223</v>
      </c>
      <c r="D437" s="0" t="s">
        <v>4224</v>
      </c>
    </row>
    <row customHeight="1" ht="11.25">
      <c r="A438" s="0">
        <v>438</v>
      </c>
      <c r="B438" s="0" t="s">
        <v>4200</v>
      </c>
      <c r="C438" s="0" t="s">
        <v>4225</v>
      </c>
      <c r="D438" s="0" t="s">
        <v>4226</v>
      </c>
    </row>
    <row customHeight="1" ht="11.25">
      <c r="A439" s="0">
        <v>439</v>
      </c>
      <c r="B439" s="0" t="s">
        <v>4227</v>
      </c>
      <c r="C439" s="0" t="s">
        <v>4228</v>
      </c>
      <c r="D439" s="0" t="s">
        <v>4229</v>
      </c>
    </row>
    <row customHeight="1" ht="11.25">
      <c r="A440" s="0">
        <v>440</v>
      </c>
      <c r="B440" s="0" t="s">
        <v>4227</v>
      </c>
      <c r="C440" s="0" t="s">
        <v>4230</v>
      </c>
      <c r="D440" s="0" t="s">
        <v>4231</v>
      </c>
    </row>
    <row customHeight="1" ht="11.25">
      <c r="A441" s="0">
        <v>441</v>
      </c>
      <c r="B441" s="0" t="s">
        <v>4227</v>
      </c>
      <c r="C441" s="0" t="s">
        <v>4232</v>
      </c>
      <c r="D441" s="0" t="s">
        <v>4233</v>
      </c>
    </row>
    <row customHeight="1" ht="11.25">
      <c r="A442" s="0">
        <v>442</v>
      </c>
      <c r="B442" s="0" t="s">
        <v>4227</v>
      </c>
      <c r="C442" s="0" t="s">
        <v>4234</v>
      </c>
      <c r="D442" s="0" t="s">
        <v>4235</v>
      </c>
    </row>
    <row customHeight="1" ht="11.25">
      <c r="A443" s="0">
        <v>443</v>
      </c>
      <c r="B443" s="0" t="s">
        <v>4227</v>
      </c>
      <c r="C443" s="0" t="s">
        <v>3811</v>
      </c>
      <c r="D443" s="0" t="s">
        <v>4236</v>
      </c>
    </row>
    <row customHeight="1" ht="11.25">
      <c r="A444" s="0">
        <v>444</v>
      </c>
      <c r="B444" s="0" t="s">
        <v>4227</v>
      </c>
      <c r="C444" s="0" t="s">
        <v>4237</v>
      </c>
      <c r="D444" s="0" t="s">
        <v>4238</v>
      </c>
    </row>
    <row customHeight="1" ht="11.25">
      <c r="A445" s="0">
        <v>445</v>
      </c>
      <c r="B445" s="0" t="s">
        <v>4227</v>
      </c>
      <c r="C445" s="0" t="s">
        <v>4227</v>
      </c>
      <c r="D445" s="0" t="s">
        <v>4239</v>
      </c>
    </row>
    <row customHeight="1" ht="11.25">
      <c r="A446" s="0">
        <v>446</v>
      </c>
      <c r="B446" s="0" t="s">
        <v>4227</v>
      </c>
      <c r="C446" s="0" t="s">
        <v>4240</v>
      </c>
      <c r="D446" s="0" t="s">
        <v>4241</v>
      </c>
    </row>
    <row customHeight="1" ht="11.25">
      <c r="A447" s="0">
        <v>447</v>
      </c>
      <c r="B447" s="0" t="s">
        <v>4227</v>
      </c>
      <c r="C447" s="0" t="s">
        <v>4242</v>
      </c>
      <c r="D447" s="0" t="s">
        <v>4243</v>
      </c>
    </row>
    <row customHeight="1" ht="11.25">
      <c r="A448" s="0">
        <v>448</v>
      </c>
      <c r="B448" s="0" t="s">
        <v>4227</v>
      </c>
      <c r="C448" s="0" t="s">
        <v>4244</v>
      </c>
      <c r="D448" s="0" t="s">
        <v>4245</v>
      </c>
    </row>
    <row customHeight="1" ht="11.25">
      <c r="A449" s="0">
        <v>449</v>
      </c>
      <c r="B449" s="0" t="s">
        <v>4227</v>
      </c>
      <c r="C449" s="0" t="s">
        <v>4246</v>
      </c>
      <c r="D449" s="0" t="s">
        <v>4247</v>
      </c>
    </row>
    <row customHeight="1" ht="11.25">
      <c r="A450" s="0">
        <v>450</v>
      </c>
      <c r="B450" s="0" t="s">
        <v>4227</v>
      </c>
      <c r="C450" s="0" t="s">
        <v>4248</v>
      </c>
      <c r="D450" s="0" t="s">
        <v>4249</v>
      </c>
    </row>
    <row customHeight="1" ht="11.25">
      <c r="A451" s="0">
        <v>451</v>
      </c>
      <c r="B451" s="0" t="s">
        <v>4227</v>
      </c>
      <c r="C451" s="0" t="s">
        <v>4250</v>
      </c>
      <c r="D451" s="0" t="s">
        <v>4251</v>
      </c>
    </row>
    <row customHeight="1" ht="11.25">
      <c r="A452" s="0">
        <v>452</v>
      </c>
      <c r="B452" s="0" t="s">
        <v>4252</v>
      </c>
      <c r="C452" s="0" t="s">
        <v>4253</v>
      </c>
      <c r="D452" s="0" t="s">
        <v>4254</v>
      </c>
    </row>
    <row customHeight="1" ht="11.25">
      <c r="A453" s="0">
        <v>453</v>
      </c>
      <c r="B453" s="0" t="s">
        <v>4252</v>
      </c>
      <c r="C453" s="0" t="s">
        <v>4255</v>
      </c>
      <c r="D453" s="0" t="s">
        <v>4256</v>
      </c>
    </row>
    <row customHeight="1" ht="11.25">
      <c r="A454" s="0">
        <v>454</v>
      </c>
      <c r="B454" s="0" t="s">
        <v>4252</v>
      </c>
      <c r="C454" s="0" t="s">
        <v>4257</v>
      </c>
      <c r="D454" s="0" t="s">
        <v>4258</v>
      </c>
    </row>
    <row customHeight="1" ht="11.25">
      <c r="A455" s="0">
        <v>455</v>
      </c>
      <c r="B455" s="0" t="s">
        <v>4252</v>
      </c>
      <c r="C455" s="0" t="s">
        <v>4259</v>
      </c>
      <c r="D455" s="0" t="s">
        <v>4260</v>
      </c>
    </row>
    <row customHeight="1" ht="11.25">
      <c r="A456" s="0">
        <v>456</v>
      </c>
      <c r="B456" s="0" t="s">
        <v>4252</v>
      </c>
      <c r="C456" s="0" t="s">
        <v>4261</v>
      </c>
      <c r="D456" s="0" t="s">
        <v>4262</v>
      </c>
    </row>
    <row customHeight="1" ht="11.25">
      <c r="A457" s="0">
        <v>457</v>
      </c>
      <c r="B457" s="0" t="s">
        <v>4252</v>
      </c>
      <c r="C457" s="0" t="s">
        <v>3924</v>
      </c>
      <c r="D457" s="0" t="s">
        <v>4263</v>
      </c>
    </row>
    <row customHeight="1" ht="11.25">
      <c r="A458" s="0">
        <v>458</v>
      </c>
      <c r="B458" s="0" t="s">
        <v>4252</v>
      </c>
      <c r="C458" s="0" t="s">
        <v>4264</v>
      </c>
      <c r="D458" s="0" t="s">
        <v>4265</v>
      </c>
    </row>
    <row customHeight="1" ht="11.25">
      <c r="A459" s="0">
        <v>459</v>
      </c>
      <c r="B459" s="0" t="s">
        <v>4252</v>
      </c>
      <c r="C459" s="0" t="s">
        <v>4266</v>
      </c>
      <c r="D459" s="0" t="s">
        <v>4267</v>
      </c>
    </row>
    <row customHeight="1" ht="11.25">
      <c r="A460" s="0">
        <v>460</v>
      </c>
      <c r="B460" s="0" t="s">
        <v>4252</v>
      </c>
      <c r="C460" s="0" t="s">
        <v>4268</v>
      </c>
      <c r="D460" s="0" t="s">
        <v>4269</v>
      </c>
    </row>
    <row customHeight="1" ht="11.25">
      <c r="A461" s="0">
        <v>461</v>
      </c>
      <c r="B461" s="0" t="s">
        <v>4252</v>
      </c>
      <c r="C461" s="0" t="s">
        <v>4252</v>
      </c>
      <c r="D461" s="0" t="s">
        <v>4270</v>
      </c>
    </row>
    <row customHeight="1" ht="11.25">
      <c r="A462" s="0">
        <v>462</v>
      </c>
      <c r="B462" s="0" t="s">
        <v>4252</v>
      </c>
      <c r="C462" s="0" t="s">
        <v>4121</v>
      </c>
      <c r="D462" s="0" t="s">
        <v>4271</v>
      </c>
    </row>
    <row customHeight="1" ht="11.25">
      <c r="A463" s="0">
        <v>463</v>
      </c>
      <c r="B463" s="0" t="s">
        <v>4252</v>
      </c>
      <c r="C463" s="0" t="s">
        <v>4272</v>
      </c>
      <c r="D463" s="0" t="s">
        <v>4273</v>
      </c>
    </row>
    <row customHeight="1" ht="11.25">
      <c r="A464" s="0">
        <v>464</v>
      </c>
      <c r="B464" s="0" t="s">
        <v>4252</v>
      </c>
      <c r="C464" s="0" t="s">
        <v>4274</v>
      </c>
      <c r="D464" s="0" t="s">
        <v>4275</v>
      </c>
    </row>
    <row customHeight="1" ht="11.25">
      <c r="A465" s="0">
        <v>465</v>
      </c>
      <c r="B465" s="0" t="s">
        <v>4276</v>
      </c>
      <c r="C465" s="0" t="s">
        <v>4277</v>
      </c>
      <c r="D465" s="0" t="s">
        <v>4278</v>
      </c>
    </row>
    <row customHeight="1" ht="11.25">
      <c r="A466" s="0">
        <v>466</v>
      </c>
      <c r="B466" s="0" t="s">
        <v>4276</v>
      </c>
      <c r="C466" s="0" t="s">
        <v>4279</v>
      </c>
      <c r="D466" s="0" t="s">
        <v>4280</v>
      </c>
    </row>
    <row customHeight="1" ht="11.25">
      <c r="A467" s="0">
        <v>467</v>
      </c>
      <c r="B467" s="0" t="s">
        <v>4276</v>
      </c>
      <c r="C467" s="0" t="s">
        <v>4281</v>
      </c>
      <c r="D467" s="0" t="s">
        <v>4282</v>
      </c>
    </row>
    <row customHeight="1" ht="11.25">
      <c r="A468" s="0">
        <v>468</v>
      </c>
      <c r="B468" s="0" t="s">
        <v>4276</v>
      </c>
      <c r="C468" s="0" t="s">
        <v>4283</v>
      </c>
      <c r="D468" s="0" t="s">
        <v>4284</v>
      </c>
    </row>
    <row customHeight="1" ht="11.25">
      <c r="A469" s="0">
        <v>469</v>
      </c>
      <c r="B469" s="0" t="s">
        <v>4276</v>
      </c>
      <c r="C469" s="0" t="s">
        <v>4285</v>
      </c>
      <c r="D469" s="0" t="s">
        <v>4286</v>
      </c>
    </row>
    <row customHeight="1" ht="11.25">
      <c r="A470" s="0">
        <v>470</v>
      </c>
      <c r="B470" s="0" t="s">
        <v>4276</v>
      </c>
      <c r="C470" s="0" t="s">
        <v>4287</v>
      </c>
      <c r="D470" s="0" t="s">
        <v>4288</v>
      </c>
    </row>
    <row customHeight="1" ht="11.25">
      <c r="A471" s="0">
        <v>471</v>
      </c>
      <c r="B471" s="0" t="s">
        <v>4276</v>
      </c>
      <c r="C471" s="0" t="s">
        <v>4289</v>
      </c>
      <c r="D471" s="0" t="s">
        <v>4290</v>
      </c>
    </row>
    <row customHeight="1" ht="11.25">
      <c r="A472" s="0">
        <v>472</v>
      </c>
      <c r="B472" s="0" t="s">
        <v>4276</v>
      </c>
      <c r="C472" s="0" t="s">
        <v>4291</v>
      </c>
      <c r="D472" s="0" t="s">
        <v>4292</v>
      </c>
    </row>
    <row customHeight="1" ht="11.25">
      <c r="A473" s="0">
        <v>473</v>
      </c>
      <c r="B473" s="0" t="s">
        <v>4276</v>
      </c>
      <c r="C473" s="0" t="s">
        <v>4293</v>
      </c>
      <c r="D473" s="0" t="s">
        <v>4294</v>
      </c>
    </row>
    <row customHeight="1" ht="11.25">
      <c r="A474" s="0">
        <v>474</v>
      </c>
      <c r="B474" s="0" t="s">
        <v>4276</v>
      </c>
      <c r="C474" s="0" t="s">
        <v>4295</v>
      </c>
      <c r="D474" s="0" t="s">
        <v>4296</v>
      </c>
    </row>
    <row customHeight="1" ht="11.25">
      <c r="A475" s="0">
        <v>475</v>
      </c>
      <c r="B475" s="0" t="s">
        <v>4276</v>
      </c>
      <c r="C475" s="0" t="s">
        <v>4297</v>
      </c>
      <c r="D475" s="0" t="s">
        <v>4298</v>
      </c>
    </row>
    <row customHeight="1" ht="11.25">
      <c r="A476" s="0">
        <v>476</v>
      </c>
      <c r="B476" s="0" t="s">
        <v>4276</v>
      </c>
      <c r="C476" s="0" t="s">
        <v>4299</v>
      </c>
      <c r="D476" s="0" t="s">
        <v>4300</v>
      </c>
    </row>
    <row customHeight="1" ht="11.25">
      <c r="A477" s="0">
        <v>477</v>
      </c>
      <c r="B477" s="0" t="s">
        <v>4276</v>
      </c>
      <c r="C477" s="0" t="s">
        <v>4035</v>
      </c>
      <c r="D477" s="0" t="s">
        <v>4301</v>
      </c>
    </row>
    <row customHeight="1" ht="11.25">
      <c r="A478" s="0">
        <v>478</v>
      </c>
      <c r="B478" s="0" t="s">
        <v>4276</v>
      </c>
      <c r="C478" s="0" t="s">
        <v>4276</v>
      </c>
      <c r="D478" s="0" t="s">
        <v>4302</v>
      </c>
    </row>
    <row customHeight="1" ht="11.25">
      <c r="A479" s="0">
        <v>479</v>
      </c>
      <c r="B479" s="0" t="s">
        <v>4276</v>
      </c>
      <c r="C479" s="0" t="s">
        <v>4303</v>
      </c>
      <c r="D479" s="0" t="s">
        <v>4304</v>
      </c>
    </row>
    <row customHeight="1" ht="11.25">
      <c r="A480" s="0">
        <v>480</v>
      </c>
      <c r="B480" s="0" t="s">
        <v>4276</v>
      </c>
      <c r="C480" s="0" t="s">
        <v>3989</v>
      </c>
      <c r="D480" s="0" t="s">
        <v>4305</v>
      </c>
    </row>
    <row customHeight="1" ht="11.25">
      <c r="A481" s="0">
        <v>481</v>
      </c>
      <c r="B481" s="0" t="s">
        <v>4276</v>
      </c>
      <c r="C481" s="0" t="s">
        <v>4306</v>
      </c>
      <c r="D481" s="0" t="s">
        <v>4307</v>
      </c>
    </row>
    <row customHeight="1" ht="11.25">
      <c r="A482" s="0">
        <v>482</v>
      </c>
      <c r="B482" s="0" t="s">
        <v>4276</v>
      </c>
      <c r="C482" s="0" t="s">
        <v>4308</v>
      </c>
      <c r="D482" s="0" t="s">
        <v>4309</v>
      </c>
    </row>
    <row customHeight="1" ht="11.25">
      <c r="A483" s="0">
        <v>483</v>
      </c>
      <c r="B483" s="0" t="s">
        <v>4310</v>
      </c>
      <c r="C483" s="0" t="s">
        <v>4311</v>
      </c>
      <c r="D483" s="0" t="s">
        <v>4312</v>
      </c>
    </row>
    <row customHeight="1" ht="11.25">
      <c r="A484" s="0">
        <v>484</v>
      </c>
      <c r="B484" s="0" t="s">
        <v>4310</v>
      </c>
      <c r="C484" s="0" t="s">
        <v>4313</v>
      </c>
      <c r="D484" s="0" t="s">
        <v>4314</v>
      </c>
    </row>
    <row customHeight="1" ht="11.25">
      <c r="A485" s="0">
        <v>485</v>
      </c>
      <c r="B485" s="0" t="s">
        <v>4310</v>
      </c>
      <c r="C485" s="0" t="s">
        <v>3406</v>
      </c>
      <c r="D485" s="0" t="s">
        <v>4315</v>
      </c>
    </row>
    <row customHeight="1" ht="11.25">
      <c r="A486" s="0">
        <v>486</v>
      </c>
      <c r="B486" s="0" t="s">
        <v>4310</v>
      </c>
      <c r="C486" s="0" t="s">
        <v>4316</v>
      </c>
      <c r="D486" s="0" t="s">
        <v>4317</v>
      </c>
    </row>
    <row customHeight="1" ht="11.25">
      <c r="A487" s="0">
        <v>487</v>
      </c>
      <c r="B487" s="0" t="s">
        <v>4310</v>
      </c>
      <c r="C487" s="0" t="s">
        <v>4318</v>
      </c>
      <c r="D487" s="0" t="s">
        <v>4319</v>
      </c>
    </row>
    <row customHeight="1" ht="11.25">
      <c r="A488" s="0">
        <v>488</v>
      </c>
      <c r="B488" s="0" t="s">
        <v>4310</v>
      </c>
      <c r="C488" s="0" t="s">
        <v>4310</v>
      </c>
      <c r="D488" s="0" t="s">
        <v>4320</v>
      </c>
    </row>
    <row customHeight="1" ht="11.25">
      <c r="A489" s="0">
        <v>489</v>
      </c>
      <c r="B489" s="0" t="s">
        <v>4310</v>
      </c>
      <c r="C489" s="0" t="s">
        <v>4321</v>
      </c>
      <c r="D489" s="0" t="s">
        <v>4322</v>
      </c>
    </row>
    <row customHeight="1" ht="11.25">
      <c r="A490" s="0">
        <v>490</v>
      </c>
      <c r="B490" s="0" t="s">
        <v>4310</v>
      </c>
      <c r="C490" s="0" t="s">
        <v>3581</v>
      </c>
      <c r="D490" s="0" t="s">
        <v>4323</v>
      </c>
    </row>
    <row customHeight="1" ht="11.25">
      <c r="A491" s="0">
        <v>491</v>
      </c>
      <c r="B491" s="0" t="s">
        <v>4310</v>
      </c>
      <c r="C491" s="0" t="s">
        <v>4324</v>
      </c>
      <c r="D491" s="0" t="s">
        <v>4325</v>
      </c>
    </row>
    <row customHeight="1" ht="11.25">
      <c r="A492" s="0">
        <v>492</v>
      </c>
      <c r="B492" s="0" t="s">
        <v>4310</v>
      </c>
      <c r="C492" s="0" t="s">
        <v>4326</v>
      </c>
      <c r="D492" s="0" t="s">
        <v>4327</v>
      </c>
    </row>
    <row customHeight="1" ht="11.25">
      <c r="A493" s="0">
        <v>493</v>
      </c>
      <c r="B493" s="0" t="s">
        <v>4328</v>
      </c>
      <c r="C493" s="0" t="s">
        <v>4329</v>
      </c>
      <c r="D493" s="0" t="s">
        <v>4330</v>
      </c>
    </row>
    <row customHeight="1" ht="11.25">
      <c r="A494" s="0">
        <v>494</v>
      </c>
      <c r="B494" s="0" t="s">
        <v>4328</v>
      </c>
      <c r="C494" s="0" t="s">
        <v>4331</v>
      </c>
      <c r="D494" s="0" t="s">
        <v>4332</v>
      </c>
    </row>
    <row customHeight="1" ht="11.25">
      <c r="A495" s="0">
        <v>495</v>
      </c>
      <c r="B495" s="0" t="s">
        <v>4328</v>
      </c>
      <c r="C495" s="0" t="s">
        <v>4189</v>
      </c>
      <c r="D495" s="0" t="s">
        <v>4333</v>
      </c>
    </row>
    <row customHeight="1" ht="11.25">
      <c r="A496" s="0">
        <v>496</v>
      </c>
      <c r="B496" s="0" t="s">
        <v>4328</v>
      </c>
      <c r="C496" s="0" t="s">
        <v>4334</v>
      </c>
      <c r="D496" s="0" t="s">
        <v>4335</v>
      </c>
    </row>
    <row customHeight="1" ht="11.25">
      <c r="A497" s="0">
        <v>497</v>
      </c>
      <c r="B497" s="0" t="s">
        <v>4328</v>
      </c>
      <c r="C497" s="0" t="s">
        <v>4336</v>
      </c>
      <c r="D497" s="0" t="s">
        <v>4337</v>
      </c>
    </row>
    <row customHeight="1" ht="11.25">
      <c r="A498" s="0">
        <v>498</v>
      </c>
      <c r="B498" s="0" t="s">
        <v>4328</v>
      </c>
      <c r="C498" s="0" t="s">
        <v>4338</v>
      </c>
      <c r="D498" s="0" t="s">
        <v>4339</v>
      </c>
    </row>
    <row customHeight="1" ht="11.25">
      <c r="A499" s="0">
        <v>499</v>
      </c>
      <c r="B499" s="0" t="s">
        <v>4328</v>
      </c>
      <c r="C499" s="0" t="s">
        <v>4340</v>
      </c>
      <c r="D499" s="0" t="s">
        <v>4341</v>
      </c>
    </row>
    <row customHeight="1" ht="11.25">
      <c r="A500" s="0">
        <v>500</v>
      </c>
      <c r="B500" s="0" t="s">
        <v>4328</v>
      </c>
      <c r="C500" s="0" t="s">
        <v>4328</v>
      </c>
      <c r="D500" s="0" t="s">
        <v>4342</v>
      </c>
    </row>
    <row customHeight="1" ht="11.25">
      <c r="A501" s="0">
        <v>501</v>
      </c>
      <c r="B501" s="0" t="s">
        <v>4328</v>
      </c>
      <c r="C501" s="0" t="s">
        <v>4343</v>
      </c>
      <c r="D501" s="0" t="s">
        <v>4344</v>
      </c>
    </row>
    <row customHeight="1" ht="11.25">
      <c r="A502" s="0">
        <v>502</v>
      </c>
      <c r="B502" s="0" t="s">
        <v>4328</v>
      </c>
      <c r="C502" s="0" t="s">
        <v>4345</v>
      </c>
      <c r="D502" s="0" t="s">
        <v>4346</v>
      </c>
    </row>
    <row customHeight="1" ht="11.25">
      <c r="A503" s="0">
        <v>503</v>
      </c>
      <c r="B503" s="0" t="s">
        <v>4328</v>
      </c>
      <c r="C503" s="0" t="s">
        <v>4347</v>
      </c>
      <c r="D503" s="0" t="s">
        <v>4348</v>
      </c>
    </row>
    <row customHeight="1" ht="11.25">
      <c r="A504" s="0">
        <v>504</v>
      </c>
      <c r="B504" s="0" t="s">
        <v>4328</v>
      </c>
      <c r="C504" s="0" t="s">
        <v>4349</v>
      </c>
      <c r="D504" s="0" t="s">
        <v>4350</v>
      </c>
    </row>
    <row customHeight="1" ht="11.25">
      <c r="A505" s="0">
        <v>505</v>
      </c>
      <c r="B505" s="0" t="s">
        <v>4328</v>
      </c>
      <c r="C505" s="0" t="s">
        <v>4351</v>
      </c>
      <c r="D505" s="0" t="s">
        <v>4352</v>
      </c>
    </row>
    <row customHeight="1" ht="11.25">
      <c r="A506" s="0">
        <v>506</v>
      </c>
      <c r="B506" s="0" t="s">
        <v>4353</v>
      </c>
      <c r="C506" s="0" t="s">
        <v>3562</v>
      </c>
      <c r="D506" s="0" t="s">
        <v>4354</v>
      </c>
    </row>
    <row customHeight="1" ht="11.25">
      <c r="A507" s="0">
        <v>507</v>
      </c>
      <c r="B507" s="0" t="s">
        <v>4353</v>
      </c>
      <c r="C507" s="0" t="s">
        <v>3860</v>
      </c>
      <c r="D507" s="0" t="s">
        <v>4355</v>
      </c>
    </row>
    <row customHeight="1" ht="11.25">
      <c r="A508" s="0">
        <v>508</v>
      </c>
      <c r="B508" s="0" t="s">
        <v>4353</v>
      </c>
      <c r="C508" s="0" t="s">
        <v>4356</v>
      </c>
      <c r="D508" s="0" t="s">
        <v>4357</v>
      </c>
    </row>
    <row customHeight="1" ht="11.25">
      <c r="A509" s="0">
        <v>509</v>
      </c>
      <c r="B509" s="0" t="s">
        <v>4353</v>
      </c>
      <c r="C509" s="0" t="s">
        <v>4358</v>
      </c>
      <c r="D509" s="0" t="s">
        <v>4359</v>
      </c>
    </row>
    <row customHeight="1" ht="11.25">
      <c r="A510" s="0">
        <v>510</v>
      </c>
      <c r="B510" s="0" t="s">
        <v>4353</v>
      </c>
      <c r="C510" s="0" t="s">
        <v>4353</v>
      </c>
      <c r="D510" s="0" t="s">
        <v>4360</v>
      </c>
    </row>
    <row customHeight="1" ht="11.25">
      <c r="A511" s="0">
        <v>511</v>
      </c>
      <c r="B511" s="0" t="s">
        <v>4353</v>
      </c>
      <c r="C511" s="0" t="s">
        <v>4361</v>
      </c>
      <c r="D511" s="0" t="s">
        <v>4362</v>
      </c>
    </row>
    <row customHeight="1" ht="11.25">
      <c r="A512" s="0">
        <v>512</v>
      </c>
      <c r="B512" s="0" t="s">
        <v>4353</v>
      </c>
      <c r="C512" s="0" t="s">
        <v>4363</v>
      </c>
      <c r="D512" s="0" t="s">
        <v>4364</v>
      </c>
    </row>
    <row customHeight="1" ht="11.25">
      <c r="A513" s="0">
        <v>513</v>
      </c>
      <c r="B513" s="0" t="s">
        <v>4353</v>
      </c>
      <c r="C513" s="0" t="s">
        <v>4365</v>
      </c>
      <c r="D513" s="0" t="s">
        <v>4366</v>
      </c>
    </row>
    <row customHeight="1" ht="11.25">
      <c r="A514" s="0">
        <v>514</v>
      </c>
      <c r="B514" s="0" t="s">
        <v>4353</v>
      </c>
      <c r="C514" s="0" t="s">
        <v>3653</v>
      </c>
      <c r="D514" s="0" t="s">
        <v>4367</v>
      </c>
    </row>
    <row customHeight="1" ht="11.25">
      <c r="A515" s="0">
        <v>515</v>
      </c>
      <c r="B515" s="0" t="s">
        <v>4368</v>
      </c>
      <c r="C515" s="0" t="s">
        <v>4369</v>
      </c>
      <c r="D515" s="0" t="s">
        <v>4370</v>
      </c>
    </row>
    <row customHeight="1" ht="11.25">
      <c r="A516" s="0">
        <v>516</v>
      </c>
      <c r="B516" s="0" t="s">
        <v>4368</v>
      </c>
      <c r="C516" s="0" t="s">
        <v>3438</v>
      </c>
      <c r="D516" s="0" t="s">
        <v>4371</v>
      </c>
    </row>
    <row customHeight="1" ht="11.25">
      <c r="A517" s="0">
        <v>517</v>
      </c>
      <c r="B517" s="0" t="s">
        <v>4368</v>
      </c>
      <c r="C517" s="0" t="s">
        <v>4372</v>
      </c>
      <c r="D517" s="0" t="s">
        <v>4373</v>
      </c>
    </row>
    <row customHeight="1" ht="11.25">
      <c r="A518" s="0">
        <v>518</v>
      </c>
      <c r="B518" s="0" t="s">
        <v>4368</v>
      </c>
      <c r="C518" s="0" t="s">
        <v>4374</v>
      </c>
      <c r="D518" s="0" t="s">
        <v>4375</v>
      </c>
    </row>
    <row customHeight="1" ht="11.25">
      <c r="A519" s="0">
        <v>519</v>
      </c>
      <c r="B519" s="0" t="s">
        <v>4368</v>
      </c>
      <c r="C519" s="0" t="s">
        <v>4368</v>
      </c>
      <c r="D519" s="0" t="s">
        <v>4376</v>
      </c>
    </row>
    <row customHeight="1" ht="11.25">
      <c r="A520" s="0">
        <v>520</v>
      </c>
      <c r="B520" s="0" t="s">
        <v>4368</v>
      </c>
      <c r="C520" s="0" t="s">
        <v>4377</v>
      </c>
      <c r="D520" s="0" t="s">
        <v>4378</v>
      </c>
    </row>
    <row customHeight="1" ht="11.25">
      <c r="A521" s="0">
        <v>521</v>
      </c>
      <c r="B521" s="0" t="s">
        <v>4368</v>
      </c>
      <c r="C521" s="0" t="s">
        <v>4379</v>
      </c>
      <c r="D521" s="0" t="s">
        <v>4380</v>
      </c>
    </row>
    <row customHeight="1" ht="11.25">
      <c r="A522" s="0">
        <v>522</v>
      </c>
      <c r="B522" s="0" t="s">
        <v>4381</v>
      </c>
      <c r="C522" s="0" t="s">
        <v>3962</v>
      </c>
      <c r="D522" s="0" t="s">
        <v>4382</v>
      </c>
    </row>
    <row customHeight="1" ht="11.25">
      <c r="A523" s="0">
        <v>523</v>
      </c>
      <c r="B523" s="0" t="s">
        <v>4381</v>
      </c>
      <c r="C523" s="0" t="s">
        <v>4383</v>
      </c>
      <c r="D523" s="0" t="s">
        <v>4384</v>
      </c>
    </row>
    <row customHeight="1" ht="11.25">
      <c r="A524" s="0">
        <v>524</v>
      </c>
      <c r="B524" s="0" t="s">
        <v>4381</v>
      </c>
      <c r="C524" s="0" t="s">
        <v>4385</v>
      </c>
      <c r="D524" s="0" t="s">
        <v>4386</v>
      </c>
    </row>
    <row customHeight="1" ht="11.25">
      <c r="A525" s="0">
        <v>525</v>
      </c>
      <c r="B525" s="0" t="s">
        <v>4381</v>
      </c>
      <c r="C525" s="0" t="s">
        <v>4387</v>
      </c>
      <c r="D525" s="0" t="s">
        <v>4388</v>
      </c>
    </row>
    <row customHeight="1" ht="11.25">
      <c r="A526" s="0">
        <v>526</v>
      </c>
      <c r="B526" s="0" t="s">
        <v>4381</v>
      </c>
      <c r="C526" s="0" t="s">
        <v>4381</v>
      </c>
      <c r="D526" s="0" t="s">
        <v>4389</v>
      </c>
    </row>
    <row customHeight="1" ht="11.25">
      <c r="A527" s="0">
        <v>527</v>
      </c>
      <c r="B527" s="0" t="s">
        <v>4390</v>
      </c>
      <c r="C527" s="0" t="s">
        <v>3430</v>
      </c>
      <c r="D527" s="0" t="s">
        <v>4391</v>
      </c>
    </row>
    <row customHeight="1" ht="11.25">
      <c r="A528" s="0">
        <v>528</v>
      </c>
      <c r="B528" s="0" t="s">
        <v>4390</v>
      </c>
      <c r="C528" s="0" t="s">
        <v>4392</v>
      </c>
      <c r="D528" s="0" t="s">
        <v>4393</v>
      </c>
    </row>
    <row customHeight="1" ht="11.25">
      <c r="A529" s="0">
        <v>529</v>
      </c>
      <c r="B529" s="0" t="s">
        <v>4390</v>
      </c>
      <c r="C529" s="0" t="s">
        <v>4394</v>
      </c>
      <c r="D529" s="0" t="s">
        <v>4395</v>
      </c>
    </row>
    <row customHeight="1" ht="11.25">
      <c r="A530" s="0">
        <v>530</v>
      </c>
      <c r="B530" s="0" t="s">
        <v>4390</v>
      </c>
      <c r="C530" s="0" t="s">
        <v>4396</v>
      </c>
      <c r="D530" s="0" t="s">
        <v>4397</v>
      </c>
    </row>
    <row customHeight="1" ht="11.25">
      <c r="A531" s="0">
        <v>531</v>
      </c>
      <c r="B531" s="0" t="s">
        <v>4390</v>
      </c>
      <c r="C531" s="0" t="s">
        <v>4390</v>
      </c>
      <c r="D531" s="0" t="s">
        <v>4398</v>
      </c>
    </row>
    <row customHeight="1" ht="11.25">
      <c r="A532" s="0">
        <v>532</v>
      </c>
      <c r="B532" s="0" t="s">
        <v>4390</v>
      </c>
      <c r="C532" s="0" t="s">
        <v>4399</v>
      </c>
      <c r="D532" s="0" t="s">
        <v>4400</v>
      </c>
    </row>
    <row customHeight="1" ht="11.25">
      <c r="A533" s="0">
        <v>533</v>
      </c>
      <c r="B533" s="0" t="s">
        <v>4401</v>
      </c>
      <c r="C533" s="0" t="s">
        <v>4402</v>
      </c>
      <c r="D533" s="0" t="s">
        <v>4403</v>
      </c>
    </row>
    <row customHeight="1" ht="11.25">
      <c r="A534" s="0">
        <v>534</v>
      </c>
      <c r="B534" s="0" t="s">
        <v>4401</v>
      </c>
      <c r="C534" s="0" t="s">
        <v>4404</v>
      </c>
      <c r="D534" s="0" t="s">
        <v>4405</v>
      </c>
    </row>
    <row customHeight="1" ht="11.25">
      <c r="A535" s="0">
        <v>535</v>
      </c>
      <c r="B535" s="0" t="s">
        <v>4401</v>
      </c>
      <c r="C535" s="0" t="s">
        <v>3924</v>
      </c>
      <c r="D535" s="0" t="s">
        <v>4406</v>
      </c>
    </row>
    <row customHeight="1" ht="11.25">
      <c r="A536" s="0">
        <v>536</v>
      </c>
      <c r="B536" s="0" t="s">
        <v>4401</v>
      </c>
      <c r="C536" s="0" t="s">
        <v>4407</v>
      </c>
      <c r="D536" s="0" t="s">
        <v>4408</v>
      </c>
    </row>
    <row customHeight="1" ht="11.25">
      <c r="A537" s="0">
        <v>537</v>
      </c>
      <c r="B537" s="0" t="s">
        <v>4401</v>
      </c>
      <c r="C537" s="0" t="s">
        <v>4409</v>
      </c>
      <c r="D537" s="0" t="s">
        <v>4410</v>
      </c>
    </row>
    <row customHeight="1" ht="11.25">
      <c r="A538" s="0">
        <v>538</v>
      </c>
      <c r="B538" s="0" t="s">
        <v>4401</v>
      </c>
      <c r="C538" s="0" t="s">
        <v>4411</v>
      </c>
      <c r="D538" s="0" t="s">
        <v>4412</v>
      </c>
    </row>
    <row customHeight="1" ht="11.25">
      <c r="A539" s="0">
        <v>539</v>
      </c>
      <c r="B539" s="0" t="s">
        <v>4401</v>
      </c>
      <c r="C539" s="0" t="s">
        <v>3729</v>
      </c>
      <c r="D539" s="0" t="s">
        <v>4413</v>
      </c>
    </row>
    <row customHeight="1" ht="11.25">
      <c r="A540" s="0">
        <v>540</v>
      </c>
      <c r="B540" s="0" t="s">
        <v>4401</v>
      </c>
      <c r="C540" s="0" t="s">
        <v>4414</v>
      </c>
      <c r="D540" s="0" t="s">
        <v>4415</v>
      </c>
    </row>
    <row customHeight="1" ht="11.25">
      <c r="A541" s="0">
        <v>541</v>
      </c>
      <c r="B541" s="0" t="s">
        <v>4401</v>
      </c>
      <c r="C541" s="0" t="s">
        <v>4416</v>
      </c>
      <c r="D541" s="0" t="s">
        <v>4417</v>
      </c>
    </row>
    <row customHeight="1" ht="11.25">
      <c r="A542" s="0">
        <v>542</v>
      </c>
      <c r="B542" s="0" t="s">
        <v>4401</v>
      </c>
      <c r="C542" s="0" t="s">
        <v>4418</v>
      </c>
      <c r="D542" s="0" t="s">
        <v>4419</v>
      </c>
    </row>
    <row customHeight="1" ht="11.25">
      <c r="A543" s="0">
        <v>543</v>
      </c>
      <c r="B543" s="0" t="s">
        <v>4401</v>
      </c>
      <c r="C543" s="0" t="s">
        <v>4420</v>
      </c>
      <c r="D543" s="0" t="s">
        <v>4421</v>
      </c>
    </row>
    <row customHeight="1" ht="11.25">
      <c r="A544" s="0">
        <v>544</v>
      </c>
      <c r="B544" s="0" t="s">
        <v>4401</v>
      </c>
      <c r="C544" s="0" t="s">
        <v>4422</v>
      </c>
      <c r="D544" s="0" t="s">
        <v>4423</v>
      </c>
    </row>
    <row customHeight="1" ht="11.25">
      <c r="A545" s="0">
        <v>545</v>
      </c>
      <c r="B545" s="0" t="s">
        <v>4401</v>
      </c>
      <c r="C545" s="0" t="s">
        <v>4424</v>
      </c>
      <c r="D545" s="0" t="s">
        <v>4425</v>
      </c>
    </row>
    <row customHeight="1" ht="11.25">
      <c r="A546" s="0">
        <v>546</v>
      </c>
      <c r="B546" s="0" t="s">
        <v>4401</v>
      </c>
      <c r="C546" s="0" t="s">
        <v>4426</v>
      </c>
      <c r="D546" s="0" t="s">
        <v>4427</v>
      </c>
    </row>
    <row customHeight="1" ht="11.25">
      <c r="A547" s="0">
        <v>547</v>
      </c>
      <c r="B547" s="0" t="s">
        <v>4401</v>
      </c>
      <c r="C547" s="0" t="s">
        <v>4428</v>
      </c>
      <c r="D547" s="0" t="s">
        <v>4429</v>
      </c>
    </row>
    <row customHeight="1" ht="11.25">
      <c r="A548" s="0">
        <v>548</v>
      </c>
      <c r="B548" s="0" t="s">
        <v>4401</v>
      </c>
      <c r="C548" s="0" t="s">
        <v>4401</v>
      </c>
      <c r="D548" s="0" t="s">
        <v>4430</v>
      </c>
    </row>
    <row customHeight="1" ht="11.25">
      <c r="A549" s="0">
        <v>549</v>
      </c>
      <c r="B549" s="0" t="s">
        <v>4401</v>
      </c>
      <c r="C549" s="0" t="s">
        <v>4431</v>
      </c>
      <c r="D549" s="0" t="s">
        <v>4432</v>
      </c>
    </row>
    <row customHeight="1" ht="11.25">
      <c r="A550" s="0">
        <v>550</v>
      </c>
      <c r="B550" s="0" t="s">
        <v>4401</v>
      </c>
      <c r="C550" s="0" t="s">
        <v>4433</v>
      </c>
      <c r="D550" s="0" t="s">
        <v>4434</v>
      </c>
    </row>
    <row customHeight="1" ht="11.25">
      <c r="A551" s="0">
        <v>551</v>
      </c>
      <c r="B551" s="0" t="s">
        <v>4401</v>
      </c>
      <c r="C551" s="0" t="s">
        <v>4435</v>
      </c>
      <c r="D551" s="0" t="s">
        <v>4436</v>
      </c>
    </row>
    <row customHeight="1" ht="11.25">
      <c r="A552" s="0">
        <v>552</v>
      </c>
      <c r="B552" s="0" t="s">
        <v>4437</v>
      </c>
      <c r="C552" s="0" t="s">
        <v>4438</v>
      </c>
      <c r="D552" s="0" t="s">
        <v>4439</v>
      </c>
    </row>
    <row customHeight="1" ht="11.25">
      <c r="A553" s="0">
        <v>553</v>
      </c>
      <c r="B553" s="0" t="s">
        <v>4437</v>
      </c>
      <c r="C553" s="0" t="s">
        <v>4440</v>
      </c>
      <c r="D553" s="0" t="s">
        <v>4441</v>
      </c>
    </row>
    <row customHeight="1" ht="11.25">
      <c r="A554" s="0">
        <v>554</v>
      </c>
      <c r="B554" s="0" t="s">
        <v>4437</v>
      </c>
      <c r="C554" s="0" t="s">
        <v>4442</v>
      </c>
      <c r="D554" s="0" t="s">
        <v>4443</v>
      </c>
    </row>
    <row customHeight="1" ht="11.25">
      <c r="A555" s="0">
        <v>555</v>
      </c>
      <c r="B555" s="0" t="s">
        <v>4437</v>
      </c>
      <c r="C555" s="0" t="s">
        <v>4437</v>
      </c>
      <c r="D555" s="0" t="s">
        <v>4444</v>
      </c>
    </row>
    <row customHeight="1" ht="11.25">
      <c r="A556" s="0">
        <v>556</v>
      </c>
      <c r="B556" s="0" t="s">
        <v>4437</v>
      </c>
      <c r="C556" s="0" t="s">
        <v>4445</v>
      </c>
      <c r="D556" s="0" t="s">
        <v>4446</v>
      </c>
    </row>
    <row customHeight="1" ht="11.25">
      <c r="A557" s="0">
        <v>557</v>
      </c>
      <c r="B557" s="0" t="s">
        <v>4437</v>
      </c>
      <c r="C557" s="0" t="s">
        <v>4447</v>
      </c>
      <c r="D557" s="0" t="s">
        <v>4448</v>
      </c>
    </row>
    <row customHeight="1" ht="11.25">
      <c r="A558" s="0">
        <v>558</v>
      </c>
      <c r="B558" s="0" t="s">
        <v>4449</v>
      </c>
      <c r="C558" s="0" t="s">
        <v>4450</v>
      </c>
      <c r="D558" s="0" t="s">
        <v>4451</v>
      </c>
    </row>
    <row customHeight="1" ht="11.25">
      <c r="A559" s="0">
        <v>559</v>
      </c>
      <c r="B559" s="0" t="s">
        <v>4449</v>
      </c>
      <c r="C559" s="0" t="s">
        <v>4452</v>
      </c>
      <c r="D559" s="0" t="s">
        <v>4453</v>
      </c>
    </row>
    <row customHeight="1" ht="11.25">
      <c r="A560" s="0">
        <v>560</v>
      </c>
      <c r="B560" s="0" t="s">
        <v>4449</v>
      </c>
      <c r="C560" s="0" t="s">
        <v>4208</v>
      </c>
      <c r="D560" s="0" t="s">
        <v>4454</v>
      </c>
    </row>
    <row customHeight="1" ht="11.25">
      <c r="A561" s="0">
        <v>561</v>
      </c>
      <c r="B561" s="0" t="s">
        <v>4449</v>
      </c>
      <c r="C561" s="0" t="s">
        <v>3406</v>
      </c>
      <c r="D561" s="0" t="s">
        <v>4455</v>
      </c>
    </row>
    <row customHeight="1" ht="11.25">
      <c r="A562" s="0">
        <v>562</v>
      </c>
      <c r="B562" s="0" t="s">
        <v>4449</v>
      </c>
      <c r="C562" s="0" t="s">
        <v>3803</v>
      </c>
      <c r="D562" s="0" t="s">
        <v>4456</v>
      </c>
    </row>
    <row customHeight="1" ht="11.25">
      <c r="A563" s="0">
        <v>563</v>
      </c>
      <c r="B563" s="0" t="s">
        <v>4449</v>
      </c>
      <c r="C563" s="0" t="s">
        <v>4189</v>
      </c>
      <c r="D563" s="0" t="s">
        <v>4457</v>
      </c>
    </row>
    <row customHeight="1" ht="11.25">
      <c r="A564" s="0">
        <v>564</v>
      </c>
      <c r="B564" s="0" t="s">
        <v>4449</v>
      </c>
      <c r="C564" s="0" t="s">
        <v>3438</v>
      </c>
      <c r="D564" s="0" t="s">
        <v>4458</v>
      </c>
    </row>
    <row customHeight="1" ht="11.25">
      <c r="A565" s="0">
        <v>565</v>
      </c>
      <c r="B565" s="0" t="s">
        <v>4449</v>
      </c>
      <c r="C565" s="0" t="s">
        <v>4459</v>
      </c>
      <c r="D565" s="0" t="s">
        <v>4460</v>
      </c>
    </row>
    <row customHeight="1" ht="11.25">
      <c r="A566" s="0">
        <v>566</v>
      </c>
      <c r="B566" s="0" t="s">
        <v>4449</v>
      </c>
      <c r="C566" s="0" t="s">
        <v>4461</v>
      </c>
      <c r="D566" s="0" t="s">
        <v>4462</v>
      </c>
    </row>
    <row customHeight="1" ht="11.25">
      <c r="A567" s="0">
        <v>567</v>
      </c>
      <c r="B567" s="0" t="s">
        <v>4449</v>
      </c>
      <c r="C567" s="0" t="s">
        <v>4463</v>
      </c>
      <c r="D567" s="0" t="s">
        <v>4464</v>
      </c>
    </row>
    <row customHeight="1" ht="11.25">
      <c r="A568" s="0">
        <v>568</v>
      </c>
      <c r="B568" s="0" t="s">
        <v>4449</v>
      </c>
      <c r="C568" s="0" t="s">
        <v>3811</v>
      </c>
      <c r="D568" s="0" t="s">
        <v>4465</v>
      </c>
    </row>
    <row customHeight="1" ht="11.25">
      <c r="A569" s="0">
        <v>569</v>
      </c>
      <c r="B569" s="0" t="s">
        <v>4449</v>
      </c>
      <c r="C569" s="0" t="s">
        <v>4272</v>
      </c>
      <c r="D569" s="0" t="s">
        <v>4466</v>
      </c>
    </row>
    <row customHeight="1" ht="11.25">
      <c r="A570" s="0">
        <v>570</v>
      </c>
      <c r="B570" s="0" t="s">
        <v>4449</v>
      </c>
      <c r="C570" s="0" t="s">
        <v>4449</v>
      </c>
      <c r="D570" s="0" t="s">
        <v>4467</v>
      </c>
    </row>
    <row customHeight="1" ht="11.25">
      <c r="A571" s="0">
        <v>571</v>
      </c>
      <c r="B571" s="0" t="s">
        <v>4449</v>
      </c>
      <c r="C571" s="0" t="s">
        <v>4468</v>
      </c>
      <c r="D571" s="0" t="s">
        <v>4469</v>
      </c>
    </row>
    <row customHeight="1" ht="11.25">
      <c r="A572" s="0">
        <v>572</v>
      </c>
      <c r="B572" s="0" t="s">
        <v>4449</v>
      </c>
      <c r="C572" s="0" t="s">
        <v>4470</v>
      </c>
      <c r="D572" s="0" t="s">
        <v>4471</v>
      </c>
    </row>
    <row customHeight="1" ht="11.25">
      <c r="A573" s="0">
        <v>573</v>
      </c>
      <c r="B573" s="0" t="s">
        <v>4449</v>
      </c>
      <c r="C573" s="0" t="s">
        <v>4472</v>
      </c>
      <c r="D573" s="0" t="s">
        <v>4473</v>
      </c>
    </row>
    <row customHeight="1" ht="11.25">
      <c r="A574" s="0">
        <v>574</v>
      </c>
      <c r="B574" s="0" t="s">
        <v>4449</v>
      </c>
      <c r="C574" s="0" t="s">
        <v>4474</v>
      </c>
      <c r="D574" s="0" t="s">
        <v>4475</v>
      </c>
    </row>
    <row customHeight="1" ht="11.25">
      <c r="A575" s="0">
        <v>575</v>
      </c>
      <c r="B575" s="0" t="s">
        <v>4449</v>
      </c>
      <c r="C575" s="0" t="s">
        <v>4476</v>
      </c>
      <c r="D575" s="0" t="s">
        <v>4477</v>
      </c>
    </row>
    <row customHeight="1" ht="11.25">
      <c r="A576" s="0">
        <v>576</v>
      </c>
      <c r="B576" s="0" t="s">
        <v>4478</v>
      </c>
      <c r="C576" s="0" t="s">
        <v>4479</v>
      </c>
      <c r="D576" s="0" t="s">
        <v>4480</v>
      </c>
    </row>
    <row customHeight="1" ht="11.25">
      <c r="A577" s="0">
        <v>577</v>
      </c>
      <c r="B577" s="0" t="s">
        <v>4478</v>
      </c>
      <c r="C577" s="0" t="s">
        <v>4481</v>
      </c>
      <c r="D577" s="0" t="s">
        <v>4482</v>
      </c>
    </row>
    <row customHeight="1" ht="11.25">
      <c r="A578" s="0">
        <v>578</v>
      </c>
      <c r="B578" s="0" t="s">
        <v>4478</v>
      </c>
      <c r="C578" s="0" t="s">
        <v>4483</v>
      </c>
      <c r="D578" s="0" t="s">
        <v>4484</v>
      </c>
    </row>
    <row customHeight="1" ht="11.25">
      <c r="A579" s="0">
        <v>579</v>
      </c>
      <c r="B579" s="0" t="s">
        <v>4478</v>
      </c>
      <c r="C579" s="0" t="s">
        <v>4485</v>
      </c>
      <c r="D579" s="0" t="s">
        <v>4486</v>
      </c>
    </row>
    <row customHeight="1" ht="11.25">
      <c r="A580" s="0">
        <v>580</v>
      </c>
      <c r="B580" s="0" t="s">
        <v>4478</v>
      </c>
      <c r="C580" s="0" t="s">
        <v>4487</v>
      </c>
      <c r="D580" s="0" t="s">
        <v>4488</v>
      </c>
    </row>
    <row customHeight="1" ht="11.25">
      <c r="A581" s="0">
        <v>581</v>
      </c>
      <c r="B581" s="0" t="s">
        <v>4478</v>
      </c>
      <c r="C581" s="0" t="s">
        <v>4489</v>
      </c>
      <c r="D581" s="0" t="s">
        <v>4490</v>
      </c>
    </row>
    <row customHeight="1" ht="11.25">
      <c r="A582" s="0">
        <v>582</v>
      </c>
      <c r="B582" s="0" t="s">
        <v>4478</v>
      </c>
      <c r="C582" s="0" t="s">
        <v>4491</v>
      </c>
      <c r="D582" s="0" t="s">
        <v>4492</v>
      </c>
    </row>
    <row customHeight="1" ht="11.25">
      <c r="A583" s="0">
        <v>583</v>
      </c>
      <c r="B583" s="0" t="s">
        <v>4478</v>
      </c>
      <c r="C583" s="0" t="s">
        <v>4478</v>
      </c>
      <c r="D583" s="0" t="s">
        <v>4493</v>
      </c>
    </row>
    <row customHeight="1" ht="11.25">
      <c r="A584" s="0">
        <v>584</v>
      </c>
      <c r="B584" s="0" t="s">
        <v>4478</v>
      </c>
      <c r="C584" s="0" t="s">
        <v>4494</v>
      </c>
      <c r="D584" s="0" t="s">
        <v>4495</v>
      </c>
    </row>
    <row customHeight="1" ht="11.25">
      <c r="A585" s="0">
        <v>585</v>
      </c>
      <c r="B585" s="0" t="s">
        <v>4478</v>
      </c>
      <c r="C585" s="0" t="s">
        <v>4496</v>
      </c>
      <c r="D585" s="0" t="s">
        <v>4497</v>
      </c>
    </row>
    <row customHeight="1" ht="11.25">
      <c r="A586" s="0">
        <v>586</v>
      </c>
      <c r="B586" s="0" t="s">
        <v>4498</v>
      </c>
      <c r="C586" s="0" t="s">
        <v>3432</v>
      </c>
      <c r="D586" s="0" t="s">
        <v>4499</v>
      </c>
    </row>
    <row customHeight="1" ht="11.25">
      <c r="A587" s="0">
        <v>587</v>
      </c>
      <c r="B587" s="0" t="s">
        <v>4498</v>
      </c>
      <c r="C587" s="0" t="s">
        <v>4202</v>
      </c>
      <c r="D587" s="0" t="s">
        <v>4500</v>
      </c>
    </row>
    <row customHeight="1" ht="11.25">
      <c r="A588" s="0">
        <v>588</v>
      </c>
      <c r="B588" s="0" t="s">
        <v>4498</v>
      </c>
      <c r="C588" s="0" t="s">
        <v>4501</v>
      </c>
      <c r="D588" s="0" t="s">
        <v>4502</v>
      </c>
    </row>
    <row customHeight="1" ht="11.25">
      <c r="A589" s="0">
        <v>589</v>
      </c>
      <c r="B589" s="0" t="s">
        <v>4498</v>
      </c>
      <c r="C589" s="0" t="s">
        <v>4503</v>
      </c>
      <c r="D589" s="0" t="s">
        <v>4504</v>
      </c>
    </row>
    <row customHeight="1" ht="11.25">
      <c r="A590" s="0">
        <v>590</v>
      </c>
      <c r="B590" s="0" t="s">
        <v>4498</v>
      </c>
      <c r="C590" s="0" t="s">
        <v>4505</v>
      </c>
      <c r="D590" s="0" t="s">
        <v>4506</v>
      </c>
    </row>
    <row customHeight="1" ht="11.25">
      <c r="A591" s="0">
        <v>591</v>
      </c>
      <c r="B591" s="0" t="s">
        <v>4498</v>
      </c>
      <c r="C591" s="0" t="s">
        <v>3796</v>
      </c>
      <c r="D591" s="0" t="s">
        <v>4507</v>
      </c>
    </row>
    <row customHeight="1" ht="11.25">
      <c r="A592" s="0">
        <v>592</v>
      </c>
      <c r="B592" s="0" t="s">
        <v>4498</v>
      </c>
      <c r="C592" s="0" t="s">
        <v>4508</v>
      </c>
      <c r="D592" s="0" t="s">
        <v>4509</v>
      </c>
    </row>
    <row customHeight="1" ht="11.25">
      <c r="A593" s="0">
        <v>593</v>
      </c>
      <c r="B593" s="0" t="s">
        <v>4498</v>
      </c>
      <c r="C593" s="0" t="s">
        <v>4510</v>
      </c>
      <c r="D593" s="0" t="s">
        <v>4511</v>
      </c>
    </row>
    <row customHeight="1" ht="11.25">
      <c r="A594" s="0">
        <v>594</v>
      </c>
      <c r="B594" s="0" t="s">
        <v>4498</v>
      </c>
      <c r="C594" s="0" t="s">
        <v>4498</v>
      </c>
      <c r="D594" s="0" t="s">
        <v>4512</v>
      </c>
    </row>
    <row customHeight="1" ht="11.25">
      <c r="A595" s="0">
        <v>595</v>
      </c>
      <c r="B595" s="0" t="s">
        <v>4498</v>
      </c>
      <c r="C595" s="0" t="s">
        <v>4513</v>
      </c>
      <c r="D595" s="0" t="s">
        <v>4514</v>
      </c>
    </row>
    <row customHeight="1" ht="11.25">
      <c r="A596" s="0">
        <v>596</v>
      </c>
      <c r="B596" s="0" t="s">
        <v>4498</v>
      </c>
      <c r="C596" s="0" t="s">
        <v>4515</v>
      </c>
      <c r="D596" s="0" t="s">
        <v>4516</v>
      </c>
    </row>
    <row customHeight="1" ht="11.25">
      <c r="A597" s="0">
        <v>597</v>
      </c>
      <c r="B597" s="0" t="s">
        <v>4498</v>
      </c>
      <c r="C597" s="0" t="s">
        <v>4517</v>
      </c>
      <c r="D597" s="0" t="s">
        <v>4518</v>
      </c>
    </row>
    <row customHeight="1" ht="11.25">
      <c r="A598" s="0">
        <v>598</v>
      </c>
      <c r="B598" s="0" t="s">
        <v>4519</v>
      </c>
      <c r="C598" s="0" t="s">
        <v>4520</v>
      </c>
      <c r="D598" s="0" t="s">
        <v>4521</v>
      </c>
    </row>
    <row customHeight="1" ht="11.25">
      <c r="A599" s="0">
        <v>599</v>
      </c>
      <c r="B599" s="0" t="s">
        <v>4519</v>
      </c>
      <c r="C599" s="0" t="s">
        <v>3562</v>
      </c>
      <c r="D599" s="0" t="s">
        <v>4522</v>
      </c>
    </row>
    <row customHeight="1" ht="11.25">
      <c r="A600" s="0">
        <v>600</v>
      </c>
      <c r="B600" s="0" t="s">
        <v>4519</v>
      </c>
      <c r="C600" s="0" t="s">
        <v>4523</v>
      </c>
      <c r="D600" s="0" t="s">
        <v>4524</v>
      </c>
    </row>
    <row customHeight="1" ht="11.25">
      <c r="A601" s="0">
        <v>601</v>
      </c>
      <c r="B601" s="0" t="s">
        <v>4519</v>
      </c>
      <c r="C601" s="0" t="s">
        <v>4525</v>
      </c>
      <c r="D601" s="0" t="s">
        <v>4526</v>
      </c>
    </row>
    <row customHeight="1" ht="11.25">
      <c r="A602" s="0">
        <v>602</v>
      </c>
      <c r="B602" s="0" t="s">
        <v>4519</v>
      </c>
      <c r="C602" s="0" t="s">
        <v>4505</v>
      </c>
      <c r="D602" s="0" t="s">
        <v>4527</v>
      </c>
    </row>
    <row customHeight="1" ht="11.25">
      <c r="A603" s="0">
        <v>603</v>
      </c>
      <c r="B603" s="0" t="s">
        <v>4519</v>
      </c>
      <c r="C603" s="0" t="s">
        <v>4528</v>
      </c>
      <c r="D603" s="0" t="s">
        <v>4529</v>
      </c>
    </row>
    <row customHeight="1" ht="11.25">
      <c r="A604" s="0">
        <v>604</v>
      </c>
      <c r="B604" s="0" t="s">
        <v>4519</v>
      </c>
      <c r="C604" s="0" t="s">
        <v>4530</v>
      </c>
      <c r="D604" s="0" t="s">
        <v>4531</v>
      </c>
    </row>
    <row customHeight="1" ht="11.25">
      <c r="A605" s="0">
        <v>605</v>
      </c>
      <c r="B605" s="0" t="s">
        <v>4519</v>
      </c>
      <c r="C605" s="0" t="s">
        <v>4532</v>
      </c>
      <c r="D605" s="0" t="s">
        <v>4533</v>
      </c>
    </row>
    <row customHeight="1" ht="11.25">
      <c r="A606" s="0">
        <v>606</v>
      </c>
      <c r="B606" s="0" t="s">
        <v>4519</v>
      </c>
      <c r="C606" s="0" t="s">
        <v>4534</v>
      </c>
      <c r="D606" s="0" t="s">
        <v>4535</v>
      </c>
    </row>
    <row customHeight="1" ht="11.25">
      <c r="A607" s="0">
        <v>607</v>
      </c>
      <c r="B607" s="0" t="s">
        <v>4519</v>
      </c>
      <c r="C607" s="0" t="s">
        <v>4519</v>
      </c>
      <c r="D607" s="0" t="s">
        <v>4536</v>
      </c>
    </row>
    <row customHeight="1" ht="11.25">
      <c r="A608" s="0">
        <v>608</v>
      </c>
      <c r="B608" s="0" t="s">
        <v>4519</v>
      </c>
      <c r="C608" s="0" t="s">
        <v>4537</v>
      </c>
      <c r="D608" s="0" t="s">
        <v>4538</v>
      </c>
    </row>
    <row customHeight="1" ht="11.25">
      <c r="A609" s="0">
        <v>609</v>
      </c>
      <c r="B609" s="0" t="s">
        <v>4519</v>
      </c>
      <c r="C609" s="0" t="s">
        <v>4539</v>
      </c>
      <c r="D609" s="0" t="s">
        <v>4540</v>
      </c>
    </row>
    <row customHeight="1" ht="11.25">
      <c r="A610" s="0">
        <v>610</v>
      </c>
      <c r="B610" s="0" t="s">
        <v>4519</v>
      </c>
      <c r="C610" s="0" t="s">
        <v>3631</v>
      </c>
      <c r="D610" s="0" t="s">
        <v>4541</v>
      </c>
    </row>
    <row customHeight="1" ht="11.25">
      <c r="A611" s="0">
        <v>611</v>
      </c>
      <c r="B611" s="0" t="s">
        <v>4519</v>
      </c>
      <c r="C611" s="0" t="s">
        <v>4542</v>
      </c>
      <c r="D611" s="0" t="s">
        <v>4543</v>
      </c>
    </row>
    <row customHeight="1" ht="11.25">
      <c r="A612" s="0">
        <v>612</v>
      </c>
      <c r="B612" s="0" t="s">
        <v>4519</v>
      </c>
      <c r="C612" s="0" t="s">
        <v>4544</v>
      </c>
      <c r="D612" s="0" t="s">
        <v>4545</v>
      </c>
    </row>
    <row customHeight="1" ht="11.25">
      <c r="A613" s="0">
        <v>613</v>
      </c>
      <c r="B613" s="0" t="s">
        <v>4546</v>
      </c>
      <c r="C613" s="0" t="s">
        <v>4547</v>
      </c>
      <c r="D613" s="0" t="s">
        <v>4548</v>
      </c>
    </row>
    <row customHeight="1" ht="11.25">
      <c r="A614" s="0">
        <v>614</v>
      </c>
      <c r="B614" s="0" t="s">
        <v>4546</v>
      </c>
      <c r="C614" s="0" t="s">
        <v>4549</v>
      </c>
      <c r="D614" s="0" t="s">
        <v>4550</v>
      </c>
    </row>
    <row customHeight="1" ht="11.25">
      <c r="A615" s="0">
        <v>615</v>
      </c>
      <c r="B615" s="0" t="s">
        <v>4546</v>
      </c>
      <c r="C615" s="0" t="s">
        <v>4551</v>
      </c>
      <c r="D615" s="0" t="s">
        <v>4552</v>
      </c>
    </row>
    <row customHeight="1" ht="11.25">
      <c r="A616" s="0">
        <v>616</v>
      </c>
      <c r="B616" s="0" t="s">
        <v>4546</v>
      </c>
      <c r="C616" s="0" t="s">
        <v>4089</v>
      </c>
      <c r="D616" s="0" t="s">
        <v>4553</v>
      </c>
    </row>
    <row customHeight="1" ht="11.25">
      <c r="A617" s="0">
        <v>617</v>
      </c>
      <c r="B617" s="0" t="s">
        <v>4546</v>
      </c>
      <c r="C617" s="0" t="s">
        <v>4554</v>
      </c>
      <c r="D617" s="0" t="s">
        <v>4555</v>
      </c>
    </row>
    <row customHeight="1" ht="11.25">
      <c r="A618" s="0">
        <v>618</v>
      </c>
      <c r="B618" s="0" t="s">
        <v>4546</v>
      </c>
      <c r="C618" s="0" t="s">
        <v>4365</v>
      </c>
      <c r="D618" s="0" t="s">
        <v>4556</v>
      </c>
    </row>
    <row customHeight="1" ht="11.25">
      <c r="A619" s="0">
        <v>619</v>
      </c>
      <c r="B619" s="0" t="s">
        <v>4546</v>
      </c>
      <c r="C619" s="0" t="s">
        <v>4546</v>
      </c>
      <c r="D619" s="0" t="s">
        <v>4557</v>
      </c>
    </row>
    <row customHeight="1" ht="11.25">
      <c r="A620" s="0">
        <v>620</v>
      </c>
      <c r="B620" s="0" t="s">
        <v>4546</v>
      </c>
      <c r="C620" s="0" t="s">
        <v>4558</v>
      </c>
      <c r="D620" s="0" t="s">
        <v>4559</v>
      </c>
    </row>
    <row customHeight="1" ht="11.25">
      <c r="A621" s="0">
        <v>621</v>
      </c>
      <c r="B621" s="0" t="s">
        <v>4560</v>
      </c>
      <c r="C621" s="0" t="s">
        <v>4561</v>
      </c>
      <c r="D621" s="0" t="s">
        <v>4562</v>
      </c>
    </row>
    <row customHeight="1" ht="11.25">
      <c r="A622" s="0">
        <v>622</v>
      </c>
      <c r="B622" s="0" t="s">
        <v>4560</v>
      </c>
      <c r="C622" s="0" t="s">
        <v>3527</v>
      </c>
      <c r="D622" s="0" t="s">
        <v>4563</v>
      </c>
    </row>
    <row customHeight="1" ht="11.25">
      <c r="A623" s="0">
        <v>623</v>
      </c>
      <c r="B623" s="0" t="s">
        <v>4560</v>
      </c>
      <c r="C623" s="0" t="s">
        <v>4564</v>
      </c>
      <c r="D623" s="0" t="s">
        <v>4565</v>
      </c>
    </row>
    <row customHeight="1" ht="11.25">
      <c r="A624" s="0">
        <v>624</v>
      </c>
      <c r="B624" s="0" t="s">
        <v>4560</v>
      </c>
      <c r="C624" s="0" t="s">
        <v>4566</v>
      </c>
      <c r="D624" s="0" t="s">
        <v>4567</v>
      </c>
    </row>
    <row customHeight="1" ht="11.25">
      <c r="A625" s="0">
        <v>625</v>
      </c>
      <c r="B625" s="0" t="s">
        <v>4560</v>
      </c>
      <c r="C625" s="0" t="s">
        <v>4568</v>
      </c>
      <c r="D625" s="0" t="s">
        <v>4569</v>
      </c>
    </row>
    <row customHeight="1" ht="11.25">
      <c r="A626" s="0">
        <v>626</v>
      </c>
      <c r="B626" s="0" t="s">
        <v>4560</v>
      </c>
      <c r="C626" s="0" t="s">
        <v>4570</v>
      </c>
      <c r="D626" s="0" t="s">
        <v>4571</v>
      </c>
    </row>
    <row customHeight="1" ht="11.25">
      <c r="A627" s="0">
        <v>627</v>
      </c>
      <c r="B627" s="0" t="s">
        <v>4560</v>
      </c>
      <c r="C627" s="0" t="s">
        <v>4572</v>
      </c>
      <c r="D627" s="0" t="s">
        <v>4573</v>
      </c>
    </row>
    <row customHeight="1" ht="11.25">
      <c r="A628" s="0">
        <v>628</v>
      </c>
      <c r="B628" s="0" t="s">
        <v>4560</v>
      </c>
      <c r="C628" s="0" t="s">
        <v>4560</v>
      </c>
      <c r="D628" s="0" t="s">
        <v>4574</v>
      </c>
    </row>
    <row customHeight="1" ht="11.25">
      <c r="A629" s="0">
        <v>629</v>
      </c>
      <c r="B629" s="0" t="s">
        <v>4560</v>
      </c>
      <c r="C629" s="0" t="s">
        <v>4575</v>
      </c>
      <c r="D629" s="0" t="s">
        <v>4576</v>
      </c>
    </row>
    <row customHeight="1" ht="11.25">
      <c r="A630" s="0">
        <v>630</v>
      </c>
      <c r="B630" s="0" t="s">
        <v>4560</v>
      </c>
      <c r="C630" s="0" t="s">
        <v>4577</v>
      </c>
      <c r="D630" s="0" t="s">
        <v>4578</v>
      </c>
    </row>
    <row customHeight="1" ht="11.25">
      <c r="A631" s="0">
        <v>631</v>
      </c>
      <c r="B631" s="0" t="s">
        <v>4579</v>
      </c>
      <c r="C631" s="0" t="s">
        <v>3432</v>
      </c>
      <c r="D631" s="0" t="s">
        <v>4580</v>
      </c>
    </row>
    <row customHeight="1" ht="11.25">
      <c r="A632" s="0">
        <v>632</v>
      </c>
      <c r="B632" s="0" t="s">
        <v>4579</v>
      </c>
      <c r="C632" s="0" t="s">
        <v>4581</v>
      </c>
      <c r="D632" s="0" t="s">
        <v>4582</v>
      </c>
    </row>
    <row customHeight="1" ht="11.25">
      <c r="A633" s="0">
        <v>633</v>
      </c>
      <c r="B633" s="0" t="s">
        <v>4579</v>
      </c>
      <c r="C633" s="0" t="s">
        <v>4583</v>
      </c>
      <c r="D633" s="0" t="s">
        <v>4584</v>
      </c>
    </row>
    <row customHeight="1" ht="11.25">
      <c r="A634" s="0">
        <v>634</v>
      </c>
      <c r="B634" s="0" t="s">
        <v>4579</v>
      </c>
      <c r="C634" s="0" t="s">
        <v>4585</v>
      </c>
      <c r="D634" s="0" t="s">
        <v>4586</v>
      </c>
    </row>
    <row customHeight="1" ht="11.25">
      <c r="A635" s="0">
        <v>635</v>
      </c>
      <c r="B635" s="0" t="s">
        <v>4579</v>
      </c>
      <c r="C635" s="0" t="s">
        <v>4587</v>
      </c>
      <c r="D635" s="0" t="s">
        <v>4588</v>
      </c>
    </row>
    <row customHeight="1" ht="11.25">
      <c r="A636" s="0">
        <v>636</v>
      </c>
      <c r="B636" s="0" t="s">
        <v>4579</v>
      </c>
      <c r="C636" s="0" t="s">
        <v>4589</v>
      </c>
      <c r="D636" s="0" t="s">
        <v>4590</v>
      </c>
    </row>
    <row customHeight="1" ht="11.25">
      <c r="A637" s="0">
        <v>637</v>
      </c>
      <c r="B637" s="0" t="s">
        <v>4579</v>
      </c>
      <c r="C637" s="0" t="s">
        <v>4591</v>
      </c>
      <c r="D637" s="0" t="s">
        <v>4592</v>
      </c>
    </row>
    <row customHeight="1" ht="11.25">
      <c r="A638" s="0">
        <v>638</v>
      </c>
      <c r="B638" s="0" t="s">
        <v>4579</v>
      </c>
      <c r="C638" s="0" t="s">
        <v>4189</v>
      </c>
      <c r="D638" s="0" t="s">
        <v>4593</v>
      </c>
    </row>
    <row customHeight="1" ht="11.25">
      <c r="A639" s="0">
        <v>639</v>
      </c>
      <c r="B639" s="0" t="s">
        <v>4579</v>
      </c>
      <c r="C639" s="0" t="s">
        <v>4594</v>
      </c>
      <c r="D639" s="0" t="s">
        <v>4595</v>
      </c>
    </row>
    <row customHeight="1" ht="11.25">
      <c r="A640" s="0">
        <v>640</v>
      </c>
      <c r="B640" s="0" t="s">
        <v>4579</v>
      </c>
      <c r="C640" s="0" t="s">
        <v>4596</v>
      </c>
      <c r="D640" s="0" t="s">
        <v>4597</v>
      </c>
    </row>
    <row customHeight="1" ht="11.25">
      <c r="A641" s="0">
        <v>641</v>
      </c>
      <c r="B641" s="0" t="s">
        <v>4579</v>
      </c>
      <c r="C641" s="0" t="s">
        <v>4513</v>
      </c>
      <c r="D641" s="0" t="s">
        <v>4598</v>
      </c>
    </row>
    <row customHeight="1" ht="11.25">
      <c r="A642" s="0">
        <v>642</v>
      </c>
      <c r="B642" s="0" t="s">
        <v>4579</v>
      </c>
      <c r="C642" s="0" t="s">
        <v>4579</v>
      </c>
      <c r="D642" s="0" t="s">
        <v>4599</v>
      </c>
    </row>
    <row customHeight="1" ht="11.25">
      <c r="A643" s="0">
        <v>643</v>
      </c>
      <c r="B643" s="0" t="s">
        <v>4579</v>
      </c>
      <c r="C643" s="0" t="s">
        <v>4600</v>
      </c>
      <c r="D643" s="0" t="s">
        <v>4601</v>
      </c>
    </row>
    <row customHeight="1" ht="11.25">
      <c r="A644" s="0">
        <v>644</v>
      </c>
      <c r="B644" s="0" t="s">
        <v>4579</v>
      </c>
      <c r="C644" s="0" t="s">
        <v>4602</v>
      </c>
      <c r="D644" s="0" t="s">
        <v>4603</v>
      </c>
    </row>
    <row customHeight="1" ht="11.25">
      <c r="A645" s="0">
        <v>645</v>
      </c>
      <c r="B645" s="0" t="s">
        <v>4604</v>
      </c>
      <c r="C645" s="0" t="s">
        <v>4605</v>
      </c>
      <c r="D645" s="0" t="s">
        <v>4606</v>
      </c>
    </row>
    <row customHeight="1" ht="11.25">
      <c r="A646" s="0">
        <v>646</v>
      </c>
      <c r="B646" s="0" t="s">
        <v>4604</v>
      </c>
      <c r="C646" s="0" t="s">
        <v>4607</v>
      </c>
      <c r="D646" s="0" t="s">
        <v>4608</v>
      </c>
    </row>
    <row customHeight="1" ht="11.25">
      <c r="A647" s="0">
        <v>647</v>
      </c>
      <c r="B647" s="0" t="s">
        <v>4604</v>
      </c>
      <c r="C647" s="0" t="s">
        <v>4609</v>
      </c>
      <c r="D647" s="0" t="s">
        <v>4610</v>
      </c>
    </row>
    <row customHeight="1" ht="11.25">
      <c r="A648" s="0">
        <v>648</v>
      </c>
      <c r="B648" s="0" t="s">
        <v>4604</v>
      </c>
      <c r="C648" s="0" t="s">
        <v>4611</v>
      </c>
      <c r="D648" s="0" t="s">
        <v>4612</v>
      </c>
    </row>
    <row customHeight="1" ht="11.25">
      <c r="A649" s="0">
        <v>649</v>
      </c>
      <c r="B649" s="0" t="s">
        <v>4604</v>
      </c>
      <c r="C649" s="0" t="s">
        <v>4613</v>
      </c>
      <c r="D649" s="0" t="s">
        <v>4614</v>
      </c>
    </row>
    <row customHeight="1" ht="11.25">
      <c r="A650" s="0">
        <v>650</v>
      </c>
      <c r="B650" s="0" t="s">
        <v>4604</v>
      </c>
      <c r="C650" s="0" t="s">
        <v>4615</v>
      </c>
      <c r="D650" s="0" t="s">
        <v>4616</v>
      </c>
    </row>
    <row customHeight="1" ht="11.25">
      <c r="A651" s="0">
        <v>651</v>
      </c>
      <c r="B651" s="0" t="s">
        <v>4604</v>
      </c>
      <c r="C651" s="0" t="s">
        <v>4617</v>
      </c>
      <c r="D651" s="0" t="s">
        <v>4618</v>
      </c>
    </row>
    <row customHeight="1" ht="11.25">
      <c r="A652" s="0">
        <v>652</v>
      </c>
      <c r="B652" s="0" t="s">
        <v>4604</v>
      </c>
      <c r="C652" s="0" t="s">
        <v>4365</v>
      </c>
      <c r="D652" s="0" t="s">
        <v>4619</v>
      </c>
    </row>
    <row customHeight="1" ht="11.25">
      <c r="A653" s="0">
        <v>653</v>
      </c>
      <c r="B653" s="0" t="s">
        <v>4604</v>
      </c>
      <c r="C653" s="0" t="s">
        <v>4620</v>
      </c>
      <c r="D653" s="0" t="s">
        <v>4621</v>
      </c>
    </row>
    <row customHeight="1" ht="11.25">
      <c r="A654" s="0">
        <v>654</v>
      </c>
      <c r="B654" s="0" t="s">
        <v>4604</v>
      </c>
      <c r="C654" s="0" t="s">
        <v>4604</v>
      </c>
      <c r="D654" s="0" t="s">
        <v>4622</v>
      </c>
    </row>
    <row customHeight="1" ht="11.25">
      <c r="A655" s="0">
        <v>655</v>
      </c>
      <c r="B655" s="0" t="s">
        <v>4604</v>
      </c>
      <c r="C655" s="0" t="s">
        <v>4623</v>
      </c>
      <c r="D655" s="0" t="s">
        <v>4624</v>
      </c>
    </row>
    <row customHeight="1" ht="11.25">
      <c r="A656" s="0">
        <v>656</v>
      </c>
      <c r="B656" s="0" t="s">
        <v>4625</v>
      </c>
      <c r="C656" s="0" t="s">
        <v>4626</v>
      </c>
      <c r="D656" s="0" t="s">
        <v>4627</v>
      </c>
    </row>
    <row customHeight="1" ht="11.25">
      <c r="A657" s="0">
        <v>657</v>
      </c>
      <c r="B657" s="0" t="s">
        <v>4625</v>
      </c>
      <c r="C657" s="0" t="s">
        <v>4628</v>
      </c>
      <c r="D657" s="0" t="s">
        <v>4629</v>
      </c>
    </row>
    <row customHeight="1" ht="11.25">
      <c r="A658" s="0">
        <v>658</v>
      </c>
      <c r="B658" s="0" t="s">
        <v>4625</v>
      </c>
      <c r="C658" s="0" t="s">
        <v>3398</v>
      </c>
      <c r="D658" s="0" t="s">
        <v>4630</v>
      </c>
    </row>
    <row customHeight="1" ht="11.25">
      <c r="A659" s="0">
        <v>659</v>
      </c>
      <c r="B659" s="0" t="s">
        <v>4625</v>
      </c>
      <c r="C659" s="0" t="s">
        <v>4631</v>
      </c>
      <c r="D659" s="0" t="s">
        <v>4632</v>
      </c>
    </row>
    <row customHeight="1" ht="11.25">
      <c r="A660" s="0">
        <v>660</v>
      </c>
      <c r="B660" s="0" t="s">
        <v>4625</v>
      </c>
      <c r="C660" s="0" t="s">
        <v>4633</v>
      </c>
      <c r="D660" s="0" t="s">
        <v>4634</v>
      </c>
    </row>
    <row customHeight="1" ht="11.25">
      <c r="A661" s="0">
        <v>661</v>
      </c>
      <c r="B661" s="0" t="s">
        <v>4625</v>
      </c>
      <c r="C661" s="0" t="s">
        <v>4635</v>
      </c>
      <c r="D661" s="0" t="s">
        <v>4636</v>
      </c>
    </row>
    <row customHeight="1" ht="11.25">
      <c r="A662" s="0">
        <v>662</v>
      </c>
      <c r="B662" s="0" t="s">
        <v>4625</v>
      </c>
      <c r="C662" s="0" t="s">
        <v>4637</v>
      </c>
      <c r="D662" s="0" t="s">
        <v>4638</v>
      </c>
    </row>
    <row customHeight="1" ht="11.25">
      <c r="A663" s="0">
        <v>663</v>
      </c>
      <c r="B663" s="0" t="s">
        <v>4625</v>
      </c>
      <c r="C663" s="0" t="s">
        <v>4639</v>
      </c>
      <c r="D663" s="0" t="s">
        <v>4640</v>
      </c>
    </row>
    <row customHeight="1" ht="11.25">
      <c r="A664" s="0">
        <v>664</v>
      </c>
      <c r="B664" s="0" t="s">
        <v>4625</v>
      </c>
      <c r="C664" s="0" t="s">
        <v>4641</v>
      </c>
      <c r="D664" s="0" t="s">
        <v>4642</v>
      </c>
    </row>
    <row customHeight="1" ht="11.25">
      <c r="A665" s="0">
        <v>665</v>
      </c>
      <c r="B665" s="0" t="s">
        <v>4625</v>
      </c>
      <c r="C665" s="0" t="s">
        <v>4643</v>
      </c>
      <c r="D665" s="0" t="s">
        <v>4644</v>
      </c>
    </row>
    <row customHeight="1" ht="11.25">
      <c r="A666" s="0">
        <v>666</v>
      </c>
      <c r="B666" s="0" t="s">
        <v>4625</v>
      </c>
      <c r="C666" s="0" t="s">
        <v>4625</v>
      </c>
      <c r="D666" s="0" t="s">
        <v>4645</v>
      </c>
    </row>
    <row customHeight="1" ht="11.25">
      <c r="A667" s="0">
        <v>667</v>
      </c>
      <c r="B667" s="0" t="s">
        <v>4625</v>
      </c>
      <c r="C667" s="0" t="s">
        <v>4646</v>
      </c>
      <c r="D667" s="0" t="s">
        <v>4647</v>
      </c>
    </row>
    <row customHeight="1" ht="11.25">
      <c r="A668" s="0">
        <v>668</v>
      </c>
      <c r="B668" s="0" t="s">
        <v>4625</v>
      </c>
      <c r="C668" s="0" t="s">
        <v>4648</v>
      </c>
      <c r="D668" s="0" t="s">
        <v>4649</v>
      </c>
    </row>
    <row customHeight="1" ht="11.25">
      <c r="A669" s="0">
        <v>669</v>
      </c>
      <c r="B669" s="0" t="s">
        <v>4650</v>
      </c>
      <c r="C669" s="0" t="s">
        <v>3498</v>
      </c>
      <c r="D669" s="0" t="s">
        <v>4651</v>
      </c>
    </row>
    <row customHeight="1" ht="11.25">
      <c r="A670" s="0">
        <v>670</v>
      </c>
      <c r="B670" s="0" t="s">
        <v>4650</v>
      </c>
      <c r="C670" s="0" t="s">
        <v>3562</v>
      </c>
      <c r="D670" s="0" t="s">
        <v>4652</v>
      </c>
    </row>
    <row customHeight="1" ht="11.25">
      <c r="A671" s="0">
        <v>671</v>
      </c>
      <c r="B671" s="0" t="s">
        <v>4650</v>
      </c>
      <c r="C671" s="0" t="s">
        <v>3408</v>
      </c>
      <c r="D671" s="0" t="s">
        <v>4653</v>
      </c>
    </row>
    <row customHeight="1" ht="11.25">
      <c r="A672" s="0">
        <v>672</v>
      </c>
      <c r="B672" s="0" t="s">
        <v>4650</v>
      </c>
      <c r="C672" s="0" t="s">
        <v>4654</v>
      </c>
      <c r="D672" s="0" t="s">
        <v>4655</v>
      </c>
    </row>
    <row customHeight="1" ht="11.25">
      <c r="A673" s="0">
        <v>673</v>
      </c>
      <c r="B673" s="0" t="s">
        <v>4650</v>
      </c>
      <c r="C673" s="0" t="s">
        <v>3865</v>
      </c>
      <c r="D673" s="0" t="s">
        <v>4656</v>
      </c>
    </row>
    <row customHeight="1" ht="11.25">
      <c r="A674" s="0">
        <v>674</v>
      </c>
      <c r="B674" s="0" t="s">
        <v>4650</v>
      </c>
      <c r="C674" s="0" t="s">
        <v>4657</v>
      </c>
      <c r="D674" s="0" t="s">
        <v>4658</v>
      </c>
    </row>
    <row customHeight="1" ht="11.25">
      <c r="A675" s="0">
        <v>675</v>
      </c>
      <c r="B675" s="0" t="s">
        <v>4650</v>
      </c>
      <c r="C675" s="0" t="s">
        <v>4659</v>
      </c>
      <c r="D675" s="0" t="s">
        <v>4660</v>
      </c>
    </row>
    <row customHeight="1" ht="11.25">
      <c r="A676" s="0">
        <v>676</v>
      </c>
      <c r="B676" s="0" t="s">
        <v>4650</v>
      </c>
      <c r="C676" s="0" t="s">
        <v>4661</v>
      </c>
      <c r="D676" s="0" t="s">
        <v>4662</v>
      </c>
    </row>
    <row customHeight="1" ht="11.25">
      <c r="A677" s="0">
        <v>677</v>
      </c>
      <c r="B677" s="0" t="s">
        <v>4650</v>
      </c>
      <c r="C677" s="0" t="s">
        <v>4650</v>
      </c>
      <c r="D677" s="0" t="s">
        <v>4663</v>
      </c>
    </row>
    <row customHeight="1" ht="11.25">
      <c r="A678" s="0">
        <v>678</v>
      </c>
      <c r="B678" s="0" t="s">
        <v>4650</v>
      </c>
      <c r="C678" s="0" t="s">
        <v>4577</v>
      </c>
      <c r="D678" s="0" t="s">
        <v>4664</v>
      </c>
    </row>
    <row customHeight="1" ht="11.25">
      <c r="A679" s="0">
        <v>679</v>
      </c>
      <c r="B679" s="0" t="s">
        <v>4665</v>
      </c>
      <c r="C679" s="0" t="s">
        <v>4666</v>
      </c>
      <c r="D679" s="0" t="s">
        <v>4667</v>
      </c>
    </row>
    <row customHeight="1" ht="11.25">
      <c r="A680" s="0">
        <v>680</v>
      </c>
      <c r="B680" s="0" t="s">
        <v>4665</v>
      </c>
      <c r="C680" s="0" t="s">
        <v>4668</v>
      </c>
      <c r="D680" s="0" t="s">
        <v>4669</v>
      </c>
    </row>
    <row customHeight="1" ht="11.25">
      <c r="A681" s="0">
        <v>681</v>
      </c>
      <c r="B681" s="0" t="s">
        <v>4665</v>
      </c>
      <c r="C681" s="0" t="s">
        <v>4670</v>
      </c>
      <c r="D681" s="0" t="s">
        <v>4671</v>
      </c>
    </row>
    <row customHeight="1" ht="11.25">
      <c r="A682" s="0">
        <v>682</v>
      </c>
      <c r="B682" s="0" t="s">
        <v>4665</v>
      </c>
      <c r="C682" s="0" t="s">
        <v>4672</v>
      </c>
      <c r="D682" s="0" t="s">
        <v>4673</v>
      </c>
    </row>
    <row customHeight="1" ht="11.25">
      <c r="A683" s="0">
        <v>683</v>
      </c>
      <c r="B683" s="0" t="s">
        <v>4665</v>
      </c>
      <c r="C683" s="0" t="s">
        <v>4674</v>
      </c>
      <c r="D683" s="0" t="s">
        <v>4675</v>
      </c>
    </row>
    <row customHeight="1" ht="11.25">
      <c r="A684" s="0">
        <v>684</v>
      </c>
      <c r="B684" s="0" t="s">
        <v>4665</v>
      </c>
      <c r="C684" s="0" t="s">
        <v>4676</v>
      </c>
      <c r="D684" s="0" t="s">
        <v>4677</v>
      </c>
    </row>
    <row customHeight="1" ht="11.25">
      <c r="A685" s="0">
        <v>685</v>
      </c>
      <c r="B685" s="0" t="s">
        <v>4665</v>
      </c>
      <c r="C685" s="0" t="s">
        <v>4678</v>
      </c>
      <c r="D685" s="0" t="s">
        <v>4679</v>
      </c>
    </row>
    <row customHeight="1" ht="11.25">
      <c r="A686" s="0">
        <v>686</v>
      </c>
      <c r="B686" s="0" t="s">
        <v>4665</v>
      </c>
      <c r="C686" s="0" t="s">
        <v>4680</v>
      </c>
      <c r="D686" s="0" t="s">
        <v>4681</v>
      </c>
    </row>
    <row customHeight="1" ht="11.25">
      <c r="A687" s="0">
        <v>687</v>
      </c>
      <c r="B687" s="0" t="s">
        <v>4665</v>
      </c>
      <c r="C687" s="0" t="s">
        <v>4665</v>
      </c>
      <c r="D687" s="0" t="s">
        <v>4682</v>
      </c>
    </row>
    <row customHeight="1" ht="11.25">
      <c r="A688" s="0">
        <v>688</v>
      </c>
      <c r="B688" s="0" t="s">
        <v>4665</v>
      </c>
      <c r="C688" s="0" t="s">
        <v>4683</v>
      </c>
      <c r="D688" s="0" t="s">
        <v>4684</v>
      </c>
    </row>
    <row customHeight="1" ht="11.25">
      <c r="A689" s="0">
        <v>689</v>
      </c>
      <c r="B689" s="0" t="s">
        <v>4685</v>
      </c>
      <c r="C689" s="0" t="s">
        <v>4686</v>
      </c>
      <c r="D689" s="0" t="s">
        <v>4687</v>
      </c>
    </row>
    <row customHeight="1" ht="11.25">
      <c r="A690" s="0">
        <v>690</v>
      </c>
      <c r="B690" s="0" t="s">
        <v>4685</v>
      </c>
      <c r="C690" s="0" t="s">
        <v>4131</v>
      </c>
      <c r="D690" s="0" t="s">
        <v>4688</v>
      </c>
    </row>
    <row customHeight="1" ht="11.25">
      <c r="A691" s="0">
        <v>691</v>
      </c>
      <c r="B691" s="0" t="s">
        <v>4685</v>
      </c>
      <c r="C691" s="0" t="s">
        <v>4689</v>
      </c>
      <c r="D691" s="0" t="s">
        <v>4690</v>
      </c>
    </row>
    <row customHeight="1" ht="11.25">
      <c r="A692" s="0">
        <v>692</v>
      </c>
      <c r="B692" s="0" t="s">
        <v>4685</v>
      </c>
      <c r="C692" s="0" t="s">
        <v>4691</v>
      </c>
      <c r="D692" s="0" t="s">
        <v>4692</v>
      </c>
    </row>
    <row customHeight="1" ht="11.25">
      <c r="A693" s="0">
        <v>693</v>
      </c>
      <c r="B693" s="0" t="s">
        <v>4685</v>
      </c>
      <c r="C693" s="0" t="s">
        <v>3623</v>
      </c>
      <c r="D693" s="0" t="s">
        <v>4693</v>
      </c>
    </row>
    <row customHeight="1" ht="11.25">
      <c r="A694" s="0">
        <v>694</v>
      </c>
      <c r="B694" s="0" t="s">
        <v>4685</v>
      </c>
      <c r="C694" s="0" t="s">
        <v>4694</v>
      </c>
      <c r="D694" s="0" t="s">
        <v>4695</v>
      </c>
    </row>
    <row customHeight="1" ht="11.25">
      <c r="A695" s="0">
        <v>695</v>
      </c>
      <c r="B695" s="0" t="s">
        <v>4685</v>
      </c>
      <c r="C695" s="0" t="s">
        <v>4668</v>
      </c>
      <c r="D695" s="0" t="s">
        <v>4696</v>
      </c>
    </row>
    <row customHeight="1" ht="11.25">
      <c r="A696" s="0">
        <v>696</v>
      </c>
      <c r="B696" s="0" t="s">
        <v>4685</v>
      </c>
      <c r="C696" s="0" t="s">
        <v>4697</v>
      </c>
      <c r="D696" s="0" t="s">
        <v>4698</v>
      </c>
    </row>
    <row customHeight="1" ht="11.25">
      <c r="A697" s="0">
        <v>697</v>
      </c>
      <c r="B697" s="0" t="s">
        <v>4685</v>
      </c>
      <c r="C697" s="0" t="s">
        <v>4699</v>
      </c>
      <c r="D697" s="0" t="s">
        <v>4700</v>
      </c>
    </row>
    <row customHeight="1" ht="11.25">
      <c r="A698" s="0">
        <v>698</v>
      </c>
      <c r="B698" s="0" t="s">
        <v>4685</v>
      </c>
      <c r="C698" s="0" t="s">
        <v>4701</v>
      </c>
      <c r="D698" s="0" t="s">
        <v>4702</v>
      </c>
    </row>
    <row customHeight="1" ht="11.25">
      <c r="A699" s="0">
        <v>699</v>
      </c>
      <c r="B699" s="0" t="s">
        <v>4685</v>
      </c>
      <c r="C699" s="0" t="s">
        <v>3487</v>
      </c>
      <c r="D699" s="0" t="s">
        <v>4703</v>
      </c>
    </row>
    <row customHeight="1" ht="11.25">
      <c r="A700" s="0">
        <v>700</v>
      </c>
      <c r="B700" s="0" t="s">
        <v>4685</v>
      </c>
      <c r="C700" s="0" t="s">
        <v>4704</v>
      </c>
      <c r="D700" s="0" t="s">
        <v>4705</v>
      </c>
    </row>
    <row customHeight="1" ht="11.25">
      <c r="A701" s="0">
        <v>701</v>
      </c>
      <c r="B701" s="0" t="s">
        <v>4685</v>
      </c>
      <c r="C701" s="0" t="s">
        <v>4240</v>
      </c>
      <c r="D701" s="0" t="s">
        <v>4706</v>
      </c>
    </row>
    <row customHeight="1" ht="11.25">
      <c r="A702" s="0">
        <v>702</v>
      </c>
      <c r="B702" s="0" t="s">
        <v>4685</v>
      </c>
      <c r="C702" s="0" t="s">
        <v>4707</v>
      </c>
      <c r="D702" s="0" t="s">
        <v>4708</v>
      </c>
    </row>
    <row customHeight="1" ht="11.25">
      <c r="A703" s="0">
        <v>703</v>
      </c>
      <c r="B703" s="0" t="s">
        <v>4685</v>
      </c>
      <c r="C703" s="0" t="s">
        <v>4709</v>
      </c>
      <c r="D703" s="0" t="s">
        <v>4710</v>
      </c>
    </row>
    <row customHeight="1" ht="11.25">
      <c r="A704" s="0">
        <v>704</v>
      </c>
      <c r="B704" s="0" t="s">
        <v>4685</v>
      </c>
      <c r="C704" s="0" t="s">
        <v>4711</v>
      </c>
      <c r="D704" s="0" t="s">
        <v>4712</v>
      </c>
    </row>
    <row customHeight="1" ht="11.25">
      <c r="A705" s="0">
        <v>705</v>
      </c>
      <c r="B705" s="0" t="s">
        <v>4685</v>
      </c>
      <c r="C705" s="0" t="s">
        <v>4713</v>
      </c>
      <c r="D705" s="0" t="s">
        <v>4714</v>
      </c>
    </row>
    <row customHeight="1" ht="11.25">
      <c r="A706" s="0">
        <v>706</v>
      </c>
      <c r="B706" s="0" t="s">
        <v>4685</v>
      </c>
      <c r="C706" s="0" t="s">
        <v>4715</v>
      </c>
      <c r="D706" s="0" t="s">
        <v>4716</v>
      </c>
    </row>
    <row customHeight="1" ht="11.25">
      <c r="A707" s="0">
        <v>707</v>
      </c>
      <c r="B707" s="0" t="s">
        <v>4685</v>
      </c>
      <c r="C707" s="0" t="s">
        <v>4685</v>
      </c>
      <c r="D707" s="0" t="s">
        <v>4717</v>
      </c>
    </row>
    <row customHeight="1" ht="11.25">
      <c r="A708" s="0">
        <v>708</v>
      </c>
      <c r="B708" s="0" t="s">
        <v>4685</v>
      </c>
      <c r="C708" s="0" t="s">
        <v>4718</v>
      </c>
      <c r="D708" s="0" t="s">
        <v>4719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E84F37-0AC4-F19F-B87F-D83B08676A4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2061" width="9.140625"/>
    <col min="2" max="2" style="42061" width="84.28125" customWidth="1"/>
    <col min="3" max="3" style="42061" width="9.140625"/>
  </cols>
  <sheetData>
    <row customHeight="1" ht="11.25">
      <c r="A1" s="1747" t="s">
        <v>4720</v>
      </c>
      <c r="B1" s="1747" t="s">
        <v>4721</v>
      </c>
      <c r="C1" s="1747" t="s">
        <v>1139</v>
      </c>
    </row>
    <row customHeight="1" ht="11.25">
      <c r="A2" s="1747">
        <v>4189678</v>
      </c>
      <c r="B2" s="1747" t="s">
        <v>4722</v>
      </c>
      <c r="C2" s="1747" t="s">
        <v>4723</v>
      </c>
    </row>
    <row customHeight="1" ht="11.25">
      <c r="A3" s="1747">
        <v>4190415</v>
      </c>
      <c r="B3" s="1747" t="s">
        <v>4724</v>
      </c>
      <c r="C3" s="1747" t="s">
        <v>4723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2FCB05-FA4E-28A6-B65B-1AD28E13FD6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2064" width="38.421875" customWidth="1"/>
    <col min="2" max="5" style="42064" width="9.140625"/>
  </cols>
  <sheetData>
    <row customHeight="1" ht="15">
      <c r="A1" s="1076" t="s">
        <v>4725</v>
      </c>
      <c r="B1" s="1076" t="s">
        <v>4726</v>
      </c>
      <c r="C1" s="1076"/>
      <c r="D1" s="1076"/>
      <c r="E1" s="1076"/>
    </row>
    <row customHeight="1" ht="15">
      <c r="A2" s="1076"/>
      <c r="B2" s="1076"/>
      <c r="C2" s="1076"/>
      <c r="D2" s="1076"/>
      <c r="E2" s="1076"/>
    </row>
    <row customHeight="1" ht="15">
      <c r="A3" s="1076"/>
      <c r="B3" s="1076"/>
      <c r="C3" s="1076"/>
      <c r="D3" s="1076"/>
      <c r="E3" s="1076"/>
    </row>
    <row customHeight="1" ht="15">
      <c r="A4" s="1076"/>
      <c r="B4" s="1076"/>
      <c r="C4" s="1076"/>
      <c r="D4" s="1076"/>
      <c r="E4" s="1076"/>
    </row>
    <row customHeight="1" ht="15">
      <c r="A5" s="1076"/>
      <c r="B5" s="1076"/>
      <c r="C5" s="1076"/>
      <c r="D5" s="1076"/>
      <c r="E5" s="1076"/>
    </row>
    <row customHeight="1" ht="15">
      <c r="A6" s="1076"/>
      <c r="B6" s="1076"/>
      <c r="C6" s="1076"/>
      <c r="D6" s="1076"/>
      <c r="E6" s="1076"/>
    </row>
    <row customHeight="1" ht="15">
      <c r="A7" s="1076"/>
      <c r="B7" s="1076"/>
      <c r="C7" s="1076"/>
      <c r="D7" s="1076"/>
      <c r="E7" s="1076"/>
    </row>
    <row customHeight="1" ht="15">
      <c r="A8" s="1076"/>
      <c r="B8" s="1076"/>
      <c r="C8" s="1076"/>
      <c r="D8" s="1076"/>
      <c r="E8" s="107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8340E4-2963-18BF-31D1-619CB473121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4727</v>
      </c>
      <c r="B1" s="0" t="b">
        <v>1</v>
      </c>
    </row>
    <row customHeight="1" ht="11.25">
      <c r="A2" s="0" t="s">
        <v>4728</v>
      </c>
      <c r="B2" s="0" t="b">
        <v>0</v>
      </c>
    </row>
    <row customHeight="1" ht="11.25">
      <c r="A3" s="0" t="s">
        <v>4729</v>
      </c>
      <c r="B3" s="0" t="b">
        <v>1</v>
      </c>
    </row>
    <row customHeight="1" ht="11.25">
      <c r="A4" s="0" t="s">
        <v>4730</v>
      </c>
      <c r="B4" s="0" t="b">
        <v>0</v>
      </c>
    </row>
    <row customHeight="1" ht="11.25">
      <c r="A5" s="0" t="s">
        <v>4731</v>
      </c>
      <c r="B5" s="0" t="b">
        <v>0</v>
      </c>
    </row>
    <row customHeight="1" ht="11.25">
      <c r="A6" s="0" t="s">
        <v>4732</v>
      </c>
      <c r="B6" s="0" t="b">
        <v>0</v>
      </c>
    </row>
    <row customHeight="1" ht="11.25">
      <c r="A7" s="0" t="s">
        <v>4733</v>
      </c>
      <c r="B7" s="0" t="b">
        <v>0</v>
      </c>
    </row>
    <row customHeight="1" ht="11.25">
      <c r="A8" s="0" t="s">
        <v>4734</v>
      </c>
      <c r="B8" s="0" t="b">
        <v>0</v>
      </c>
    </row>
    <row customHeight="1" ht="11.25">
      <c r="A9" s="0" t="s">
        <v>4735</v>
      </c>
      <c r="B9" s="0" t="b">
        <v>0</v>
      </c>
    </row>
    <row customHeight="1" ht="11.25">
      <c r="A10" s="0" t="s">
        <v>4736</v>
      </c>
      <c r="B10" s="0" t="b">
        <v>0</v>
      </c>
    </row>
    <row customHeight="1" ht="11.25">
      <c r="A11" s="0" t="s">
        <v>4737</v>
      </c>
      <c r="B11" s="0" t="b">
        <v>0</v>
      </c>
    </row>
    <row customHeight="1" ht="11.25">
      <c r="A12" s="0" t="s">
        <v>4738</v>
      </c>
      <c r="B12" s="0" t="b">
        <v>1</v>
      </c>
    </row>
    <row customHeight="1" ht="11.25">
      <c r="A13" s="0" t="s">
        <v>4739</v>
      </c>
      <c r="B13" s="0" t="b">
        <v>0</v>
      </c>
    </row>
    <row customHeight="1" ht="11.25">
      <c r="A14" s="0" t="s">
        <v>4740</v>
      </c>
      <c r="B14" s="0" t="b">
        <v>0</v>
      </c>
    </row>
    <row customHeight="1" ht="11.25">
      <c r="A15" s="0" t="s">
        <v>4741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15FD76-987E-8EFD-A269-83CE26B9EF9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2066" width="9.140625"/>
  </cols>
  <sheetData>
    <row customHeight="1" ht="12.75">
      <c r="A1" s="1007"/>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53C74A-BA56-FECF-0CCF-74DF9AC83B3D}"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2068" width="36.28125" customWidth="1"/>
    <col min="2" max="2" style="42068" width="21.140625" customWidth="1"/>
  </cols>
  <sheetData>
    <row customHeight="1" ht="11.25">
      <c r="A1" s="979" t="s">
        <v>4742</v>
      </c>
      <c r="B1" s="979" t="s">
        <v>4743</v>
      </c>
    </row>
    <row customHeight="1" ht="11.25">
      <c r="A2" s="973" t="s">
        <v>4744</v>
      </c>
      <c r="B2" s="973" t="s">
        <v>4745</v>
      </c>
    </row>
    <row customHeight="1" ht="11.25">
      <c r="A3" s="973" t="s">
        <v>4746</v>
      </c>
      <c r="B3" s="973" t="s">
        <v>4747</v>
      </c>
    </row>
    <row customHeight="1" ht="11.25">
      <c r="A4" s="973" t="s">
        <v>4748</v>
      </c>
      <c r="B4" s="973" t="s">
        <v>4749</v>
      </c>
    </row>
    <row customHeight="1" ht="11.25">
      <c r="A5" s="973" t="s">
        <v>4750</v>
      </c>
      <c r="B5" s="973" t="s">
        <v>4751</v>
      </c>
    </row>
    <row customHeight="1" ht="11.25">
      <c r="A6" s="973" t="s">
        <v>4752</v>
      </c>
      <c r="B6" s="973" t="s">
        <v>4753</v>
      </c>
    </row>
    <row customHeight="1" ht="11.25">
      <c r="A7" s="973" t="s">
        <v>4754</v>
      </c>
      <c r="B7" s="973" t="s">
        <v>4755</v>
      </c>
    </row>
    <row customHeight="1" ht="11.25">
      <c r="A8" s="973" t="s">
        <v>4756</v>
      </c>
      <c r="B8" s="973" t="s">
        <v>4757</v>
      </c>
    </row>
    <row customHeight="1" ht="11.25">
      <c r="A9" s="973" t="s">
        <v>4758</v>
      </c>
      <c r="B9" s="973" t="s">
        <v>4759</v>
      </c>
    </row>
    <row customHeight="1" ht="11.25">
      <c r="A10" s="973" t="s">
        <v>4760</v>
      </c>
      <c r="B10" s="973" t="s">
        <v>4761</v>
      </c>
    </row>
    <row customHeight="1" ht="11.25">
      <c r="A11" s="973" t="s">
        <v>4762</v>
      </c>
      <c r="B11" s="973" t="s">
        <v>4763</v>
      </c>
    </row>
    <row customHeight="1" ht="11.25">
      <c r="A12" s="973" t="s">
        <v>4764</v>
      </c>
      <c r="B12" s="973" t="s">
        <v>4765</v>
      </c>
    </row>
    <row customHeight="1" ht="11.25">
      <c r="A13" s="973" t="s">
        <v>4766</v>
      </c>
      <c r="B13" s="973" t="s">
        <v>4767</v>
      </c>
    </row>
    <row customHeight="1" ht="11.25">
      <c r="A14" s="973" t="s">
        <v>4768</v>
      </c>
      <c r="B14" s="973" t="s">
        <v>4769</v>
      </c>
    </row>
    <row customHeight="1" ht="11.25">
      <c r="A15" s="973" t="s">
        <v>4770</v>
      </c>
      <c r="B15" s="973" t="s">
        <v>4771</v>
      </c>
    </row>
    <row customHeight="1" ht="11.25">
      <c r="A16" s="973" t="s">
        <v>4772</v>
      </c>
      <c r="B16" s="973" t="s">
        <v>4773</v>
      </c>
    </row>
    <row customHeight="1" ht="11.25">
      <c r="A17" s="973" t="s">
        <v>4774</v>
      </c>
      <c r="B17" s="973" t="s">
        <v>4775</v>
      </c>
    </row>
    <row customHeight="1" ht="11.25">
      <c r="A18" s="973" t="s">
        <v>4776</v>
      </c>
      <c r="B18" s="973" t="s">
        <v>4777</v>
      </c>
    </row>
    <row customHeight="1" ht="11.25">
      <c r="A19" s="973" t="s">
        <v>4778</v>
      </c>
      <c r="B19" s="973" t="s">
        <v>4779</v>
      </c>
    </row>
    <row customHeight="1" ht="11.25">
      <c r="A20" s="973" t="s">
        <v>4780</v>
      </c>
      <c r="B20" s="973" t="s">
        <v>4781</v>
      </c>
    </row>
    <row customHeight="1" ht="11.25">
      <c r="A21" s="973" t="s">
        <v>4782</v>
      </c>
      <c r="B21" s="973" t="s">
        <v>4783</v>
      </c>
    </row>
    <row customHeight="1" ht="11.25">
      <c r="A22" s="973" t="s">
        <v>4784</v>
      </c>
      <c r="B22" s="973" t="s">
        <v>4785</v>
      </c>
    </row>
    <row customHeight="1" ht="11.25">
      <c r="A23" s="973" t="s">
        <v>4786</v>
      </c>
      <c r="B23" s="973" t="s">
        <v>4787</v>
      </c>
    </row>
    <row customHeight="1" ht="11.25">
      <c r="A24" s="973" t="s">
        <v>4788</v>
      </c>
      <c r="B24" s="973" t="s">
        <v>4789</v>
      </c>
    </row>
    <row customHeight="1" ht="11.25">
      <c r="A25" s="973" t="s">
        <v>4790</v>
      </c>
      <c r="B25" s="973" t="s">
        <v>4791</v>
      </c>
    </row>
    <row customHeight="1" ht="11.25">
      <c r="A26" s="973" t="s">
        <v>4792</v>
      </c>
      <c r="B26" s="973" t="s">
        <v>4793</v>
      </c>
    </row>
    <row customHeight="1" ht="11.25">
      <c r="A27" s="973" t="s">
        <v>4794</v>
      </c>
      <c r="B27" s="973" t="s">
        <v>4795</v>
      </c>
    </row>
    <row customHeight="1" ht="11.25">
      <c r="A28" s="973" t="s">
        <v>4796</v>
      </c>
      <c r="B28" s="973" t="s">
        <v>4797</v>
      </c>
    </row>
    <row customHeight="1" ht="11.25">
      <c r="A29" s="973" t="s">
        <v>4798</v>
      </c>
      <c r="B29" s="973" t="s">
        <v>4799</v>
      </c>
    </row>
    <row customHeight="1" ht="11.25">
      <c r="A30" s="973" t="s">
        <v>4800</v>
      </c>
      <c r="B30" s="973" t="s">
        <v>4801</v>
      </c>
    </row>
    <row customHeight="1" ht="11.25">
      <c r="A31" s="973" t="s">
        <v>4802</v>
      </c>
      <c r="B31" s="973" t="s">
        <v>4803</v>
      </c>
    </row>
    <row customHeight="1" ht="11.25">
      <c r="A32" s="973" t="s">
        <v>4804</v>
      </c>
      <c r="B32" s="973" t="s">
        <v>4805</v>
      </c>
    </row>
    <row customHeight="1" ht="11.25">
      <c r="A33" s="973" t="s">
        <v>4806</v>
      </c>
      <c r="B33" s="973" t="s">
        <v>4807</v>
      </c>
    </row>
    <row customHeight="1" ht="11.25">
      <c r="A34" s="973" t="s">
        <v>4808</v>
      </c>
      <c r="B34" s="973" t="s">
        <v>4809</v>
      </c>
    </row>
    <row customHeight="1" ht="11.25">
      <c r="A35" s="973" t="s">
        <v>4810</v>
      </c>
      <c r="B35" s="973" t="s">
        <v>4811</v>
      </c>
    </row>
    <row customHeight="1" ht="11.25">
      <c r="A36" s="973" t="s">
        <v>4812</v>
      </c>
      <c r="B36" s="973" t="s">
        <v>4813</v>
      </c>
    </row>
    <row customHeight="1" ht="11.25">
      <c r="A37" s="973" t="s">
        <v>4814</v>
      </c>
      <c r="B37" s="973" t="s">
        <v>4815</v>
      </c>
    </row>
    <row customHeight="1" ht="11.25">
      <c r="A38" s="973" t="s">
        <v>4816</v>
      </c>
      <c r="B38" s="973" t="s">
        <v>4817</v>
      </c>
    </row>
    <row customHeight="1" ht="11.25">
      <c r="A39" s="973" t="s">
        <v>4818</v>
      </c>
      <c r="B39" s="973" t="s">
        <v>4819</v>
      </c>
    </row>
    <row customHeight="1" ht="11.25">
      <c r="A40" s="973" t="s">
        <v>4820</v>
      </c>
      <c r="B40" s="973" t="s">
        <v>4821</v>
      </c>
    </row>
    <row customHeight="1" ht="11.25">
      <c r="A41" s="973" t="s">
        <v>4822</v>
      </c>
      <c r="B41" s="973" t="s">
        <v>4823</v>
      </c>
    </row>
    <row customHeight="1" ht="11.25">
      <c r="A42" s="973" t="s">
        <v>4824</v>
      </c>
      <c r="B42" s="973" t="s">
        <v>4825</v>
      </c>
    </row>
    <row customHeight="1" ht="11.25">
      <c r="A43" s="973" t="s">
        <v>4826</v>
      </c>
      <c r="B43" s="973" t="s">
        <v>4827</v>
      </c>
    </row>
    <row customHeight="1" ht="11.25">
      <c r="A44" s="973" t="s">
        <v>4828</v>
      </c>
      <c r="B44" s="973" t="s">
        <v>4829</v>
      </c>
    </row>
    <row customHeight="1" ht="11.25">
      <c r="A45" s="973" t="s">
        <v>4830</v>
      </c>
      <c r="B45" s="973" t="s">
        <v>4831</v>
      </c>
    </row>
    <row customHeight="1" ht="11.25">
      <c r="A46" s="973" t="s">
        <v>4832</v>
      </c>
      <c r="B46" s="973" t="s">
        <v>4833</v>
      </c>
    </row>
    <row customHeight="1" ht="11.25">
      <c r="A47" s="973" t="s">
        <v>4834</v>
      </c>
      <c r="B47" s="973" t="s">
        <v>4835</v>
      </c>
    </row>
    <row customHeight="1" ht="11.25">
      <c r="A48" s="973" t="s">
        <v>4836</v>
      </c>
      <c r="B48" s="973" t="s">
        <v>4837</v>
      </c>
    </row>
    <row customHeight="1" ht="11.25">
      <c r="A49" s="973" t="s">
        <v>4838</v>
      </c>
      <c r="B49" s="973" t="s">
        <v>4839</v>
      </c>
    </row>
    <row customHeight="1" ht="11.25">
      <c r="A50" s="973" t="s">
        <v>4840</v>
      </c>
      <c r="B50" s="973" t="s">
        <v>4841</v>
      </c>
    </row>
    <row customHeight="1" ht="11.25">
      <c r="A51" s="973" t="s">
        <v>4842</v>
      </c>
      <c r="B51" s="973" t="s">
        <v>4843</v>
      </c>
    </row>
    <row customHeight="1" ht="11.25">
      <c r="A52" s="973" t="s">
        <v>4844</v>
      </c>
      <c r="B52" s="973" t="s">
        <v>4845</v>
      </c>
    </row>
    <row customHeight="1" ht="11.25">
      <c r="A53" s="973" t="s">
        <v>4846</v>
      </c>
      <c r="B53" s="973" t="s">
        <v>4847</v>
      </c>
    </row>
    <row customHeight="1" ht="11.25">
      <c r="A54" s="973" t="s">
        <v>4848</v>
      </c>
      <c r="B54" s="973" t="s">
        <v>4849</v>
      </c>
    </row>
    <row customHeight="1" ht="11.25">
      <c r="A55" s="973" t="s">
        <v>4850</v>
      </c>
      <c r="B55" s="973" t="s">
        <v>4851</v>
      </c>
    </row>
    <row customHeight="1" ht="11.25">
      <c r="A56" s="973" t="s">
        <v>4852</v>
      </c>
      <c r="B56" s="973" t="s">
        <v>4853</v>
      </c>
    </row>
    <row customHeight="1" ht="11.25">
      <c r="A57" s="973" t="s">
        <v>4854</v>
      </c>
      <c r="B57" s="973" t="s">
        <v>4855</v>
      </c>
    </row>
    <row customHeight="1" ht="11.25">
      <c r="A58" s="973" t="s">
        <v>4856</v>
      </c>
      <c r="B58" s="973" t="s">
        <v>4857</v>
      </c>
    </row>
    <row customHeight="1" ht="11.25">
      <c r="A59" s="973" t="s">
        <v>4858</v>
      </c>
      <c r="B59" s="973" t="s">
        <v>4859</v>
      </c>
    </row>
    <row customHeight="1" ht="11.25">
      <c r="A60" s="973" t="s">
        <v>4860</v>
      </c>
      <c r="B60" s="973" t="s">
        <v>4861</v>
      </c>
    </row>
    <row customHeight="1" ht="11.25">
      <c r="A61" s="973"/>
      <c r="B61" s="973" t="s">
        <v>4862</v>
      </c>
    </row>
    <row customHeight="1" ht="11.25">
      <c r="A62" s="973"/>
      <c r="B62" s="973" t="s">
        <v>4863</v>
      </c>
    </row>
    <row customHeight="1" ht="11.25">
      <c r="A63" s="973"/>
      <c r="B63" s="973" t="s">
        <v>4864</v>
      </c>
    </row>
    <row customHeight="1" ht="11.25">
      <c r="A64" s="973"/>
      <c r="B64" s="973" t="s">
        <v>4865</v>
      </c>
    </row>
    <row customHeight="1" ht="11.25">
      <c r="A65" s="973"/>
      <c r="B65" s="973" t="s">
        <v>4866</v>
      </c>
    </row>
    <row customHeight="1" ht="11.25">
      <c r="A66" s="973"/>
      <c r="B66" s="973" t="s">
        <v>4867</v>
      </c>
    </row>
    <row customHeight="1" ht="11.25">
      <c r="A67" s="973"/>
      <c r="B67" s="973" t="s">
        <v>4868</v>
      </c>
    </row>
    <row customHeight="1" ht="11.25">
      <c r="A68" s="973"/>
      <c r="B68" s="973" t="s">
        <v>4869</v>
      </c>
    </row>
    <row customHeight="1" ht="11.25">
      <c r="A69" s="973"/>
      <c r="B69" s="973" t="s">
        <v>4870</v>
      </c>
    </row>
    <row customHeight="1" ht="11.25">
      <c r="A70" s="973"/>
      <c r="B70" s="973" t="s">
        <v>4871</v>
      </c>
    </row>
    <row customHeight="1" ht="11.25">
      <c r="A71" s="973"/>
      <c r="B71" s="973"/>
    </row>
    <row customHeight="1" ht="11.25">
      <c r="A72" s="973"/>
      <c r="B72" s="973"/>
    </row>
    <row customHeight="1" ht="11.25">
      <c r="A73" s="973"/>
      <c r="B73" s="973"/>
    </row>
    <row customHeight="1" ht="11.25">
      <c r="A74" s="973"/>
      <c r="B74" s="973"/>
    </row>
    <row customHeight="1" ht="11.25">
      <c r="A75" s="973"/>
      <c r="B75" s="973"/>
    </row>
    <row customHeight="1" ht="11.25">
      <c r="A76" s="973"/>
      <c r="B76" s="973"/>
    </row>
    <row customHeight="1" ht="11.25">
      <c r="A77" s="973"/>
      <c r="B77" s="973"/>
    </row>
    <row customHeight="1" ht="11.25">
      <c r="A78" s="973"/>
      <c r="B78" s="973"/>
    </row>
    <row customHeight="1" ht="11.25">
      <c r="A79" s="973"/>
      <c r="B79" s="973"/>
    </row>
    <row customHeight="1" ht="11.25">
      <c r="A80" s="973"/>
      <c r="B80" s="973"/>
    </row>
    <row customHeight="1" ht="11.25">
      <c r="A81" s="973"/>
      <c r="B81" s="973"/>
    </row>
    <row customHeight="1" ht="11.25">
      <c r="A82" s="973"/>
      <c r="B82" s="973"/>
    </row>
    <row customHeight="1" ht="11.25">
      <c r="A83" s="973"/>
      <c r="B83" s="973"/>
    </row>
    <row customHeight="1" ht="11.25">
      <c r="A84" s="973"/>
      <c r="B84" s="973"/>
    </row>
    <row customHeight="1" ht="11.25">
      <c r="A85" s="973"/>
      <c r="B85" s="973"/>
    </row>
    <row customHeight="1" ht="11.25">
      <c r="A86" s="973"/>
      <c r="B86" s="973"/>
    </row>
    <row customHeight="1" ht="11.25">
      <c r="A87" s="973"/>
      <c r="B87" s="973"/>
    </row>
    <row customHeight="1" ht="11.25">
      <c r="A88" s="973"/>
      <c r="B88" s="973"/>
    </row>
    <row customHeight="1" ht="11.25">
      <c r="A89" s="973"/>
      <c r="B89" s="973"/>
    </row>
    <row customHeight="1" ht="11.25">
      <c r="A90" s="973"/>
      <c r="B90" s="973"/>
    </row>
    <row customHeight="1" ht="11.25">
      <c r="A91" s="973"/>
      <c r="B91" s="973"/>
    </row>
    <row customHeight="1" ht="11.25">
      <c r="A92" s="973"/>
      <c r="B92" s="973"/>
    </row>
    <row customHeight="1" ht="11.25">
      <c r="A93" s="973"/>
      <c r="B93" s="973"/>
    </row>
    <row customHeight="1" ht="11.25">
      <c r="A94" s="973"/>
      <c r="B94" s="973"/>
    </row>
    <row customHeight="1" ht="11.25">
      <c r="A95" s="973"/>
      <c r="B95" s="973"/>
    </row>
    <row customHeight="1" ht="11.25">
      <c r="A96" s="973"/>
      <c r="B96" s="973"/>
    </row>
    <row customHeight="1" ht="11.25">
      <c r="A97" s="973"/>
      <c r="B97" s="973"/>
    </row>
    <row customHeight="1" ht="11.25">
      <c r="A98" s="973"/>
      <c r="B98" s="973"/>
    </row>
    <row customHeight="1" ht="11.25">
      <c r="A99" s="973"/>
      <c r="B99" s="973"/>
    </row>
    <row customHeight="1" ht="11.25">
      <c r="A100" s="973"/>
      <c r="B100" s="973"/>
    </row>
    <row customHeight="1" ht="11.25">
      <c r="A101" s="973"/>
      <c r="B101" s="973"/>
    </row>
    <row customHeight="1" ht="11.25">
      <c r="A102" s="973"/>
      <c r="B102" s="973"/>
    </row>
    <row customHeight="1" ht="11.25">
      <c r="A103" s="973"/>
      <c r="B103" s="973"/>
    </row>
    <row customHeight="1" ht="11.25">
      <c r="A104" s="973"/>
      <c r="B104" s="973"/>
    </row>
    <row customHeight="1" ht="11.25">
      <c r="A105" s="973"/>
      <c r="B105" s="973"/>
    </row>
    <row customHeight="1" ht="11.25">
      <c r="A106" s="973"/>
      <c r="B106" s="973"/>
    </row>
    <row customHeight="1" ht="11.25">
      <c r="A107" s="973"/>
      <c r="B107" s="973"/>
    </row>
    <row customHeight="1" ht="11.25">
      <c r="A108" s="973"/>
      <c r="B108" s="973"/>
    </row>
    <row customHeight="1" ht="11.25">
      <c r="A109" s="973"/>
      <c r="B109" s="973"/>
    </row>
    <row customHeight="1" ht="11.25">
      <c r="A110" s="973"/>
      <c r="B110" s="973"/>
    </row>
    <row customHeight="1" ht="11.25">
      <c r="A111" s="973"/>
      <c r="B111" s="973"/>
    </row>
    <row customHeight="1" ht="11.25">
      <c r="A112" s="973"/>
      <c r="B112" s="973"/>
    </row>
    <row customHeight="1" ht="11.25">
      <c r="A113" s="973"/>
      <c r="B113" s="973"/>
    </row>
    <row customHeight="1" ht="11.25">
      <c r="A114" s="973"/>
      <c r="B114" s="973"/>
    </row>
    <row customHeight="1" ht="11.25">
      <c r="A115" s="973"/>
      <c r="B115" s="973"/>
    </row>
    <row customHeight="1" ht="11.25">
      <c r="A116" s="973"/>
      <c r="B116" s="973"/>
    </row>
    <row customHeight="1" ht="11.25">
      <c r="A117" s="973"/>
      <c r="B117" s="973"/>
    </row>
    <row customHeight="1" ht="11.25">
      <c r="A118" s="973"/>
      <c r="B118" s="973"/>
    </row>
    <row customHeight="1" ht="11.25">
      <c r="A119" s="973"/>
      <c r="B119" s="973"/>
    </row>
    <row customHeight="1" ht="11.25">
      <c r="A120" s="973"/>
      <c r="B120" s="973"/>
    </row>
    <row customHeight="1" ht="11.25">
      <c r="A121" s="973"/>
      <c r="B121" s="973"/>
    </row>
    <row customHeight="1" ht="11.25">
      <c r="A122" s="973"/>
      <c r="B122" s="973"/>
    </row>
    <row customHeight="1" ht="11.25">
      <c r="A123" s="973"/>
      <c r="B123" s="973"/>
    </row>
    <row customHeight="1" ht="11.25">
      <c r="A124" s="973"/>
      <c r="B124" s="973"/>
    </row>
    <row customHeight="1" ht="11.25">
      <c r="A125" s="973"/>
      <c r="B125" s="973"/>
    </row>
    <row customHeight="1" ht="11.25">
      <c r="A126" s="973"/>
      <c r="B126" s="973"/>
    </row>
    <row customHeight="1" ht="11.25">
      <c r="A127" s="973"/>
      <c r="B127" s="973"/>
    </row>
    <row customHeight="1" ht="11.25">
      <c r="A128" s="973"/>
      <c r="B128" s="973"/>
    </row>
    <row customHeight="1" ht="11.25">
      <c r="A129" s="973"/>
      <c r="B129" s="973"/>
    </row>
    <row customHeight="1" ht="11.25">
      <c r="A130" s="973"/>
      <c r="B130" s="973"/>
    </row>
    <row customHeight="1" ht="11.25">
      <c r="A131" s="973"/>
      <c r="B131" s="973"/>
    </row>
    <row customHeight="1" ht="11.25">
      <c r="A132" s="973"/>
      <c r="B132" s="973"/>
    </row>
    <row customHeight="1" ht="11.25">
      <c r="A133" s="973"/>
      <c r="B133" s="973"/>
    </row>
    <row customHeight="1" ht="11.25">
      <c r="A134" s="973"/>
      <c r="B134" s="973"/>
    </row>
    <row customHeight="1" ht="11.25">
      <c r="A135" s="973"/>
      <c r="B135" s="973"/>
    </row>
    <row customHeight="1" ht="11.25">
      <c r="A136" s="973"/>
      <c r="B136" s="973"/>
    </row>
    <row customHeight="1" ht="11.25">
      <c r="A137" s="973"/>
      <c r="B137" s="973"/>
    </row>
    <row customHeight="1" ht="11.25">
      <c r="A138" s="973"/>
      <c r="B138" s="973"/>
    </row>
    <row customHeight="1" ht="11.25">
      <c r="A139" s="973"/>
      <c r="B139" s="973"/>
    </row>
    <row customHeight="1" ht="11.25">
      <c r="A140" s="973"/>
      <c r="B140" s="973"/>
    </row>
    <row customHeight="1" ht="11.25">
      <c r="A141" s="973"/>
      <c r="B141" s="973"/>
    </row>
    <row customHeight="1" ht="11.25">
      <c r="A142" s="973"/>
      <c r="B142" s="973"/>
    </row>
    <row customHeight="1" ht="11.25">
      <c r="A143" s="973"/>
      <c r="B143" s="973"/>
    </row>
    <row customHeight="1" ht="11.25">
      <c r="A144" s="973"/>
      <c r="B144" s="973"/>
    </row>
    <row customHeight="1" ht="11.25">
      <c r="A145" s="973"/>
      <c r="B145" s="973"/>
    </row>
    <row customHeight="1" ht="11.25">
      <c r="A146" s="973"/>
      <c r="B146" s="973"/>
    </row>
    <row customHeight="1" ht="11.25">
      <c r="A147" s="973"/>
      <c r="B147" s="973"/>
    </row>
    <row customHeight="1" ht="11.25">
      <c r="A148" s="973"/>
      <c r="B148" s="973"/>
    </row>
    <row customHeight="1" ht="11.25">
      <c r="A149" s="973"/>
      <c r="B149" s="973"/>
    </row>
    <row customHeight="1" ht="11.25">
      <c r="A150" s="973"/>
      <c r="B150" s="973"/>
    </row>
    <row customHeight="1" ht="11.25">
      <c r="A151" s="973"/>
      <c r="B151" s="973"/>
    </row>
    <row customHeight="1" ht="11.25">
      <c r="A152" s="973"/>
      <c r="B152" s="973"/>
    </row>
    <row customHeight="1" ht="11.25">
      <c r="A153" s="973"/>
      <c r="B153" s="973"/>
    </row>
    <row customHeight="1" ht="11.25">
      <c r="A154" s="973"/>
      <c r="B154" s="973"/>
    </row>
    <row customHeight="1" ht="11.25">
      <c r="A155" s="973"/>
      <c r="B155" s="973"/>
    </row>
    <row customHeight="1" ht="11.25">
      <c r="A156" s="973"/>
      <c r="B156" s="973"/>
    </row>
    <row customHeight="1" ht="11.25">
      <c r="A157" s="973"/>
      <c r="B157" s="973"/>
    </row>
    <row customHeight="1" ht="11.25">
      <c r="A158" s="973"/>
      <c r="B158" s="973"/>
    </row>
    <row customHeight="1" ht="11.25">
      <c r="A159" s="973"/>
      <c r="B159" s="973"/>
    </row>
    <row customHeight="1" ht="11.25">
      <c r="A160" s="973"/>
      <c r="B160" s="973"/>
    </row>
    <row customHeight="1" ht="11.25">
      <c r="A161" s="973"/>
      <c r="B161" s="973"/>
    </row>
    <row customHeight="1" ht="11.25">
      <c r="A162" s="973"/>
      <c r="B162" s="973"/>
    </row>
    <row customHeight="1" ht="11.25">
      <c r="A163" s="973"/>
      <c r="B163" s="973"/>
    </row>
    <row customHeight="1" ht="11.25">
      <c r="A164" s="973"/>
      <c r="B164" s="973"/>
    </row>
    <row customHeight="1" ht="11.25">
      <c r="A165" s="973"/>
      <c r="B165" s="973"/>
    </row>
    <row customHeight="1" ht="11.25">
      <c r="A166" s="973"/>
      <c r="B166" s="973"/>
    </row>
    <row customHeight="1" ht="11.25">
      <c r="A167" s="973"/>
      <c r="B167" s="973"/>
    </row>
    <row customHeight="1" ht="11.25">
      <c r="A168" s="973"/>
      <c r="B168" s="973"/>
    </row>
    <row customHeight="1" ht="11.25">
      <c r="A169" s="973"/>
      <c r="B169" s="973"/>
    </row>
    <row customHeight="1" ht="11.25">
      <c r="A170" s="973"/>
      <c r="B170" s="973"/>
    </row>
    <row customHeight="1" ht="11.25">
      <c r="A171" s="973"/>
      <c r="B171" s="973"/>
    </row>
    <row customHeight="1" ht="11.25">
      <c r="A172" s="973"/>
      <c r="B172" s="973"/>
    </row>
    <row customHeight="1" ht="11.25">
      <c r="A173" s="973"/>
      <c r="B173" s="973"/>
    </row>
    <row customHeight="1" ht="11.25">
      <c r="A174" s="973"/>
      <c r="B174" s="973"/>
    </row>
    <row customHeight="1" ht="11.25">
      <c r="A175" s="973"/>
      <c r="B175" s="973"/>
    </row>
    <row customHeight="1" ht="11.25">
      <c r="A176" s="973"/>
      <c r="B176" s="973"/>
    </row>
    <row customHeight="1" ht="11.25">
      <c r="A177" s="973"/>
      <c r="B177" s="973"/>
    </row>
    <row customHeight="1" ht="11.25">
      <c r="A178" s="973"/>
      <c r="B178" s="973"/>
    </row>
    <row customHeight="1" ht="11.25">
      <c r="A179" s="973"/>
      <c r="B179" s="973"/>
    </row>
    <row customHeight="1" ht="11.25">
      <c r="A180" s="973"/>
      <c r="B180" s="973"/>
    </row>
    <row customHeight="1" ht="11.25">
      <c r="A181" s="973"/>
      <c r="B181" s="973"/>
    </row>
    <row customHeight="1" ht="11.25">
      <c r="A182" s="973"/>
      <c r="B182" s="973"/>
    </row>
    <row customHeight="1" ht="11.25">
      <c r="A183" s="973"/>
      <c r="B183" s="973"/>
    </row>
    <row customHeight="1" ht="11.25">
      <c r="A184" s="973"/>
      <c r="B184" s="973"/>
    </row>
    <row customHeight="1" ht="11.25">
      <c r="A185" s="973"/>
      <c r="B185" s="973"/>
    </row>
    <row customHeight="1" ht="11.25">
      <c r="A186" s="973"/>
      <c r="B186" s="973"/>
    </row>
    <row customHeight="1" ht="11.25">
      <c r="A187" s="973"/>
      <c r="B187" s="973"/>
    </row>
    <row customHeight="1" ht="11.25">
      <c r="A188" s="973"/>
      <c r="B188" s="973"/>
    </row>
    <row customHeight="1" ht="11.25">
      <c r="A189" s="973"/>
      <c r="B189" s="973"/>
    </row>
    <row customHeight="1" ht="11.25">
      <c r="A190" s="973"/>
      <c r="B190" s="973"/>
    </row>
    <row customHeight="1" ht="11.25">
      <c r="A191" s="973"/>
      <c r="B191" s="973"/>
    </row>
    <row customHeight="1" ht="11.25">
      <c r="A192" s="973"/>
      <c r="B192" s="973"/>
    </row>
    <row customHeight="1" ht="11.25">
      <c r="A193" s="973"/>
      <c r="B193" s="973"/>
    </row>
    <row customHeight="1" ht="11.25">
      <c r="A194" s="973"/>
      <c r="B194" s="973"/>
    </row>
    <row customHeight="1" ht="11.25">
      <c r="A195" s="973"/>
      <c r="B195" s="973"/>
    </row>
    <row customHeight="1" ht="11.25">
      <c r="A196" s="973"/>
      <c r="B196" s="973"/>
    </row>
    <row customHeight="1" ht="11.25">
      <c r="A197" s="973"/>
      <c r="B197" s="973"/>
    </row>
    <row customHeight="1" ht="11.25">
      <c r="A198" s="973"/>
      <c r="B198" s="973"/>
    </row>
    <row customHeight="1" ht="11.25">
      <c r="A199" s="973"/>
      <c r="B199" s="973"/>
    </row>
    <row customHeight="1" ht="11.25">
      <c r="A200" s="973"/>
      <c r="B200" s="973"/>
    </row>
    <row customHeight="1" ht="11.25">
      <c r="A201" s="973"/>
      <c r="B201" s="973"/>
    </row>
    <row customHeight="1" ht="11.25">
      <c r="A202" s="973"/>
      <c r="B202" s="973"/>
    </row>
    <row customHeight="1" ht="11.25">
      <c r="A203" s="973"/>
      <c r="B203" s="973"/>
    </row>
    <row customHeight="1" ht="11.25">
      <c r="A204" s="973"/>
      <c r="B204" s="973"/>
    </row>
    <row customHeight="1" ht="11.25">
      <c r="A205" s="973"/>
      <c r="B205" s="973"/>
    </row>
    <row customHeight="1" ht="11.25">
      <c r="A206" s="973"/>
      <c r="B206" s="973"/>
    </row>
    <row customHeight="1" ht="11.25">
      <c r="A207" s="973"/>
      <c r="B207" s="973"/>
    </row>
    <row customHeight="1" ht="11.25">
      <c r="A208" s="973"/>
      <c r="B208" s="973"/>
    </row>
    <row customHeight="1" ht="11.25">
      <c r="A209" s="973"/>
      <c r="B209" s="973"/>
    </row>
    <row customHeight="1" ht="11.25">
      <c r="A210" s="973"/>
      <c r="B210" s="973"/>
    </row>
    <row customHeight="1" ht="11.25">
      <c r="A211" s="973"/>
      <c r="B211" s="973"/>
    </row>
    <row customHeight="1" ht="11.25">
      <c r="A212" s="973"/>
      <c r="B212" s="973"/>
    </row>
    <row customHeight="1" ht="11.25">
      <c r="A213" s="973"/>
      <c r="B213" s="973"/>
    </row>
    <row customHeight="1" ht="11.25">
      <c r="A214" s="973"/>
      <c r="B214" s="973"/>
    </row>
    <row customHeight="1" ht="11.25">
      <c r="A215" s="973"/>
      <c r="B215" s="973"/>
    </row>
    <row customHeight="1" ht="11.25">
      <c r="A216" s="973"/>
      <c r="B216" s="973"/>
    </row>
    <row customHeight="1" ht="11.25">
      <c r="A217" s="973"/>
      <c r="B217" s="973"/>
    </row>
    <row customHeight="1" ht="11.25">
      <c r="A218" s="973"/>
      <c r="B218" s="973"/>
    </row>
    <row customHeight="1" ht="11.25">
      <c r="A219" s="973"/>
      <c r="B219" s="973"/>
    </row>
    <row customHeight="1" ht="11.25">
      <c r="A220" s="973"/>
      <c r="B220" s="973"/>
    </row>
    <row customHeight="1" ht="11.25">
      <c r="A221" s="973"/>
      <c r="B221" s="973"/>
    </row>
    <row customHeight="1" ht="11.25">
      <c r="A222" s="973"/>
      <c r="B222" s="973"/>
    </row>
    <row customHeight="1" ht="11.25">
      <c r="A223" s="973"/>
      <c r="B223" s="973"/>
    </row>
    <row customHeight="1" ht="11.25">
      <c r="A224" s="973"/>
      <c r="B224" s="973"/>
    </row>
    <row customHeight="1" ht="11.25">
      <c r="A225" s="973"/>
      <c r="B225" s="973"/>
    </row>
    <row customHeight="1" ht="11.25">
      <c r="A226" s="973"/>
      <c r="B226" s="973"/>
    </row>
    <row customHeight="1" ht="11.25">
      <c r="A227" s="973"/>
      <c r="B227" s="973"/>
    </row>
    <row customHeight="1" ht="11.25">
      <c r="A228" s="973"/>
      <c r="B228" s="973"/>
    </row>
    <row customHeight="1" ht="11.25">
      <c r="A229" s="973"/>
      <c r="B229" s="973"/>
    </row>
    <row customHeight="1" ht="11.25">
      <c r="A230" s="973"/>
      <c r="B230" s="973"/>
    </row>
    <row customHeight="1" ht="11.25">
      <c r="A231" s="973"/>
      <c r="B231" s="973"/>
    </row>
    <row customHeight="1" ht="11.25">
      <c r="A232" s="973"/>
      <c r="B232" s="973"/>
    </row>
    <row customHeight="1" ht="11.25">
      <c r="A233" s="973"/>
      <c r="B233" s="973"/>
    </row>
    <row customHeight="1" ht="11.25">
      <c r="A234" s="973"/>
      <c r="B234" s="973"/>
    </row>
    <row customHeight="1" ht="11.25">
      <c r="A235" s="973"/>
      <c r="B235" s="973"/>
    </row>
    <row customHeight="1" ht="11.25">
      <c r="A236" s="973"/>
      <c r="B236" s="973"/>
    </row>
    <row customHeight="1" ht="11.25">
      <c r="A237" s="973"/>
      <c r="B237" s="973"/>
    </row>
    <row customHeight="1" ht="11.25">
      <c r="A238" s="973"/>
      <c r="B238" s="973"/>
    </row>
    <row customHeight="1" ht="11.25">
      <c r="A239" s="973"/>
      <c r="B239" s="973"/>
    </row>
    <row customHeight="1" ht="11.25">
      <c r="A240" s="973"/>
      <c r="B240" s="973"/>
    </row>
    <row customHeight="1" ht="11.25">
      <c r="A241" s="973"/>
      <c r="B241" s="973"/>
    </row>
    <row customHeight="1" ht="11.25">
      <c r="A242" s="973"/>
      <c r="B242" s="973"/>
    </row>
    <row customHeight="1" ht="11.25">
      <c r="A243" s="973"/>
      <c r="B243" s="973"/>
    </row>
    <row customHeight="1" ht="11.25">
      <c r="A244" s="973"/>
      <c r="B244" s="973"/>
    </row>
    <row customHeight="1" ht="11.25">
      <c r="A245" s="973"/>
      <c r="B245" s="973"/>
    </row>
    <row customHeight="1" ht="11.25">
      <c r="A246" s="973"/>
      <c r="B246" s="973"/>
    </row>
    <row customHeight="1" ht="11.25">
      <c r="A247" s="973"/>
      <c r="B247" s="973"/>
    </row>
    <row customHeight="1" ht="11.25">
      <c r="A248" s="973"/>
      <c r="B248" s="973"/>
    </row>
    <row customHeight="1" ht="11.25">
      <c r="A249" s="973"/>
      <c r="B249" s="973"/>
    </row>
    <row customHeight="1" ht="11.25">
      <c r="A250" s="973"/>
      <c r="B250" s="973"/>
    </row>
    <row customHeight="1" ht="11.25">
      <c r="A251" s="973"/>
      <c r="B251" s="973"/>
    </row>
    <row customHeight="1" ht="11.25">
      <c r="A252" s="973"/>
      <c r="B252" s="973"/>
    </row>
    <row customHeight="1" ht="11.25">
      <c r="A253" s="973"/>
      <c r="B253" s="973"/>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AC2E9D-F853-2DCF-B2EF-86552E5EEF3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2080" width="3.7109375" customWidth="1"/>
    <col min="2" max="2" style="42080" width="90.7109375" customWidth="1"/>
    <col min="3" max="4" style="42080" width="9.140625"/>
  </cols>
  <sheetData>
    <row customHeight="1" ht="11.25">
      <c r="B1" s="1005" t="s">
        <v>4872</v>
      </c>
    </row>
    <row customHeight="1" ht="90">
      <c r="B2" s="1006" t="s">
        <v>4873</v>
      </c>
    </row>
    <row customHeight="1" ht="67.5">
      <c r="B3" s="1006" t="s">
        <v>4874</v>
      </c>
    </row>
    <row customHeight="1" ht="33.75">
      <c r="B4" s="1006" t="s">
        <v>4875</v>
      </c>
    </row>
    <row customHeight="1" ht="11.25">
      <c r="B5" s="1006" t="s">
        <v>4876</v>
      </c>
    </row>
    <row customHeight="1" ht="22.5">
      <c r="B6" s="1006" t="s">
        <v>4877</v>
      </c>
    </row>
    <row customHeight="1" ht="22.5">
      <c r="B7" s="1006" t="s">
        <v>4878</v>
      </c>
    </row>
    <row customHeight="1" ht="22.5">
      <c r="B8" s="1006" t="s">
        <v>4879</v>
      </c>
    </row>
    <row customHeight="1" ht="22.5">
      <c r="B9" s="1006" t="s">
        <v>4880</v>
      </c>
    </row>
    <row customHeight="1" ht="56.25">
      <c r="B10" s="1006" t="s">
        <v>4881</v>
      </c>
    </row>
    <row customHeight="1" ht="12.75">
      <c r="B11" s="1072" t="s">
        <v>4882</v>
      </c>
    </row>
    <row customHeight="1" ht="11.25">
      <c r="B12" s="1005" t="s">
        <v>4883</v>
      </c>
    </row>
    <row customHeight="1" ht="22.5">
      <c r="B13" s="1006" t="s">
        <v>4884</v>
      </c>
    </row>
    <row customHeight="1" ht="67.5">
      <c r="B14" s="1006" t="s">
        <v>4885</v>
      </c>
    </row>
    <row customHeight="1" ht="22.5">
      <c r="B15" s="1006" t="s">
        <v>4886</v>
      </c>
    </row>
    <row customHeight="1" ht="11.25">
      <c r="B16" s="1005" t="s">
        <v>4887</v>
      </c>
      <c r="D16" s="1013"/>
    </row>
    <row customHeight="1" ht="33.75">
      <c r="B17" s="1006" t="s">
        <v>4888</v>
      </c>
    </row>
    <row customHeight="1" ht="33.75">
      <c r="B18" s="1006" t="s">
        <v>4889</v>
      </c>
    </row>
    <row customHeight="1" ht="11.25">
      <c r="B19" s="1006" t="s">
        <v>4890</v>
      </c>
    </row>
    <row customHeight="1" ht="33.75">
      <c r="B20" s="1006" t="s">
        <v>4891</v>
      </c>
    </row>
    <row customHeight="1" ht="11.25">
      <c r="B21" s="1005" t="s">
        <v>4892</v>
      </c>
    </row>
    <row customHeight="1" ht="11.25">
      <c r="B22" s="1006" t="s">
        <v>4893</v>
      </c>
    </row>
    <row r="24" customHeight="1" ht="22.5">
      <c r="B24" s="1074" t="s">
        <v>4894</v>
      </c>
    </row>
    <row r="26" customHeight="1" ht="11.25">
      <c r="B26" s="1005" t="s">
        <v>4895</v>
      </c>
    </row>
    <row customHeight="1" ht="22.5">
      <c r="B27" s="1073" t="s">
        <v>387</v>
      </c>
    </row>
    <row customHeight="1" ht="56.25">
      <c r="B28" s="1073" t="s">
        <v>4896</v>
      </c>
    </row>
    <row customHeight="1" ht="11.25">
      <c r="B29" s="1122" t="s">
        <v>4897</v>
      </c>
    </row>
    <row customHeight="1" ht="22.5">
      <c r="B30" s="1073" t="s">
        <v>4898</v>
      </c>
    </row>
    <row r="32" customHeight="1" ht="11.25">
      <c r="A32" s="1100"/>
      <c r="B32" s="1101" t="s">
        <v>4899</v>
      </c>
    </row>
    <row customHeight="1" ht="14.25">
      <c r="A33" s="1102">
        <v>1</v>
      </c>
      <c r="B33" s="1103" t="s">
        <v>4900</v>
      </c>
    </row>
    <row customHeight="1" ht="14.25">
      <c r="A34" s="1102">
        <v>2</v>
      </c>
      <c r="B34" s="1103" t="s">
        <v>4901</v>
      </c>
    </row>
    <row customHeight="1" ht="11.25">
      <c r="B35" s="1101" t="s">
        <v>4902</v>
      </c>
    </row>
    <row customHeight="1" ht="11.25">
      <c r="B36" s="1103" t="s">
        <v>4903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97A58A-1262-9347-DA85-B353818BD907}"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40010" width="9.140625" hidden="1" customWidth="1"/>
    <col min="2" max="2" style="40011" width="9.140625" hidden="1" customWidth="1"/>
    <col min="3" max="3" style="39983" width="3.7109375" customWidth="1"/>
    <col min="4" max="4" style="40011" width="5.57421875" customWidth="1"/>
    <col min="5" max="5" style="40011" width="38.140625" customWidth="1"/>
    <col min="6" max="7" style="40011" width="3.7109375" customWidth="1"/>
    <col min="8" max="8" style="40011" width="38.28125" customWidth="1"/>
    <col min="9" max="9" style="40011" width="35.7109375" customWidth="1"/>
    <col min="10" max="10" style="40011" width="103.7109375" customWidth="1"/>
    <col min="11" max="11" style="39768" width="3.7109375" customWidth="1"/>
    <col min="12" max="14" style="40012" width="10.57421875"/>
    <col min="15" max="15" style="40012" width="13.7109375" customWidth="1"/>
    <col min="16" max="16" style="40012" width="15.421875" customWidth="1"/>
    <col min="17" max="17" style="40012" width="16.28125" customWidth="1"/>
    <col min="18" max="21" style="40012" width="10.57421875"/>
  </cols>
  <sheetData>
    <row customHeight="1" ht="14.25" hidden="1">
      <c r="E1" s="1324"/>
      <c r="F1" s="1324"/>
      <c r="G1" s="1324"/>
      <c r="H1" s="3041" t="s">
        <v>343</v>
      </c>
      <c r="I1" s="3041"/>
    </row>
    <row s="39987" customFormat="1" customHeight="1" ht="14.25" hidden="1">
      <c r="C2" s="2534"/>
      <c r="D2" s="3057" t="s">
        <v>102</v>
      </c>
      <c r="E2" s="3059"/>
      <c r="F2" s="2540"/>
      <c r="G2" s="2535" t="s">
        <v>102</v>
      </c>
      <c r="H2" s="2538"/>
      <c r="I2" s="2536"/>
      <c r="L2" s="2537"/>
      <c r="M2" s="2537"/>
      <c r="N2" s="2537"/>
      <c r="O2" s="2537" t="s">
        <v>373</v>
      </c>
      <c r="P2" s="2537"/>
      <c r="Q2" s="2537"/>
      <c r="R2" s="2539" t="s">
        <v>372</v>
      </c>
      <c r="S2" s="2539" t="s">
        <v>372</v>
      </c>
      <c r="T2" s="2537"/>
      <c r="U2" s="2537"/>
    </row>
    <row s="39987" customFormat="1" customHeight="1" ht="14.25" hidden="1">
      <c r="C3" s="2534"/>
      <c r="D3" s="3058"/>
      <c r="E3" s="3060"/>
      <c r="F3" s="1317"/>
      <c r="G3" s="1781"/>
      <c r="H3" s="1781" t="s">
        <v>374</v>
      </c>
      <c r="I3" s="1225"/>
      <c r="L3" s="2537"/>
      <c r="M3" s="2537"/>
      <c r="N3" s="2537"/>
      <c r="O3" s="2537"/>
      <c r="P3" s="2537"/>
      <c r="Q3" s="2537"/>
      <c r="R3" s="2539"/>
      <c r="S3" s="2539"/>
      <c r="T3" s="2537"/>
      <c r="U3" s="2537"/>
    </row>
    <row customHeight="1" ht="14.25" hidden="1"/>
    <row s="39999" customFormat="1" customHeight="1" ht="6">
      <c r="C5" s="1613"/>
      <c r="D5" s="1614"/>
      <c r="E5" s="1614"/>
      <c r="F5" s="1614"/>
      <c r="G5" s="1614"/>
      <c r="H5" s="1614" t="s">
        <v>347</v>
      </c>
      <c r="I5" s="1614"/>
      <c r="J5" s="1614"/>
      <c r="L5" s="2529"/>
      <c r="M5" s="2529"/>
      <c r="N5" s="2529"/>
      <c r="O5" s="2529"/>
      <c r="P5" s="2529"/>
      <c r="Q5" s="2529"/>
      <c r="R5" s="2529"/>
      <c r="S5" s="2529"/>
      <c r="T5" s="2529"/>
      <c r="U5" s="2529"/>
    </row>
    <row customHeight="1" ht="27.75">
      <c r="C6" s="2431"/>
      <c r="D6" s="3061" t="s">
        <v>375</v>
      </c>
      <c r="E6" s="3061"/>
      <c r="F6" s="3061"/>
      <c r="G6" s="3061"/>
      <c r="H6" s="3061"/>
      <c r="I6" s="3061"/>
      <c r="J6" s="1403"/>
      <c r="K6" s="2530"/>
    </row>
    <row customHeight="1" ht="17.25">
      <c r="C7" s="2431"/>
      <c r="D7" s="3000" t="str">
        <f>IF(org=0,"Не определено",org)</f>
        <v>ПАО "ТГК-1" филиал "Невский"</v>
      </c>
      <c r="E7" s="3000"/>
      <c r="F7" s="3000"/>
      <c r="G7" s="3000"/>
      <c r="H7" s="3000"/>
      <c r="I7" s="3000"/>
      <c r="J7" s="1403"/>
      <c r="K7" s="2530"/>
    </row>
    <row s="40004" customFormat="1" customHeight="1" ht="6">
      <c r="A8" s="2526"/>
      <c r="C8" s="1398"/>
      <c r="D8" s="1397"/>
      <c r="E8" s="1397"/>
      <c r="F8" s="1397"/>
      <c r="G8" s="1397"/>
      <c r="H8" s="1397"/>
      <c r="I8" s="1397"/>
      <c r="J8" s="1397"/>
      <c r="L8" s="2529"/>
      <c r="M8" s="2529"/>
      <c r="N8" s="2529"/>
      <c r="O8" s="2529"/>
      <c r="P8" s="2529"/>
      <c r="Q8" s="2529"/>
      <c r="R8" s="2529"/>
      <c r="S8" s="2529"/>
      <c r="T8" s="2529"/>
      <c r="U8" s="2529"/>
    </row>
    <row s="40004" customFormat="1" customHeight="1" ht="6">
      <c r="A9" s="2526"/>
      <c r="C9" s="1398"/>
      <c r="D9" s="1397"/>
      <c r="E9" s="1397"/>
      <c r="F9" s="1397"/>
      <c r="G9" s="1397"/>
      <c r="H9" s="1397"/>
      <c r="I9" s="1397"/>
      <c r="J9" s="1397"/>
      <c r="L9" s="2537"/>
      <c r="M9" s="2537"/>
      <c r="N9" s="2537"/>
      <c r="O9" s="2537"/>
      <c r="P9" s="2537"/>
      <c r="Q9" s="2537"/>
      <c r="R9" s="2537"/>
      <c r="S9" s="2537"/>
      <c r="T9" s="2537"/>
      <c r="U9" s="2537"/>
    </row>
    <row customHeight="1" ht="14.25">
      <c r="C10" s="2431"/>
      <c r="D10" s="3042" t="s">
        <v>291</v>
      </c>
      <c r="E10" s="3043"/>
      <c r="F10" s="3043"/>
      <c r="G10" s="3043"/>
      <c r="H10" s="3043"/>
      <c r="I10" s="3043"/>
      <c r="J10" s="3047" t="s">
        <v>292</v>
      </c>
    </row>
    <row customHeight="1" ht="25.5">
      <c r="C11" s="2431"/>
      <c r="D11" s="2953" t="s">
        <v>84</v>
      </c>
      <c r="E11" s="3047" t="s">
        <v>98</v>
      </c>
      <c r="F11" s="3016" t="s">
        <v>84</v>
      </c>
      <c r="G11" s="3017"/>
      <c r="H11" s="2999" t="s">
        <v>376</v>
      </c>
      <c r="I11" s="2999" t="s">
        <v>377</v>
      </c>
      <c r="J11" s="3047"/>
    </row>
    <row customHeight="1" ht="14.25">
      <c r="C12" s="2431"/>
      <c r="D12" s="2953"/>
      <c r="E12" s="3047"/>
      <c r="F12" s="3024"/>
      <c r="G12" s="3025"/>
      <c r="H12" s="3056"/>
      <c r="I12" s="3056"/>
      <c r="J12" s="3047"/>
    </row>
    <row s="39960" customFormat="1" customHeight="1" ht="11.25" hidden="1">
      <c r="C13" s="1410"/>
      <c r="D13" s="1411" t="s">
        <v>367</v>
      </c>
      <c r="E13" s="1411"/>
      <c r="F13" s="1411"/>
      <c r="G13" s="1411"/>
      <c r="H13" s="1409"/>
      <c r="I13" s="1409"/>
      <c r="J13" s="1347"/>
      <c r="L13" s="2529"/>
      <c r="M13" s="2529"/>
      <c r="N13" s="2529"/>
      <c r="O13" s="2529"/>
      <c r="P13" s="2529"/>
      <c r="Q13" s="2529"/>
      <c r="R13" s="2529"/>
      <c r="S13" s="2529"/>
      <c r="T13" s="2529"/>
      <c r="U13" s="2529"/>
    </row>
    <row customHeight="1" ht="14.25">
      <c r="A14" s="2522"/>
      <c r="C14" s="2431"/>
      <c r="D14" s="3057" t="s">
        <v>102</v>
      </c>
      <c r="E14" s="3059"/>
      <c r="F14" s="2532"/>
      <c r="G14" s="2531" t="s">
        <v>102</v>
      </c>
      <c r="H14" s="2538"/>
      <c r="I14" s="2536"/>
      <c r="J14" s="2993" t="s">
        <v>378</v>
      </c>
      <c r="K14" s="2522"/>
      <c r="R14" s="1412" t="s">
        <v>372</v>
      </c>
      <c r="S14" s="1412" t="s">
        <v>372</v>
      </c>
    </row>
    <row customHeight="1" ht="14.25">
      <c r="A15" s="2522"/>
      <c r="C15" s="2431"/>
      <c r="D15" s="3058"/>
      <c r="E15" s="3060"/>
      <c r="F15" s="1317"/>
      <c r="G15" s="1781"/>
      <c r="H15" s="1781" t="s">
        <v>374</v>
      </c>
      <c r="I15" s="1225"/>
      <c r="J15" s="2994"/>
      <c r="K15" s="2522"/>
      <c r="R15" s="1412"/>
      <c r="S15" s="1412"/>
    </row>
    <row customHeight="1" ht="14.25">
      <c r="A16" s="2522"/>
      <c r="C16" s="2431"/>
      <c r="D16" s="1317"/>
      <c r="E16" s="1781" t="s">
        <v>114</v>
      </c>
      <c r="F16" s="1225"/>
      <c r="G16" s="1225"/>
      <c r="H16" s="1318"/>
      <c r="I16" s="1318"/>
      <c r="J16" s="2995"/>
      <c r="K16" s="2522"/>
    </row>
    <row customHeight="1" ht="14.25">
      <c r="K17" s="2522"/>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file>