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activeTab="1"/>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r:id="rId12"/>
    <sheet name="ТС. Т-ТЭ | ТСО" sheetId="12" state="hidden" r:id="rId13"/>
    <sheet name="ТС. Резерв мощности" sheetId="13" r:id="rId14"/>
    <sheet name="ТС. Т-ТН" sheetId="14" r:id="rId15"/>
    <sheet name="ТС. Т-передача ТЭ" sheetId="15" state="hidden" r:id="rId16"/>
    <sheet name="ТС. Т-передача ТН" sheetId="16" state="hidden" r:id="rId17"/>
    <sheet name="ТС. Т-гор.вода" sheetId="17"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&gt;=25МВт'!$108:$110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Т-гор.вода'!$78:$80</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&gt;=25МВт'!$111:$114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Т-гор.вода'!$81:$83</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тарифов'!$76:$100</definedName>
    <definedName name="BLOCK_PT_HEAT">'Перечень тарифов'!$13:$74</definedName>
    <definedName name="BLOCK_PT_HOTVSNA">'Перечень тарифов'!$102:$116</definedName>
    <definedName name="BLOCK_PT_VOTV">'Перечень тарифов'!$118:$132</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тарифов'!$Z$12:$Z$134</definedName>
    <definedName name="DIFFERENTIATION_TARIFF_VD_ID">'Перечень тарифов'!$AB$12:$AB$134</definedName>
    <definedName name="DIFFERENTIATION_TARIFF_VTAR_ID">'Перечень тарифов'!$AA$12:$AA$134</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Предложение!$L$88</definedName>
    <definedName name="OFFER_METHOD">Предложение!$K$24:$K$86</definedName>
    <definedName name="OFFER_METHOD_FLAG">TEHSHEET!$L$6</definedName>
    <definedName name="OFFER_TARIFF_A_1">Предложение!$24:$32</definedName>
    <definedName name="OFFER_TARIFF_A_2">Предложение!$90:$98</definedName>
    <definedName name="OFFER_TARIFF_A_3">Предложение!$154:$162</definedName>
    <definedName name="OFFER_TARIFF_A_4">Предложение!$218:$226</definedName>
    <definedName name="OFFER_TARIFF_A_5">Предложение!$282:$290</definedName>
    <definedName name="OFFER_TARIFF_A_COLDVSNA_1">Предложение!$54:$56</definedName>
    <definedName name="OFFER_TARIFF_A_COLDVSNA_2">Предложение!$120:$122</definedName>
    <definedName name="OFFER_TARIFF_A_COLDVSNA_3">Предложение!$184:$186</definedName>
    <definedName name="OFFER_TARIFF_A_COLDVSNA_4">Предложение!$248:$250</definedName>
    <definedName name="OFFER_TARIFF_A_COLDVSNA_5">Предложение!$312:$314</definedName>
    <definedName name="OFFER_TARIFF_A_HOTVSNA_1">Предложение!$69:$71</definedName>
    <definedName name="OFFER_TARIFF_A_HOTVSNA_2">Предложение!$135:$137</definedName>
    <definedName name="OFFER_TARIFF_A_HOTVSNA_3">Предложение!$199:$201</definedName>
    <definedName name="OFFER_TARIFF_A_HOTVSNA_4">Предложение!$263:$265</definedName>
    <definedName name="OFFER_TARIFF_A_HOTVSNA_5">Предложение!$327:$329</definedName>
    <definedName name="OFFER_TARIFF_A_VOTV_1">Предложение!$78:$80</definedName>
    <definedName name="OFFER_TARIFF_A_VOTV_2">Предложение!$144:$146</definedName>
    <definedName name="OFFER_TARIFF_A_VOTV_3">Предложение!$208:$210</definedName>
    <definedName name="OFFER_TARIFF_A_VOTV_4">Предложение!$272:$274</definedName>
    <definedName name="OFFER_TARIFF_A_VOTV_5">Предложение!$336:$338</definedName>
    <definedName name="OFFER_TARIFF_B_1">Предложение!$33:$35</definedName>
    <definedName name="OFFER_TARIFF_B_2">Предложение!$99:$101</definedName>
    <definedName name="OFFER_TARIFF_B_3">Предложение!$163:$165</definedName>
    <definedName name="OFFER_TARIFF_B_4">Предложение!$227:$229</definedName>
    <definedName name="OFFER_TARIFF_B_5">Предложение!$291:$293</definedName>
    <definedName name="OFFER_TARIFF_B_COLDVSNA_1">Предложение!$57:$59</definedName>
    <definedName name="OFFER_TARIFF_B_COLDVSNA_2">Предложение!$123:$125</definedName>
    <definedName name="OFFER_TARIFF_B_COLDVSNA_3">Предложение!$187:$189</definedName>
    <definedName name="OFFER_TARIFF_B_COLDVSNA_4">Предложение!$251:$253</definedName>
    <definedName name="OFFER_TARIFF_B_COLDVSNA_5">Предложение!$315:$317</definedName>
    <definedName name="OFFER_TARIFF_B_HOTVSNA_1">Предложение!$72:$74</definedName>
    <definedName name="OFFER_TARIFF_B_HOTVSNA_2">Предложение!$138:$140</definedName>
    <definedName name="OFFER_TARIFF_B_HOTVSNA_3">Предложение!$202:$204</definedName>
    <definedName name="OFFER_TARIFF_B_HOTVSNA_4">Предложение!$266:$268</definedName>
    <definedName name="OFFER_TARIFF_B_HOTVSNA_5">Предложение!$330:$332</definedName>
    <definedName name="OFFER_TARIFF_B_VOTV_1">Предложение!$81:$83</definedName>
    <definedName name="OFFER_TARIFF_B_VOTV_2">Предложение!$147:$149</definedName>
    <definedName name="OFFER_TARIFF_B_VOTV_3">Предложение!$211:$213</definedName>
    <definedName name="OFFER_TARIFF_B_VOTV_4">Предложение!$275:$277</definedName>
    <definedName name="OFFER_TARIFF_B_VOTV_5">Предложение!$339:$341</definedName>
    <definedName name="OFFER_TARIFF_C_1">Предложение!$36:$38</definedName>
    <definedName name="OFFER_TARIFF_C_2">Предложение!$102:$104</definedName>
    <definedName name="OFFER_TARIFF_C_3">Предложение!$166:$168</definedName>
    <definedName name="OFFER_TARIFF_C_4">Предложение!$230:$232</definedName>
    <definedName name="OFFER_TARIFF_C_5">Предложение!$294:$296</definedName>
    <definedName name="OFFER_TARIFF_C_COLDVSNA_1">Предложение!$60:$62</definedName>
    <definedName name="OFFER_TARIFF_C_COLDVSNA_2">Предложение!$126:$128</definedName>
    <definedName name="OFFER_TARIFF_C_COLDVSNA_3">Предложение!$190:$192</definedName>
    <definedName name="OFFER_TARIFF_C_COLDVSNA_4">Предложение!$254:$256</definedName>
    <definedName name="OFFER_TARIFF_C_COLDVSNA_5">Предложение!$318:$320</definedName>
    <definedName name="OFFER_TARIFF_C_HOTVSNA_1">Предложение!$75:$77</definedName>
    <definedName name="OFFER_TARIFF_C_HOTVSNA_2">Предложение!$141:$143</definedName>
    <definedName name="OFFER_TARIFF_C_HOTVSNA_3">Предложение!$205:$207</definedName>
    <definedName name="OFFER_TARIFF_C_HOTVSNA_4">Предложение!$269:$271</definedName>
    <definedName name="OFFER_TARIFF_C_HOTVSNA_5">Предложение!$333:$335</definedName>
    <definedName name="OFFER_TARIFF_C_VOTV_1">Предложение!$84:$86</definedName>
    <definedName name="OFFER_TARIFF_C_VOTV_2">Предложение!$150:$152</definedName>
    <definedName name="OFFER_TARIFF_C_VOTV_3">Предложение!$214:$216</definedName>
    <definedName name="OFFER_TARIFF_C_VOTV_4">Предложение!$278:$280</definedName>
    <definedName name="OFFER_TARIFF_C_VOTV_5">Предложение!$342:$344</definedName>
    <definedName name="OFFER_TARIFF_D_1">Предложение!$39:$41</definedName>
    <definedName name="OFFER_TARIFF_D_2">Предложение!$105:$107</definedName>
    <definedName name="OFFER_TARIFF_D_3">Предложение!$169:$171</definedName>
    <definedName name="OFFER_TARIFF_D_4">Предложение!$233:$235</definedName>
    <definedName name="OFFER_TARIFF_D_5">Предложение!$297:$299</definedName>
    <definedName name="OFFER_TARIFF_D_COLDVSNA_1">Предложение!$63:$65</definedName>
    <definedName name="OFFER_TARIFF_D_COLDVSNA_2">Предложение!$129:$131</definedName>
    <definedName name="OFFER_TARIFF_D_COLDVSNA_3">Предложение!$193:$195</definedName>
    <definedName name="OFFER_TARIFF_D_COLDVSNA_4">Предложение!$257:$259</definedName>
    <definedName name="OFFER_TARIFF_D_COLDVSNA_5">Предложение!$321:$323</definedName>
    <definedName name="OFFER_TARIFF_E_COLDVSNA_1">Предложение!$66:$68</definedName>
    <definedName name="OFFER_TARIFF_E_COLDVSNA_2">Предложение!$132:$134</definedName>
    <definedName name="OFFER_TARIFF_E_COLDVSNA_3">Предложение!$196:$198</definedName>
    <definedName name="OFFER_TARIFF_E_COLDVSNA_4">Предложение!$260:$262</definedName>
    <definedName name="OFFER_TARIFF_E_COLDVSNA_5">Предложение!$324:$326</definedName>
    <definedName name="OFFER_TARIFF_E1_1">Предложение!$42:$44</definedName>
    <definedName name="OFFER_TARIFF_E1_2">Предложение!$108:$110</definedName>
    <definedName name="OFFER_TARIFF_E1_3">Предложение!$172:$174</definedName>
    <definedName name="OFFER_TARIFF_E1_4">Предложение!$236:$238</definedName>
    <definedName name="OFFER_TARIFF_E1_5">Предложение!$300:$302</definedName>
    <definedName name="OFFER_TARIFF_E2_1">Предложение!$45:$47</definedName>
    <definedName name="OFFER_TARIFF_E2_2">Предложение!$111:$113</definedName>
    <definedName name="OFFER_TARIFF_E2_3">Предложение!$175:$177</definedName>
    <definedName name="OFFER_TARIFF_E2_4">Предложение!$239:$241</definedName>
    <definedName name="OFFER_TARIFF_E2_5">Предложение!$303:$305</definedName>
    <definedName name="OFFER_TARIFF_F_1">Предложение!$48:$50</definedName>
    <definedName name="OFFER_TARIFF_F_2">Предложение!$114:$116</definedName>
    <definedName name="OFFER_TARIFF_F_3">Предложение!$178:$180</definedName>
    <definedName name="OFFER_TARIFF_F_4">Предложение!$242:$244</definedName>
    <definedName name="OFFER_TARIFF_F_5">Предложение!$306:$308</definedName>
    <definedName name="OFFER_TARIFF_G_1">Предложение!$51:$53</definedName>
    <definedName name="OFFER_TARIFF_G_2">Предложение!$117:$119</definedName>
    <definedName name="OFFER_TARIFF_G_3">Предложение!$181:$183</definedName>
    <definedName name="OFFER_TARIFF_G_4">Предложение!$245:$247</definedName>
    <definedName name="OFFER_TARIFF_G_5">Предложение!$309:$311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ТП'!$C$26:$C$41</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ТП'!$A$21:$A$41</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ТП'!$E$41</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&gt;=25МВт'!$T$107</definedName>
    <definedName name="pIns_PT_VTAR_A_COLDVSNA">'ХВС. Т-пит'!$T$53</definedName>
    <definedName name="pIns_PT_VTAR_A_COLDVSNA_OFFER_1">Предложение!$G$56</definedName>
    <definedName name="pIns_PT_VTAR_A_COLDVSNA_OFFER_2">Предложение!$G$122</definedName>
    <definedName name="pIns_PT_VTAR_A_COLDVSNA_OFFER_3">Предложение!$G$186</definedName>
    <definedName name="pIns_PT_VTAR_A_COLDVSNA_OFFER_4">Предложение!$G$250</definedName>
    <definedName name="pIns_PT_VTAR_A_COLDVSNA_OFFER_5">Предложение!$G$314</definedName>
    <definedName name="pIns_PT_VTAR_A_COLDVSNA_OFFER5">Предложение!$G$314</definedName>
    <definedName name="pIns_PT_VTAR_A_HOTVSNA">'ГВС. Т-гор.вода'!$T$53</definedName>
    <definedName name="pIns_PT_VTAR_A_HOTVSNA_OFFER_1">Предложение!$G$71</definedName>
    <definedName name="pIns_PT_VTAR_A_HOTVSNA_OFFER_2">Предложение!$G$137</definedName>
    <definedName name="pIns_PT_VTAR_A_HOTVSNA_OFFER_3">Предложение!$G$201</definedName>
    <definedName name="pIns_PT_VTAR_A_HOTVSNA_OFFER_4">Предложение!$G$265</definedName>
    <definedName name="pIns_PT_VTAR_A_HOTVSNA_OFFER_5">Предложение!$G$329</definedName>
    <definedName name="pIns_PT_VTAR_A_OFFER_1">Предложение!$G$32</definedName>
    <definedName name="pIns_PT_VTAR_A_OFFER_2">Предложение!$G$98</definedName>
    <definedName name="pIns_PT_VTAR_A_OFFER_3">Предложение!$G$162</definedName>
    <definedName name="pIns_PT_VTAR_A_OFFER_4">Предложение!$G$226</definedName>
    <definedName name="pIns_PT_VTAR_A_OFFER_5">Предложение!$G$290</definedName>
    <definedName name="pIns_PT_VTAR_A_VOTV">'ВО. Т-во'!$T$53</definedName>
    <definedName name="pIns_PT_VTAR_A_VOTV_OFFER_1">Предложение!$G$80</definedName>
    <definedName name="pIns_PT_VTAR_A_VOTV_OFFER_2">Предложение!$G$146</definedName>
    <definedName name="pIns_PT_VTAR_A_VOTV_OFFER_3">Предложение!$G$210</definedName>
    <definedName name="pIns_PT_VTAR_A_VOTV_OFFER_4">Предложение!$G$274</definedName>
    <definedName name="pIns_PT_VTAR_A_VOTV_OFFER_5">Предложение!$G$338</definedName>
    <definedName name="pIns_PT_VTAR_B">'ТС. Т-ТЭ | ТСО'!$T$57</definedName>
    <definedName name="pIns_PT_VTAR_B_COLDVSNA">'ХВС. Т-тех'!$T$53</definedName>
    <definedName name="pIns_PT_VTAR_B_COLDVSNA_OFFER_1">Предложение!$G$59</definedName>
    <definedName name="pIns_PT_VTAR_B_COLDVSNA_OFFER_2">Предложение!$G$125</definedName>
    <definedName name="pIns_PT_VTAR_B_COLDVSNA_OFFER_3">Предложение!$G$189</definedName>
    <definedName name="pIns_PT_VTAR_B_COLDVSNA_OFFER_4">Предложение!$G$253</definedName>
    <definedName name="pIns_PT_VTAR_B_COLDVSNA_OFFER_5">Предложение!$G$317</definedName>
    <definedName name="pIns_PT_VTAR_B_HOTVSNA">'ГВС. Т-транс'!$T$53</definedName>
    <definedName name="pIns_PT_VTAR_B_HOTVSNA_OFFER_1">Предложение!$G$74</definedName>
    <definedName name="pIns_PT_VTAR_B_HOTVSNA_OFFER_2">Предложение!$G$140</definedName>
    <definedName name="pIns_PT_VTAR_B_HOTVSNA_OFFER_3">Предложение!$G$204</definedName>
    <definedName name="pIns_PT_VTAR_B_HOTVSNA_OFFER_4">Предложение!$G$268</definedName>
    <definedName name="pIns_PT_VTAR_B_HOTVSNA_OFFER_5">Предложение!$G$332</definedName>
    <definedName name="pIns_PT_VTAR_B_OFFER_1">Предложение!$G$35</definedName>
    <definedName name="pIns_PT_VTAR_B_OFFER_2">Предложение!$G$101</definedName>
    <definedName name="pIns_PT_VTAR_B_OFFER_3">Предложение!$G$165</definedName>
    <definedName name="pIns_PT_VTAR_B_OFFER_4">Предложение!$G$229</definedName>
    <definedName name="pIns_PT_VTAR_B_OFFER_5">Предложение!$G$293</definedName>
    <definedName name="pIns_PT_VTAR_B_VOTV">'ВО. Т-транс'!$T$53</definedName>
    <definedName name="pIns_PT_VTAR_B_VOTV_OFFER_1">Предложение!$G$83</definedName>
    <definedName name="pIns_PT_VTAR_B_VOTV_OFFER_2">Предложение!$G$149</definedName>
    <definedName name="pIns_PT_VTAR_B_VOTV_OFFER_3">Предложение!$G$213</definedName>
    <definedName name="pIns_PT_VTAR_B_VOTV_OFFER_4">Предложение!$G$277</definedName>
    <definedName name="pIns_PT_VTAR_B_VOTV_OFFER_5">Предложение!$G$341</definedName>
    <definedName name="pIns_PT_VTAR_C">'ТС. Т-ТН'!$T$57</definedName>
    <definedName name="pIns_PT_VTAR_C_COLDVSNA">'ХВС. Т-транс'!$T$53</definedName>
    <definedName name="pIns_PT_VTAR_C_COLDVSNA_OFFER_1">Предложение!$G$62</definedName>
    <definedName name="pIns_PT_VTAR_C_COLDVSNA_OFFER_2">Предложение!$G$128</definedName>
    <definedName name="pIns_PT_VTAR_C_COLDVSNA_OFFER_3">Предложение!$G$192</definedName>
    <definedName name="pIns_PT_VTAR_C_COLDVSNA_OFFER_4">Предложение!$G$256</definedName>
    <definedName name="pIns_PT_VTAR_C_COLDVSNA_OFFER_5">Предложение!$G$320</definedName>
    <definedName name="pIns_PT_VTAR_C_HOTVSNA">'ГВС. Т-подкл'!$T$63</definedName>
    <definedName name="pIns_PT_VTAR_C_HOTVSNA_OFFER_1">Предложение!$G$77</definedName>
    <definedName name="pIns_PT_VTAR_C_HOTVSNA_OFFER_2">Предложение!$G$143</definedName>
    <definedName name="pIns_PT_VTAR_C_HOTVSNA_OFFER_3">Предложение!$G$207</definedName>
    <definedName name="pIns_PT_VTAR_C_HOTVSNA_OFFER_4">Предложение!$G$271</definedName>
    <definedName name="pIns_PT_VTAR_C_HOTVSNA_OFFER_5">Предложение!$G$335</definedName>
    <definedName name="pIns_PT_VTAR_C_OFFER_1">Предложение!$G$38</definedName>
    <definedName name="pIns_PT_VTAR_C_OFFER_2">Предложение!$G$104</definedName>
    <definedName name="pIns_PT_VTAR_C_OFFER_3">Предложение!$G$168</definedName>
    <definedName name="pIns_PT_VTAR_C_OFFER_4">Предложение!$G$232</definedName>
    <definedName name="pIns_PT_VTAR_C_OFFER_5">Предложение!$G$296</definedName>
    <definedName name="pIns_PT_VTAR_C_VOTV">'ВО. Т-подкл'!$T$63</definedName>
    <definedName name="pIns_PT_VTAR_C_VOTV_OFFER_1">Предложение!$G$86</definedName>
    <definedName name="pIns_PT_VTAR_C_VOTV_OFFER_2">Предложение!$G$152</definedName>
    <definedName name="pIns_PT_VTAR_C_VOTV_OFFER_3">Предложение!$G$216</definedName>
    <definedName name="pIns_PT_VTAR_C_VOTV_OFFER_4">Предложение!$G$280</definedName>
    <definedName name="pIns_PT_VTAR_C_VOTV_OFFER_5">Предложение!$G$344</definedName>
    <definedName name="pIns_PT_VTAR_D">'ТС. Т-гор.вода'!$V$77</definedName>
    <definedName name="pIns_PT_VTAR_D_COLDVSNA">'ХВС. Т-подвоз'!$T$53</definedName>
    <definedName name="pIns_PT_VTAR_D_COLDVSNA_OFFER_1">Предложение!$G$65</definedName>
    <definedName name="pIns_PT_VTAR_D_COLDVSNA_OFFER_2">Предложение!$G$131</definedName>
    <definedName name="pIns_PT_VTAR_D_COLDVSNA_OFFER_3">Предложение!$G$195</definedName>
    <definedName name="pIns_PT_VTAR_D_COLDVSNA_OFFER_4">Предложение!$G$259</definedName>
    <definedName name="pIns_PT_VTAR_D_COLDVSNA_OFFER_5">Предложение!$G$323</definedName>
    <definedName name="pIns_PT_VTAR_D_OFFER_1">Предложение!$G$41</definedName>
    <definedName name="pIns_PT_VTAR_D_OFFER_2">Предложение!$G$107</definedName>
    <definedName name="pIns_PT_VTAR_D_OFFER_3">Предложение!$G$171</definedName>
    <definedName name="pIns_PT_VTAR_D_OFFER_4">Предложение!$G$235</definedName>
    <definedName name="pIns_PT_VTAR_D_OFFER_5">Предложение!$G$299</definedName>
    <definedName name="pIns_PT_VTAR_E_COLDVSNA">'ХВС. Т-подкл'!$T$63</definedName>
    <definedName name="pIns_PT_VTAR_E_COLDVSNA_OFFER_1">Предложение!$G$68</definedName>
    <definedName name="pIns_PT_VTAR_E_COLDVSNA_OFFER_2">Предложение!$G$134</definedName>
    <definedName name="pIns_PT_VTAR_E_COLDVSNA_OFFER_3">Предложение!$G$198</definedName>
    <definedName name="pIns_PT_VTAR_E_COLDVSNA_OFFER_4">Предложение!$G$262</definedName>
    <definedName name="pIns_PT_VTAR_E_COLDVSNA_OFFER_5">Предложение!$G$326</definedName>
    <definedName name="pIns_PT_VTAR_E1">'ТС. Т-передача ТЭ'!$T$57</definedName>
    <definedName name="pIns_PT_VTAR_E1_OFFER_1">Предложение!$G$44</definedName>
    <definedName name="pIns_PT_VTAR_E1_OFFER_2">Предложение!$G$110</definedName>
    <definedName name="pIns_PT_VTAR_E1_OFFER_3">Предложение!$G$174</definedName>
    <definedName name="pIns_PT_VTAR_E1_OFFER_4">Предложение!$G$238</definedName>
    <definedName name="pIns_PT_VTAR_E1_OFFER_5">Предложение!$G$302</definedName>
    <definedName name="pIns_PT_VTAR_E2">'ТС. Т-передача ТН'!$T$57</definedName>
    <definedName name="pIns_PT_VTAR_E2_OFFER_1">Предложение!$G$47</definedName>
    <definedName name="pIns_PT_VTAR_E2_OFFER_2">Предложение!$G$113</definedName>
    <definedName name="pIns_PT_VTAR_E2_OFFER_3">Предложение!$G$177</definedName>
    <definedName name="pIns_PT_VTAR_E2_OFFER_4">Предложение!$G$241</definedName>
    <definedName name="pIns_PT_VTAR_E2_OFFER_5">Предложение!$G$305</definedName>
    <definedName name="pIns_PT_VTAR_F">'ТС. Резерв мощности'!$T$57</definedName>
    <definedName name="pIns_PT_VTAR_F_OFFER_1">Предложение!$G$50</definedName>
    <definedName name="pIns_PT_VTAR_F_OFFER_2">Предложение!$G$116</definedName>
    <definedName name="pIns_PT_VTAR_F_OFFER_3">Предложение!$G$180</definedName>
    <definedName name="pIns_PT_VTAR_F_OFFER_4">Предложение!$G$244</definedName>
    <definedName name="pIns_PT_VTAR_F_OFFER_5">Предложение!$G$308</definedName>
    <definedName name="pIns_PT_VTAR_G">'ТС. Т-подкл'!$T$62</definedName>
    <definedName name="pIns_PT_VTAR_G_OFFER_1">Предложение!$G$53</definedName>
    <definedName name="pIns_PT_VTAR_G_OFFER_2">Предложение!$G$119</definedName>
    <definedName name="pIns_PT_VTAR_G_OFFER_3">Предложение!$G$183</definedName>
    <definedName name="pIns_PT_VTAR_G_OFFER_4">Предложение!$G$247</definedName>
    <definedName name="pIns_PT_VTAR_G_OFFER_5">Предложение!$G$311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&gt;=25МВт'!$DF$39</definedName>
    <definedName name="pIns_ver_HEAT_TARIFF_B">'ТС. Т-ТЭ | ТСО'!$AL$39</definedName>
    <definedName name="pIns_ver_HEAT_TARIFF_C">'ТС. Т-ТН'!$DF$39</definedName>
    <definedName name="pIns_ver_HEAT_TARIFF_D">'ТС. Т-гор.вода'!$DS$43</definedName>
    <definedName name="pIns_ver_HEAT_TARIFF_E1">'ТС. Т-передача ТЭ'!$AL$39</definedName>
    <definedName name="pIns_ver_HEAT_TARIFF_E2">'ТС. Т-передача ТН'!$AL$39</definedName>
    <definedName name="pIns_ver_HEAT_TARIFF_F">'ТС. Резерв мощности'!$DF$39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&gt;=25МВт'!$45:$62</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Т-гор.вода'!$51:$74</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тарифов'!$AL$12:$AL$134</definedName>
    <definedName name="PT_DIFFERENTIATION_CS_ID">'Перечень тарифов'!$AF$12:$AF$134</definedName>
    <definedName name="PT_DIFFERENTIATION_IST_TE">'Перечень тарифов'!$AM$12:$AM$134</definedName>
    <definedName name="PT_DIFFERENTIATION_IST_TE_ID">'Перечень тарифов'!$AG$12:$AG$134</definedName>
    <definedName name="PT_DIFFERENTIATION_NTAR">'Перечень тарифов'!$AJ$12:$AJ$134</definedName>
    <definedName name="PT_DIFFERENTIATION_NTAR_ID">'Перечень тарифов'!$AD$12:$AD$134</definedName>
    <definedName name="PT_DIFFERENTIATION_NUM_CS">'Перечень тарифов'!$AP$12:$AP$134</definedName>
    <definedName name="PT_DIFFERENTIATION_NUM_IST_TE">'Перечень тарифов'!$AQ$12:$AQ$134</definedName>
    <definedName name="PT_DIFFERENTIATION_NUM_NTAR">'Перечень тарифов'!$AN$12:$AN$134</definedName>
    <definedName name="PT_DIFFERENTIATION_NUM_TER">'Перечень тарифов'!$AO$12:$AO$134</definedName>
    <definedName name="PT_DIFFERENTIATION_TER">'Перечень тарифов'!$AK$12:$AK$134</definedName>
    <definedName name="PT_DIFFERENTIATION_TER_ID">'Перечень тарифов'!$AE$12:$AE$134</definedName>
    <definedName name="PT_DIFFERENTIATION_VDET">'Перечень тарифов'!$AI$12:$AI$134</definedName>
    <definedName name="PT_DIFFERENTIATION_VTAR">'Перечень тарифов'!$AH$12:$AH$134</definedName>
    <definedName name="PT_DIFFERENTIATION_VTAR_ID">'Перечень тарифов'!$AC$12:$AC$134</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&gt;=25МВт'!$46:$61</definedName>
    <definedName name="pt_ist_te_2">'ТС. Т-ТЭ | ТСО'!$46:$53</definedName>
    <definedName name="pt_ist_te_3">'ТС. Т-ТН'!$46:$53</definedName>
    <definedName name="pt_ist_te_4">'ТС. Т-гор.вода'!$52:$73</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&gt;=25МВт'!$43:$64</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Т-гор.вода'!$49:$76</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&gt;=25МВт'!$44:$63</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Т-гор.вода'!$50:$75</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REESTR_IP!$A$2:$D$20</definedName>
    <definedName name="VD_LIST">REESTR_VED!$A$2:$B$11</definedName>
    <definedName name="VD_ID_LIST">REESTR_VED!$A$2:$A$11</definedName>
    <definedName name="VD_NAME_LIST">REESTR_VED!$B$2:$B$11</definedName>
    <definedName name="et_B_FHD20_1">et_union_hor!$119:$127</definedName>
    <definedName name="pt_ntar_26">'ТС. Т-ТЭ | &gt;=25МВт'!$65:$78</definedName>
    <definedName name="pt_ter_30">'ТС. Т-ТЭ | &gt;=25МВт'!$66:$77</definedName>
    <definedName name="pt_cs_30">'ТС. Т-ТЭ | &gt;=25МВт'!$67:$76</definedName>
    <definedName name="pt_ist_te_30">'ТС. Т-ТЭ | &gt;=25МВт'!$68:$75</definedName>
    <definedName name="pt_ntar_27">'ТС. Т-ТЭ | &gt;=25МВт'!$79:$92</definedName>
    <definedName name="pt_ter_31">'ТС. Т-ТЭ | &gt;=25МВт'!$80:$91</definedName>
    <definedName name="pt_cs_31">'ТС. Т-ТЭ | &gt;=25МВт'!$81:$90</definedName>
    <definedName name="pt_ist_te_31">'ТС. Т-ТЭ | &gt;=25МВт'!$82:$89</definedName>
    <definedName name="pt_ntar_28">'ТС. Т-ТЭ | &gt;=25МВт'!$93:$106</definedName>
    <definedName name="pt_ter_32">'ТС. Т-ТЭ | &gt;=25МВт'!$94:$105</definedName>
    <definedName name="pt_cs_32">'ТС. Т-ТЭ | &gt;=25МВт'!$95:$104</definedName>
    <definedName name="pt_ist_te_32">'ТС. Т-ТЭ | &gt;=25МВт'!$96:$103</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<sst xmlns="http://schemas.openxmlformats.org/spreadsheetml/2006/main" count="13564" uniqueCount="3368">
  <si>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</si>
  <si>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</si>
  <si>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</si>
  <si>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</si>
  <si>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</si>
  <si>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</si>
  <si>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</si>
  <si>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</si>
  <si>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</si>
  <si>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</si>
  <si>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</si>
  <si>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</si>
  <si>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</si>
  <si>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</si>
  <si>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г.Санкт-Петербург</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</si>
  <si>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</si>
  <si>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</si>
  <si>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</si>
  <si>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</si>
  <si>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</si>
  <si>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</si>
  <si>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</si>
  <si>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</si>
  <si>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</si>
  <si>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</si>
  <si>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</si>
  <si>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</si>
  <si>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</si>
  <si>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</si>
  <si>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</si>
  <si>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</si>
  <si>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</si>
  <si>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</si>
  <si>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</si>
  <si>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</si>
  <si>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</si>
  <si>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</si>
  <si>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262-р</t>
  </si>
  <si>
    <t>Наименование органа регулирования, принявшего решение об утверждении тарифов</t>
  </si>
  <si>
    <t>Комитет по тарифам Санкт-Петербурга</t>
  </si>
  <si>
    <t>Источник официального опубликования решения</t>
  </si>
  <si>
    <t>https://www.gov.spb.ru/static/writable/documents/2023/12/22/%D0%BE%D1%82_20.12.2023__262-%D1%80.pdf</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</si>
  <si>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</si>
  <si>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</si>
  <si>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</si>
  <si>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ПАО "ТГК-1" филиал "Невский"</t>
  </si>
  <si>
    <t>Наименование (описание) обособленного подразделения</t>
  </si>
  <si>
    <t>ИНН</t>
  </si>
  <si>
    <t>7841312071</t>
  </si>
  <si>
    <t>КПП</t>
  </si>
  <si>
    <t>781301001</t>
  </si>
  <si>
    <t>Тип теплоснабжающей организации</t>
  </si>
  <si>
    <t>Единая теплоснабжающая организация в ценовой зоне теплоснабжения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</si>
  <si>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</si>
  <si>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</si>
  <si>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</si>
  <si>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</si>
  <si>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</si>
  <si>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</si>
  <si>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</si>
  <si>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</si>
  <si>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</si>
  <si>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</si>
  <si>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</si>
  <si>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</si>
  <si>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</si>
  <si>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</si>
  <si>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</si>
  <si>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</si>
  <si>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</si>
  <si>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197198, Санкт-Петербург, пр. Добролюбова, д.16, корп. 2, литера А</t>
  </si>
  <si>
    <t>Фамилия, имя, отчество руководителя</t>
  </si>
  <si>
    <t>Ведерчик Вадим Евгеньевич</t>
  </si>
  <si>
    <t>Ответственный за заполнение формы</t>
  </si>
  <si>
    <t>Фамилия, имя, отчество</t>
  </si>
  <si>
    <t>Воропаева Юлия Адольфовна</t>
  </si>
  <si>
    <t>Должность</t>
  </si>
  <si>
    <t>Начальник отдела</t>
  </si>
  <si>
    <t>Контактный телефон</t>
  </si>
  <si>
    <t>(812) 688-33-04</t>
  </si>
  <si>
    <t>E-mail</t>
  </si>
  <si>
    <t>Voropaeva.UA@tgc1.ru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</si>
  <si>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</si>
  <si>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</si>
  <si>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</si>
  <si>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</si>
  <si>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</si>
  <si>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</si>
  <si>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</si>
  <si>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</si>
  <si>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</si>
  <si>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</si>
  <si>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</si>
  <si>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</si>
  <si>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</si>
  <si>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</si>
  <si>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</si>
  <si>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</si>
  <si>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9</t>
  </si>
  <si>
    <t>город Санкт-Петербург</t>
  </si>
  <si>
    <t>40000000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</si>
  <si>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</si>
  <si>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</si>
  <si>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</si>
  <si>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</si>
  <si>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</si>
  <si>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</si>
  <si>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</si>
  <si>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</si>
  <si>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</si>
  <si>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</si>
  <si>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</si>
  <si>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</si>
  <si>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</si>
  <si>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</si>
  <si>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</si>
  <si>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</si>
  <si>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</si>
  <si>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</si>
  <si>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</si>
  <si>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</si>
  <si>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</si>
  <si>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</si>
  <si>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</si>
  <si>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</si>
  <si>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</si>
  <si>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</si>
  <si>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</si>
  <si>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</si>
  <si>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</si>
  <si>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</si>
  <si>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</si>
  <si>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</si>
  <si>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</si>
  <si>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</si>
  <si>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</si>
  <si>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</si>
  <si>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</si>
  <si>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</si>
  <si>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</si>
  <si>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</si>
  <si>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</si>
  <si>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</si>
  <si>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</si>
  <si>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</si>
  <si>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</si>
  <si>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</si>
  <si>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</si>
  <si>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</si>
  <si>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</si>
  <si>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</si>
  <si>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</si>
  <si>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</si>
  <si>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Тариф на тепловую энергию, поставляемую ПАО "ТГК-1" потребителям, расположенным на территории Санкт-Петербурга</t>
  </si>
  <si>
    <t>4190066; 4190070</t>
  </si>
  <si>
    <t>pIns_PT_VTAR_A</t>
  </si>
  <si>
    <t>pt_ntar_1</t>
  </si>
  <si>
    <t>pt_ter_1</t>
  </si>
  <si>
    <t>pt_cs_1</t>
  </si>
  <si>
    <t>pt_ist_te_1</t>
  </si>
  <si>
    <t>Добавить источник для дифференциации</t>
  </si>
  <si>
    <t>Добавить централизованную систему для дифференциации</t>
  </si>
  <si>
    <t>Добавить территорию для дифференциации</t>
  </si>
  <si>
    <t>×</t>
  </si>
  <si>
    <t>Тариф на тепловую энергию, поставляемую ПАО "ТГК-1" на коллекторах источников тепловой энергии потребителям, расположенным на территории Санкт-Петербурга</t>
  </si>
  <si>
    <t>pt_ntar_26</t>
  </si>
  <si>
    <t>pt_ter_30</t>
  </si>
  <si>
    <t>pt_cs_30</t>
  </si>
  <si>
    <t>pt_ist_te_30</t>
  </si>
  <si>
    <t>Тариф на тепловую энергию (мощность), поставляемую ПАО "ТГК-1" теплоснабжающим, теплосетевым организациям, приобретающим тепловую энергию с целью компенсации потерь тепловой энергии</t>
  </si>
  <si>
    <t>pt_ntar_27</t>
  </si>
  <si>
    <t>pt_ter_31</t>
  </si>
  <si>
    <t>pt_cs_31</t>
  </si>
  <si>
    <t>pt_ist_te_31</t>
  </si>
  <si>
    <t>Льготные тарифы на тепловую энергию, поставляемую ПАО "ТГК-1" потребителям, расположенным на территории Санкт-Петербурга</t>
  </si>
  <si>
    <t>pt_ntar_28</t>
  </si>
  <si>
    <t>pt_ter_32</t>
  </si>
  <si>
    <t>pt_cs_32</t>
  </si>
  <si>
    <t>pt_ist_te_32</t>
  </si>
  <si>
    <t>Добавить наименование тарифа</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</si>
  <si>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</si>
  <si>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</si>
  <si>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</si>
  <si>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</si>
  <si>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</si>
  <si>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</si>
  <si>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</si>
  <si>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Тариф на теплоноситель, поставляемый ПАО "ТГК-1" потребителям, расположенным на территории Санкт-Петербурга</t>
  </si>
  <si>
    <t>4190067</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</si>
  <si>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</si>
  <si>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</si>
  <si>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</si>
  <si>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</si>
  <si>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</si>
  <si>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</si>
  <si>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Тариф на горячую воду (горячее водоснабжение), поставляемую ПАО "ТГК-1" в открытых системах теплоснабжения потребителям, расположенным на территории Санкт-Петербурга</t>
  </si>
  <si>
    <t>4190067; 4190071</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</si>
  <si>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</si>
  <si>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</si>
  <si>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</si>
  <si>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</si>
  <si>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</si>
  <si>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</si>
  <si>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</si>
  <si>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</si>
  <si>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</si>
  <si>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</si>
  <si>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</si>
  <si>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</si>
  <si>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</si>
  <si>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</si>
  <si>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</si>
  <si>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</si>
  <si>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</si>
  <si>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</si>
  <si>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</si>
  <si>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4190073</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</si>
  <si>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</si>
  <si>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</si>
  <si>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</si>
  <si>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</si>
  <si>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</si>
  <si>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</si>
  <si>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</si>
  <si>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</si>
  <si>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</si>
  <si>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</si>
  <si>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</si>
  <si>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</si>
  <si>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</si>
  <si>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</si>
  <si>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</si>
  <si>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</si>
  <si>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</si>
  <si>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</si>
  <si>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</si>
  <si>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</si>
  <si>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</si>
  <si>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</si>
  <si>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</si>
  <si>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</si>
  <si>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</si>
  <si>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</si>
  <si>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</si>
  <si>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</si>
  <si>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</si>
  <si>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</si>
  <si>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</si>
  <si>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</si>
  <si>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</si>
  <si>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</si>
  <si>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</si>
  <si>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</si>
  <si>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</si>
  <si>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</si>
  <si>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</si>
  <si>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</si>
  <si>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</si>
  <si>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</si>
  <si>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</si>
  <si>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</si>
  <si>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</si>
  <si>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</si>
  <si>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</si>
  <si>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</si>
  <si>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</si>
  <si>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</si>
  <si>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</si>
  <si>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</si>
  <si>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</si>
  <si>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</si>
  <si>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</si>
  <si>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</si>
  <si>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</si>
  <si>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</si>
  <si>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</si>
  <si>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</si>
  <si>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</si>
  <si>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</si>
  <si>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</si>
  <si>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</si>
  <si>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</si>
  <si>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</si>
  <si>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</si>
  <si>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</si>
  <si>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</si>
  <si>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</si>
  <si>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</si>
  <si>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</si>
  <si>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</si>
  <si>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</si>
  <si>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</si>
  <si>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</si>
  <si>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</si>
  <si>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</si>
  <si>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</si>
  <si>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</si>
  <si>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</si>
  <si>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</si>
  <si>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</si>
  <si>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</si>
  <si>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</si>
  <si>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</si>
  <si>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</si>
  <si>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</si>
  <si>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</si>
  <si>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</si>
  <si>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</si>
  <si>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</si>
  <si>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</si>
  <si>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</si>
  <si>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</si>
  <si>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</si>
  <si>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</si>
  <si>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</si>
  <si>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</si>
  <si>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</si>
  <si>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</si>
  <si>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</si>
  <si>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</si>
  <si>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</si>
  <si>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</si>
  <si>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</si>
  <si>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</si>
  <si>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</si>
  <si>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</si>
  <si>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</si>
  <si>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</si>
  <si>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</si>
  <si>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</si>
  <si>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</si>
  <si>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</si>
  <si>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</si>
  <si>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</si>
  <si>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</si>
  <si>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</si>
  <si>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</si>
  <si>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</si>
  <si>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</si>
  <si>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</si>
  <si>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</si>
  <si>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</si>
  <si>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</si>
  <si>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</si>
  <si>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</si>
  <si>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</si>
  <si>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</si>
  <si>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</si>
  <si>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</si>
  <si>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</si>
  <si>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</si>
  <si>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</si>
  <si>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</si>
  <si>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</si>
  <si>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</si>
  <si>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</si>
  <si>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</si>
  <si>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</si>
  <si>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</si>
  <si>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</si>
  <si>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</si>
  <si>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</si>
  <si>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</si>
  <si>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</si>
  <si>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</si>
  <si>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</si>
  <si>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</si>
  <si>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</si>
  <si>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</si>
  <si>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</si>
  <si>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</si>
  <si>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</si>
  <si>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</si>
  <si>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</si>
  <si>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</si>
  <si>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</si>
  <si>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</si>
  <si>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</si>
  <si>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</si>
  <si>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</si>
  <si>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</si>
  <si>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</si>
  <si>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</si>
  <si>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</si>
  <si>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</si>
  <si>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</si>
  <si>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</si>
  <si>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</si>
  <si>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</si>
  <si>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</si>
  <si>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</si>
  <si>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</si>
  <si>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</si>
  <si>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</si>
  <si>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</si>
  <si>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</si>
  <si>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</si>
  <si>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</si>
  <si>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</si>
  <si>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</si>
  <si>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</si>
  <si>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</si>
  <si>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</si>
  <si>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</si>
  <si>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</si>
  <si>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</si>
  <si>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</si>
  <si>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</si>
  <si>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</si>
  <si>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</si>
  <si>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</si>
  <si>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</si>
  <si>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</si>
  <si>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</si>
  <si>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</si>
  <si>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</si>
  <si>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</si>
  <si>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</si>
  <si>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</si>
  <si>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</si>
  <si>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</si>
  <si>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</si>
  <si>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</si>
  <si>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</si>
  <si>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</si>
  <si>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</si>
  <si>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</si>
  <si>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</si>
  <si>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</si>
  <si>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</si>
  <si>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</si>
  <si>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</si>
  <si>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</si>
  <si>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</si>
  <si>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</si>
  <si>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</si>
  <si>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</si>
  <si>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</si>
  <si>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</si>
  <si>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</si>
  <si>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</si>
  <si>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</si>
  <si>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</si>
  <si>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</si>
  <si>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</si>
  <si>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</si>
  <si>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</si>
  <si>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</si>
  <si>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</si>
  <si>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</si>
  <si>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</si>
  <si>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</si>
  <si>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</si>
  <si>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</si>
  <si>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</si>
  <si>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</si>
  <si>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</si>
  <si>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</si>
  <si>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</si>
  <si>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без дифференциации</t>
  </si>
  <si>
    <t>вода</t>
  </si>
  <si>
    <t>организации-перепродавцы</t>
  </si>
  <si>
    <t>население</t>
  </si>
  <si>
    <t>к коллектору источника тепловой энергии</t>
  </si>
  <si>
    <t>Период действия</t>
  </si>
  <si>
    <t>прочие</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</si>
  <si>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</si>
  <si>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</si>
  <si>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</si>
  <si>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</si>
  <si>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</si>
  <si>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</si>
  <si>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</si>
  <si>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</si>
  <si>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</si>
  <si>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</si>
  <si>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</si>
  <si>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</si>
  <si>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</si>
  <si>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горячая вода в системе централизованного теплоснабжения на горячее водоснабжение</t>
  </si>
  <si>
    <t>прочие потребители, получающие тепловую энергию по тепловым сетям</t>
  </si>
  <si>
    <t>прочие потребители, получающие тепловую энергию с коллекторов</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</si>
  <si>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</si>
  <si>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</si>
  <si>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</si>
  <si>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</si>
  <si>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</si>
  <si>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</si>
  <si>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</si>
  <si>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</si>
  <si>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</si>
  <si>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</si>
  <si>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</si>
  <si>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</si>
  <si>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</si>
  <si>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</si>
  <si>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</si>
  <si>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</si>
  <si>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</si>
  <si>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</si>
  <si>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</si>
  <si>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</si>
  <si>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</si>
  <si>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</si>
  <si>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</si>
  <si>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</si>
  <si>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</si>
  <si>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</si>
  <si>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</si>
  <si>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</si>
  <si>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</si>
  <si>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</si>
  <si>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</si>
  <si>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</si>
  <si>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</si>
  <si>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</si>
  <si>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</si>
  <si>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</si>
  <si>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</si>
  <si>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</si>
  <si>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</si>
  <si>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</si>
  <si>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</si>
  <si>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</si>
  <si>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</si>
  <si>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</si>
  <si>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</si>
  <si>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</si>
  <si>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</si>
  <si>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</si>
  <si>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</si>
  <si>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</si>
  <si>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</si>
  <si>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</si>
  <si>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</si>
  <si>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</si>
  <si>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</si>
  <si>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</si>
  <si>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</si>
  <si>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</si>
  <si>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</si>
  <si>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</si>
  <si>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</si>
  <si>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</si>
  <si>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</si>
  <si>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</si>
  <si>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</si>
  <si>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</si>
  <si>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</si>
  <si>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</si>
  <si>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</si>
  <si>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</si>
  <si>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</si>
  <si>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</si>
  <si>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</si>
  <si>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</si>
  <si>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</si>
  <si>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</si>
  <si>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</si>
  <si>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</si>
  <si>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</si>
  <si>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</si>
  <si>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</si>
  <si>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</si>
  <si>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</si>
  <si>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</si>
  <si>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</si>
  <si>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</si>
  <si>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</si>
  <si>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</si>
  <si>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</si>
  <si>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</si>
  <si>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</si>
  <si>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</si>
  <si>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</si>
  <si>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</si>
  <si>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</si>
  <si>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</si>
  <si>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</si>
  <si>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</si>
  <si>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</si>
  <si>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</si>
  <si>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</si>
  <si>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</si>
  <si>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</si>
  <si>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</si>
  <si>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</si>
  <si>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</si>
  <si>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</si>
  <si>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</si>
  <si>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</si>
  <si>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</si>
  <si>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</si>
  <si>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</si>
  <si>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</si>
  <si>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</si>
  <si>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</si>
  <si>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</si>
  <si>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</si>
  <si>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</si>
  <si>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</si>
  <si>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</si>
  <si>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</si>
  <si>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</si>
  <si>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</si>
  <si>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</si>
  <si>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</si>
  <si>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</si>
  <si>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</si>
  <si>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</si>
  <si>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</si>
  <si>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</si>
  <si>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</si>
  <si>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</si>
  <si>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</si>
  <si>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</si>
  <si>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</si>
  <si>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</si>
  <si>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</si>
  <si>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</si>
  <si>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</si>
  <si>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</si>
  <si>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</si>
  <si>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</si>
  <si>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</si>
  <si>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</si>
  <si>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</si>
  <si>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</si>
  <si>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</si>
  <si>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</si>
  <si>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</si>
  <si>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</si>
  <si>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</si>
  <si>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</si>
  <si>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</si>
  <si>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</si>
  <si>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</si>
  <si>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</si>
  <si>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</si>
  <si>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</si>
  <si>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</si>
  <si>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</si>
  <si>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</si>
  <si>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</si>
  <si>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</si>
  <si>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</si>
  <si>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</si>
  <si>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</si>
  <si>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</si>
  <si>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</si>
  <si>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</si>
  <si>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</si>
  <si>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</si>
  <si>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</si>
  <si>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</si>
  <si>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</si>
  <si>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</si>
  <si>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</si>
  <si>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</si>
  <si>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</si>
  <si>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</si>
  <si>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</si>
  <si>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</si>
  <si>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</si>
  <si>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</si>
  <si>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</si>
  <si>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</si>
  <si>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</si>
  <si>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</si>
  <si>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</si>
  <si>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</si>
  <si>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</si>
  <si>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</si>
  <si>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</si>
  <si>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</si>
  <si>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</si>
  <si>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</si>
  <si>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</si>
  <si>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</si>
  <si>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</si>
  <si>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</si>
  <si>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</si>
  <si>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</si>
  <si>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</si>
  <si>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</si>
  <si>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</si>
  <si>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</si>
  <si>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</si>
  <si>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</si>
  <si>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</si>
  <si>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</si>
  <si>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</si>
  <si>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</si>
  <si>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</si>
  <si>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</si>
  <si>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</si>
  <si>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</si>
  <si>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</si>
  <si>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</si>
  <si>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</si>
  <si>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</si>
  <si>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</si>
  <si>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</si>
  <si>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</si>
  <si>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</si>
  <si>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</si>
  <si>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</si>
  <si>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</si>
  <si>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</si>
  <si>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</si>
  <si>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</si>
  <si>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</si>
  <si>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</si>
  <si>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</si>
  <si>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</si>
  <si>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</si>
  <si>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</si>
  <si>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</si>
  <si>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</si>
  <si>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</si>
  <si>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</si>
  <si>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</si>
  <si>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</si>
  <si>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</si>
  <si>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</si>
  <si>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</si>
  <si>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</si>
  <si>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</si>
  <si>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</si>
  <si>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</si>
  <si>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</si>
  <si>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</si>
  <si>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</si>
  <si>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</si>
  <si>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</si>
  <si>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</si>
  <si>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</si>
  <si>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</si>
  <si>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</si>
  <si>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</si>
  <si>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</si>
  <si>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</si>
  <si>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</si>
  <si>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</si>
  <si>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</si>
  <si>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</si>
  <si>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</si>
  <si>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</si>
  <si>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</si>
  <si>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</si>
  <si>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</si>
  <si>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</si>
  <si>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</si>
  <si>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</si>
  <si>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</si>
  <si>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</si>
  <si>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</si>
  <si>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</si>
  <si>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</si>
  <si>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</si>
  <si>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</si>
  <si>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</si>
  <si>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</si>
  <si>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</si>
  <si>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</si>
  <si>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</si>
  <si>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</si>
  <si>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</si>
  <si>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</si>
  <si>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</si>
  <si>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</si>
  <si>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</si>
  <si>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</si>
  <si>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</si>
  <si>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</si>
  <si>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</si>
  <si>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</si>
  <si>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</si>
  <si>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</si>
  <si>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</si>
  <si>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</si>
  <si>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</si>
  <si>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</si>
  <si>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</si>
  <si>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</si>
  <si>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</si>
  <si>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</si>
  <si>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</si>
  <si>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</si>
  <si>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</si>
  <si>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</si>
  <si>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</si>
  <si>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</si>
  <si>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</si>
  <si>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</si>
  <si>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</si>
  <si>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</si>
  <si>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</si>
  <si>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</si>
  <si>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</si>
  <si>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</si>
  <si>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</si>
  <si>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</si>
  <si>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</si>
  <si>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</si>
  <si>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</si>
  <si>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</si>
  <si>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</si>
  <si>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</si>
  <si>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</si>
  <si>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</si>
  <si>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</si>
  <si>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</si>
  <si>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</si>
  <si>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</si>
  <si>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</si>
  <si>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</si>
  <si>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</si>
  <si>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</si>
  <si>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</si>
  <si>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</si>
  <si>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</si>
  <si>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</si>
  <si>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</si>
  <si>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</si>
  <si>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</si>
  <si>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</si>
  <si>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</si>
  <si>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</si>
  <si>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</si>
  <si>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</si>
  <si>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</si>
  <si>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</si>
  <si>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</si>
  <si>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</si>
  <si>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</si>
  <si>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</si>
  <si>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</si>
  <si>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</si>
  <si>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</si>
  <si>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</si>
  <si>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</si>
  <si>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</si>
  <si>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</si>
  <si>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</si>
  <si>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</si>
  <si>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</si>
  <si>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</si>
  <si>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</si>
  <si>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</si>
  <si>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</si>
  <si>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</si>
  <si>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</si>
  <si>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</si>
  <si>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</si>
  <si>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</si>
  <si>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</si>
  <si>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</si>
  <si>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</si>
  <si>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</si>
  <si>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</si>
  <si>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</si>
  <si>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</si>
  <si>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</si>
  <si>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</si>
  <si>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</si>
  <si>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</si>
  <si>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</si>
  <si>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</si>
  <si>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</si>
  <si>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</si>
  <si>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</si>
  <si>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</si>
  <si>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</si>
  <si>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</si>
  <si>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</si>
  <si>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</si>
  <si>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</si>
  <si>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</si>
  <si>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</si>
  <si>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</si>
  <si>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</si>
  <si>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</si>
  <si>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</si>
  <si>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</si>
  <si>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</si>
  <si>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</si>
  <si>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</si>
  <si>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</si>
  <si>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</si>
  <si>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</si>
  <si>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</si>
  <si>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</si>
  <si>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</si>
  <si>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</si>
  <si>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</si>
  <si>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</si>
  <si>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</si>
  <si>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</si>
  <si>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</si>
  <si>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</si>
  <si>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</si>
  <si>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</si>
  <si>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</si>
  <si>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</si>
  <si>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</si>
  <si>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</si>
  <si>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</si>
  <si>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</si>
  <si>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</si>
  <si>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</si>
  <si>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</si>
  <si>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</si>
  <si>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</si>
  <si>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</si>
  <si>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</si>
  <si>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</si>
  <si>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</si>
  <si>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</si>
  <si>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</si>
  <si>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</si>
  <si>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</si>
  <si>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</si>
  <si>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</si>
  <si>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</si>
  <si>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</si>
  <si>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</si>
  <si>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</si>
  <si>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</si>
  <si>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</si>
  <si>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</si>
  <si>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</si>
  <si>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</si>
  <si>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</si>
  <si>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</si>
  <si>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</si>
  <si>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</si>
  <si>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</si>
  <si>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</si>
  <si>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</si>
  <si>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</si>
  <si>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</si>
  <si>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</si>
  <si>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</si>
  <si>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</si>
  <si>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</si>
  <si>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</si>
  <si>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</si>
  <si>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</si>
  <si>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</si>
  <si>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</si>
  <si>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</si>
  <si>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</si>
  <si>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</si>
  <si>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</si>
  <si>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</si>
  <si>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</si>
  <si>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</si>
  <si>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</si>
  <si>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</si>
  <si>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</si>
  <si>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</si>
  <si>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</si>
  <si>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</si>
  <si>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</si>
  <si>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</si>
  <si>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</si>
  <si>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</si>
  <si>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</si>
  <si>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</si>
  <si>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</si>
  <si>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</si>
  <si>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</si>
  <si>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</si>
  <si>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</si>
  <si>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</si>
  <si>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</si>
  <si>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</si>
  <si>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</si>
  <si>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</si>
  <si>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</si>
  <si>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</si>
  <si>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</si>
  <si>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</si>
  <si>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</si>
  <si>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</si>
  <si>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</si>
  <si>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</si>
  <si>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</si>
  <si>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</si>
  <si>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</si>
  <si>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</si>
  <si>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</si>
  <si>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</si>
  <si>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</si>
  <si>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</si>
  <si>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</si>
  <si>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</si>
  <si>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</si>
  <si>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</si>
  <si>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</si>
  <si>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</si>
  <si>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</si>
  <si>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</si>
  <si>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</si>
  <si>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</si>
  <si>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</si>
  <si>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</si>
  <si>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</si>
  <si>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</si>
  <si>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</si>
  <si>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</si>
  <si>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</si>
  <si>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</si>
  <si>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</si>
  <si>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</si>
  <si>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</si>
  <si>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</si>
  <si>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</si>
  <si>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</si>
  <si>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</si>
  <si>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</si>
  <si>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</si>
  <si>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</si>
  <si>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</si>
  <si>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</si>
  <si>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</si>
  <si>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</si>
  <si>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</si>
  <si>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</si>
  <si>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</si>
  <si>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</si>
  <si>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</si>
  <si>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</si>
  <si>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</si>
  <si>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</si>
  <si>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</si>
  <si>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</si>
  <si>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</si>
  <si>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</si>
  <si>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</si>
  <si>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</si>
  <si>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</si>
  <si>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</si>
  <si>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</si>
  <si>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</si>
  <si>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</si>
  <si>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</si>
  <si>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</si>
  <si>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</si>
  <si>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</si>
  <si>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</si>
  <si>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</si>
  <si>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</si>
  <si>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</si>
  <si>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</si>
  <si>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</si>
  <si>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</si>
  <si>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</si>
  <si>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</si>
  <si>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</si>
  <si>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</si>
  <si>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http://www.tgc1.ru/clients/spb/enterprises/connect/</t>
  </si>
  <si>
    <t>https://portal.eias.ru/Portal/DownloadPage.aspx?type=12&amp;guid=0281516b-f62e-4360-8f84-a221164a24e0</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</si>
  <si>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</si>
  <si>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https://portal.eias.ru/Portal/DownloadPage.aspx?type=12&amp;guid=0d03c77e-d1b9-40f4-bc05-e71b03037a3f</t>
  </si>
  <si>
    <t>Перечень указан в пп. 25-26 Правил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 Постановления Правительства РФ от 05.07.2018 №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</si>
  <si>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https://portal.eias.ru/Portal/DownloadPage.aspx?type=12&amp;guid=08d9c885-587f-4b8a-8dc2-93d0608eec16</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</si>
  <si>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</si>
  <si>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Правила подключения (технологического присоединения) к системам теплоснабжения, включая правила недискриминационного доступа к услугам по подключению (технологическому присоединению) к системам теплоснабжения (утв. Постановления Правительства РФ от 05.07.2018 № 787 «О подключении (технологическом присоединении) к системам теплоснабжения, недискриминационном доступе к услугам в сфере теплоснабжения, изменении и признании утратившими силу некоторых актов Правительства Российской Федерации»)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</si>
  <si>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</si>
  <si>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</si>
  <si>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(812) 688-34-72</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</si>
  <si>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</si>
  <si>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</si>
  <si>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Санкт-Петербург, пр. Добролюбова, д. 16, корп. 2, лит. А</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</si>
  <si>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</si>
  <si>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пн.-чт.: с 08:30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</si>
  <si>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</si>
  <si>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пт.: с 08:30 до 16:20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</si>
  <si>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</si>
  <si>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</si>
  <si>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</si>
  <si>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</si>
  <si>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</si>
  <si>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</si>
  <si>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</si>
  <si>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</si>
  <si>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</si>
  <si>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</si>
  <si>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</si>
  <si>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</si>
  <si>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</si>
  <si>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</si>
  <si>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</si>
  <si>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</si>
  <si>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</si>
  <si>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</si>
  <si>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</si>
  <si>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</si>
  <si>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</si>
  <si>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</si>
  <si>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</si>
  <si>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</si>
  <si>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</si>
  <si>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</si>
  <si>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</si>
  <si>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</si>
  <si>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</si>
  <si>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</si>
  <si>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</si>
  <si>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</si>
  <si>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</si>
  <si>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</si>
  <si>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</si>
  <si>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</si>
  <si>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</si>
  <si>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</si>
  <si>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</si>
  <si>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</si>
  <si>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</si>
  <si>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</si>
  <si>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</si>
  <si>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</si>
  <si>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</si>
  <si>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</si>
  <si>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</si>
  <si>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</si>
  <si>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</si>
  <si>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</si>
  <si>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</si>
  <si>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</si>
  <si>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</si>
  <si>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</si>
  <si>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</si>
  <si>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</si>
  <si>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</si>
  <si>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</si>
  <si>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</si>
  <si>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</si>
  <si>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</si>
  <si>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</si>
  <si>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</si>
  <si>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</si>
  <si>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</si>
  <si>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</si>
  <si>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</si>
  <si>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</si>
  <si>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</si>
  <si>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</si>
  <si>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</si>
  <si>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</si>
  <si>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</si>
  <si>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</si>
  <si>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</si>
  <si>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</si>
  <si>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</si>
  <si>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</si>
  <si>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</si>
  <si>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</si>
  <si>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</si>
  <si>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</si>
  <si>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</si>
  <si>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</si>
  <si>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</si>
  <si>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</si>
  <si>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</si>
  <si>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</si>
  <si>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</si>
  <si>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</si>
  <si>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</si>
  <si>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</si>
  <si>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</si>
  <si>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</si>
  <si>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</si>
  <si>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</si>
  <si>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</si>
  <si>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</si>
  <si>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</si>
  <si>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</si>
  <si>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</si>
  <si>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</si>
  <si>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</si>
  <si>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</si>
  <si>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</si>
  <si>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</si>
  <si>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</si>
  <si>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</si>
  <si>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</si>
  <si>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</si>
  <si>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</si>
  <si>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</si>
  <si>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</si>
  <si>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</si>
  <si>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</si>
  <si>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</si>
  <si>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</si>
  <si>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</si>
  <si>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</si>
  <si>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</si>
  <si>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</si>
  <si>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</si>
  <si>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</si>
  <si>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</si>
  <si>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</si>
  <si>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</si>
  <si>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</si>
  <si>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</si>
  <si>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</si>
  <si>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</si>
  <si>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</si>
  <si>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</si>
  <si>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</si>
  <si>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</si>
  <si>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</si>
  <si>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</si>
  <si>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</si>
  <si>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</si>
  <si>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</si>
  <si>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</si>
  <si>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</si>
  <si>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</si>
  <si>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</si>
  <si>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</si>
  <si>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</si>
  <si>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</si>
  <si>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</si>
  <si>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</si>
  <si>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</si>
  <si>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</si>
  <si>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</si>
  <si>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</si>
  <si>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</si>
  <si>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</si>
  <si>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</si>
  <si>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</si>
  <si>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</si>
  <si>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</si>
  <si>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</si>
  <si>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</si>
  <si>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</si>
  <si>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</si>
  <si>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</si>
  <si>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</si>
  <si>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</si>
  <si>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</si>
  <si>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</si>
  <si>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</si>
  <si>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</si>
  <si>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</si>
  <si>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</si>
  <si>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</si>
  <si>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</si>
  <si>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</si>
  <si>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</si>
  <si>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</si>
  <si>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</si>
  <si>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</si>
  <si>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</si>
  <si>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</si>
  <si>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</si>
  <si>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</si>
  <si>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</si>
  <si>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</si>
  <si>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</si>
  <si>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</si>
  <si>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</si>
  <si>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</si>
  <si>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</si>
  <si>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</si>
  <si>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</si>
  <si>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</si>
  <si>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</si>
  <si>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</si>
  <si>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</si>
  <si>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</si>
  <si>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</si>
  <si>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</si>
  <si>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</si>
  <si>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</si>
  <si>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</si>
  <si>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</si>
  <si>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</si>
  <si>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</si>
  <si>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</si>
  <si>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</si>
  <si>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</si>
  <si>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</si>
  <si>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</si>
  <si>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</si>
  <si>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</si>
  <si>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</si>
  <si>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</si>
  <si>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</si>
  <si>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</si>
  <si>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</si>
  <si>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</si>
  <si>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</si>
  <si>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</si>
  <si>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</si>
  <si>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</si>
  <si>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</si>
  <si>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</si>
  <si>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</si>
  <si>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</si>
  <si>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</si>
  <si>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</si>
  <si>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</si>
  <si>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</si>
  <si>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</si>
  <si>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</si>
  <si>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</si>
  <si>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</si>
  <si>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</si>
  <si>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</si>
  <si>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</si>
  <si>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</si>
  <si>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</si>
  <si>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</si>
  <si>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</si>
  <si>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</si>
  <si>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</si>
  <si>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</si>
  <si>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</si>
  <si>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</si>
  <si>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</si>
  <si>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</si>
  <si>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</si>
  <si>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</si>
  <si>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</si>
  <si>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</si>
  <si>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</si>
  <si>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</si>
  <si>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</si>
  <si>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</si>
  <si>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</si>
  <si>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</si>
  <si>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</si>
  <si>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</si>
  <si>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</si>
  <si>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</si>
  <si>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</si>
  <si>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</si>
  <si>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</si>
  <si>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</si>
  <si>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</si>
  <si>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</si>
  <si>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</si>
  <si>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</si>
  <si>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</si>
  <si>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</si>
  <si>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</si>
  <si>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</si>
  <si>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</si>
  <si>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</si>
  <si>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</si>
  <si>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</si>
  <si>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</si>
  <si>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</si>
  <si>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</si>
  <si>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</si>
  <si>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</si>
  <si>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</si>
  <si>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</si>
  <si>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</si>
  <si>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</si>
  <si>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</si>
  <si>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</si>
  <si>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</si>
  <si>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</si>
  <si>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</si>
  <si>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</si>
  <si>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</si>
  <si>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</si>
  <si>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</si>
  <si>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</si>
  <si>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</si>
  <si>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</si>
  <si>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</si>
  <si>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</si>
  <si>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</si>
  <si>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</si>
  <si>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</si>
  <si>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</si>
  <si>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</si>
  <si>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</si>
  <si>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</si>
  <si>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</si>
  <si>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</si>
  <si>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</si>
  <si>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</si>
  <si>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</si>
  <si>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</si>
  <si>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</si>
  <si>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</si>
  <si>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</si>
  <si>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</si>
  <si>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</si>
  <si>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</si>
  <si>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</si>
  <si>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</si>
  <si>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</si>
  <si>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</si>
  <si>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</si>
  <si>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</si>
  <si>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</si>
  <si>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</si>
  <si>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</si>
  <si>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</si>
  <si>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</si>
  <si>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</si>
  <si>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</si>
  <si>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</si>
  <si>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</si>
  <si>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</si>
  <si>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</si>
  <si>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</si>
  <si>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</si>
  <si>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</si>
  <si>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</si>
  <si>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</si>
  <si>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</si>
  <si>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</si>
  <si>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</si>
  <si>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</si>
  <si>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</si>
  <si>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</si>
  <si>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</si>
  <si>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</si>
  <si>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</si>
  <si>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</si>
  <si>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</si>
  <si>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</si>
  <si>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</si>
  <si>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</si>
  <si>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</si>
  <si>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</si>
  <si>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</si>
  <si>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</si>
  <si>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</si>
  <si>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</si>
  <si>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</si>
  <si>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</si>
  <si>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</si>
  <si>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</si>
  <si>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</si>
  <si>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</si>
  <si>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</si>
  <si>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</si>
  <si>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</si>
  <si>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</si>
  <si>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</si>
  <si>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</si>
  <si>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</si>
  <si>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</si>
  <si>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</si>
  <si>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</si>
  <si>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</si>
  <si>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</si>
  <si>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</si>
  <si>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</si>
  <si>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</si>
  <si>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</si>
  <si>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</si>
  <si>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</si>
  <si>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</si>
  <si>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</si>
  <si>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</si>
  <si>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</si>
  <si>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</si>
  <si>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</si>
  <si>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</si>
  <si>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</si>
  <si>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</si>
  <si>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</si>
  <si>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</si>
  <si>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</si>
  <si>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</si>
  <si>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</si>
  <si>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</si>
  <si>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</si>
  <si>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</si>
  <si>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</si>
  <si>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</si>
  <si>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</si>
  <si>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</si>
  <si>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</si>
  <si>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</si>
  <si>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</si>
  <si>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</si>
  <si>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</si>
  <si>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</si>
  <si>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</si>
  <si>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</si>
  <si>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</si>
  <si>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</si>
  <si>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</si>
  <si>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</si>
  <si>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</si>
  <si>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</si>
  <si>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</si>
  <si>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</si>
  <si>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</si>
  <si>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</si>
  <si>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</si>
  <si>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</si>
  <si>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</si>
  <si>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</si>
  <si>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</si>
  <si>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</si>
  <si>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</si>
  <si>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</si>
  <si>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</si>
  <si>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</si>
  <si>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</si>
  <si>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</si>
  <si>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</si>
  <si>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</si>
  <si>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</si>
  <si>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</si>
  <si>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</si>
  <si>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</si>
  <si>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</si>
  <si>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</si>
  <si>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</si>
  <si>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</si>
  <si>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</si>
  <si>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</si>
  <si>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</si>
  <si>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</si>
  <si>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</si>
  <si>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</si>
  <si>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</si>
  <si>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</si>
  <si>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</si>
  <si>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</si>
  <si>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</si>
  <si>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</si>
  <si>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</si>
  <si>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</si>
  <si>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</si>
  <si>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</si>
  <si>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</si>
  <si>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</si>
  <si>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</si>
  <si>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</si>
  <si>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</si>
  <si>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</si>
  <si>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</si>
  <si>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</si>
  <si>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</si>
  <si>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</si>
  <si>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</si>
  <si>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</si>
  <si>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</si>
  <si>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</si>
  <si>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</si>
  <si>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</si>
  <si>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</si>
  <si>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</si>
  <si>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</si>
  <si>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</si>
  <si>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</si>
  <si>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</si>
  <si>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</si>
  <si>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</si>
  <si>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</si>
  <si>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</si>
  <si>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</si>
  <si>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</si>
  <si>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</si>
  <si>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</si>
  <si>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</si>
  <si>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</si>
  <si>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</si>
  <si>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</si>
  <si>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</si>
  <si>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</si>
  <si>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</si>
  <si>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</si>
  <si>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</si>
  <si>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</si>
  <si>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</si>
  <si>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</si>
  <si>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</si>
  <si>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</si>
  <si>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</si>
  <si>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</si>
  <si>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</si>
  <si>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</si>
  <si>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</si>
  <si>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</si>
  <si>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</si>
  <si>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</si>
  <si>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</si>
  <si>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</si>
  <si>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</si>
  <si>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</si>
  <si>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</si>
  <si>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</si>
  <si>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</si>
  <si>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</si>
  <si>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</si>
  <si>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</si>
  <si>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</si>
  <si>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</si>
  <si>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</si>
  <si>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</si>
  <si>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</si>
  <si>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</si>
  <si>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</si>
  <si>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</si>
  <si>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</si>
  <si>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</si>
  <si>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</si>
  <si>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</si>
  <si>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</si>
  <si>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</si>
  <si>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</si>
  <si>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</si>
  <si>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</si>
  <si>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</si>
  <si>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</si>
  <si>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</si>
  <si>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</si>
  <si>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</si>
  <si>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</si>
  <si>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</si>
  <si>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</si>
  <si>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</si>
  <si>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</si>
  <si>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</si>
  <si>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</si>
  <si>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</si>
  <si>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</si>
  <si>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</si>
  <si>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</si>
  <si>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</si>
  <si>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</si>
  <si>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</si>
  <si>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</si>
  <si>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</si>
  <si>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</si>
  <si>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</si>
  <si>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</si>
  <si>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</si>
  <si>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</si>
  <si>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</si>
  <si>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</si>
  <si>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</si>
  <si>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</si>
  <si>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</si>
  <si>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</si>
  <si>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</si>
  <si>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</si>
  <si>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</si>
  <si>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</si>
  <si>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</si>
  <si>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</si>
  <si>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</si>
  <si>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</si>
  <si>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</si>
  <si>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</si>
  <si>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</si>
  <si>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</si>
  <si>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</si>
  <si>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</si>
  <si>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</si>
  <si>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</si>
  <si>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</si>
  <si>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</si>
  <si>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</si>
  <si>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</si>
  <si>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</si>
  <si>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</si>
  <si>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</si>
  <si>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</si>
  <si>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</si>
  <si>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</si>
  <si>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</si>
  <si>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</si>
  <si>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</si>
  <si>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</si>
  <si>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</si>
  <si>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</si>
  <si>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</si>
  <si>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</si>
  <si>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</si>
  <si>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</si>
  <si>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</si>
  <si>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</si>
  <si>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</si>
  <si>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</si>
  <si>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</si>
  <si>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</si>
  <si>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</si>
  <si>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</si>
  <si>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</si>
  <si>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</si>
  <si>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</si>
  <si>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</si>
  <si>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</si>
  <si>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</si>
  <si>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</si>
  <si>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</si>
  <si>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</si>
  <si>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</si>
  <si>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</si>
  <si>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</si>
  <si>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</si>
  <si>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</si>
  <si>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</si>
  <si>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</si>
  <si>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</si>
  <si>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</si>
  <si>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</si>
  <si>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</si>
  <si>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</si>
  <si>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</si>
  <si>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</si>
  <si>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</si>
  <si>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</si>
  <si>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</si>
  <si>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</si>
  <si>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</si>
  <si>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</si>
  <si>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</si>
  <si>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</si>
  <si>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</si>
  <si>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</si>
  <si>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</si>
  <si>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</si>
  <si>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</si>
  <si>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</si>
  <si>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</si>
  <si>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</si>
  <si>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</si>
  <si>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</si>
  <si>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</si>
  <si>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</si>
  <si>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</si>
  <si>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</si>
  <si>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</si>
  <si>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</si>
  <si>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</si>
  <si>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</si>
  <si>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</si>
  <si>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</si>
  <si>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</si>
  <si>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</si>
  <si>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</si>
  <si>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</si>
  <si>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</si>
  <si>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</si>
  <si>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</si>
  <si>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</si>
  <si>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</si>
  <si>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</si>
  <si>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</si>
  <si>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</si>
  <si>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</si>
  <si>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</si>
  <si>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</si>
  <si>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</si>
  <si>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</si>
  <si>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</si>
  <si>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</si>
  <si>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</si>
  <si>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</si>
  <si>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</si>
  <si>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</si>
  <si>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</si>
  <si>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</si>
  <si>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</si>
  <si>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</si>
  <si>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</si>
  <si>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</si>
  <si>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</si>
  <si>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</si>
  <si>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</si>
  <si>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</si>
  <si>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</si>
  <si>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</si>
  <si>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</si>
  <si>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</si>
  <si>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</si>
  <si>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</si>
  <si>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</si>
  <si>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</si>
  <si>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</si>
  <si>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</si>
  <si>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</si>
  <si>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</si>
  <si>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</si>
  <si>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</si>
  <si>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</si>
  <si>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</si>
  <si>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</si>
  <si>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</si>
  <si>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</si>
  <si>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</si>
  <si>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</si>
  <si>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</si>
  <si>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</si>
  <si>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</si>
  <si>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</si>
  <si>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</si>
  <si>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</si>
  <si>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</si>
  <si>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</si>
  <si>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</si>
  <si>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</si>
  <si>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</si>
  <si>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</si>
  <si>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</si>
  <si>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</si>
  <si>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</si>
  <si>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</si>
  <si>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</si>
  <si>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</si>
  <si>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</si>
  <si>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</si>
  <si>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</si>
  <si>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</si>
  <si>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</si>
  <si>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</si>
  <si>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</si>
  <si>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</si>
  <si>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</si>
  <si>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</si>
  <si>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</si>
  <si>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</si>
  <si>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</si>
  <si>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</si>
  <si>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</si>
  <si>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</si>
  <si>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</si>
  <si>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</si>
  <si>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</si>
  <si>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</si>
  <si>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</si>
  <si>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</si>
  <si>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</si>
  <si>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</si>
  <si>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</si>
  <si>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</si>
  <si>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</si>
  <si>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</si>
  <si>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</si>
  <si>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</si>
  <si>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</si>
  <si>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</si>
  <si>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</si>
  <si>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</si>
  <si>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</si>
  <si>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</si>
  <si>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</si>
  <si>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</si>
  <si>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</si>
  <si>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</si>
  <si>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</si>
  <si>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</si>
  <si>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</si>
  <si>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</si>
  <si>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</si>
  <si>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</si>
  <si>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</si>
  <si>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</si>
  <si>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</si>
  <si>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</si>
  <si>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</si>
  <si>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</si>
  <si>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</si>
  <si>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</si>
  <si>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</si>
  <si>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</si>
  <si>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</si>
  <si>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</si>
  <si>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</si>
  <si>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</si>
  <si>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</si>
  <si>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</si>
  <si>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</si>
  <si>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</si>
  <si>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</si>
  <si>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</si>
  <si>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</si>
  <si>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</si>
  <si>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</si>
  <si>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</si>
  <si>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</si>
  <si>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</si>
  <si>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</si>
  <si>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</si>
  <si>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</si>
  <si>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</si>
  <si>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</si>
  <si>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</si>
  <si>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</si>
  <si>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</si>
  <si>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</si>
  <si>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</si>
  <si>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</si>
  <si>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</si>
  <si>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</si>
  <si>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</si>
  <si>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</si>
  <si>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</si>
  <si>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</si>
  <si>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</si>
  <si>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</si>
  <si>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</si>
  <si>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</si>
  <si>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</si>
  <si>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</si>
  <si>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</si>
  <si>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</si>
  <si>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</si>
  <si>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</si>
  <si>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</si>
  <si>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</si>
  <si>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</si>
  <si>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</si>
  <si>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</si>
  <si>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</si>
  <si>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</si>
  <si>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</si>
  <si>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</si>
  <si>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</si>
  <si>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</si>
  <si>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</si>
  <si>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</si>
  <si>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</si>
  <si>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</si>
  <si>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</si>
  <si>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</si>
  <si>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</si>
  <si>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</si>
  <si>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</si>
  <si>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</si>
  <si>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</si>
  <si>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</si>
  <si>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</si>
  <si>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</si>
  <si>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</si>
  <si>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</si>
  <si>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</si>
  <si>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</si>
  <si>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</si>
  <si>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</si>
  <si>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</si>
  <si>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</si>
  <si>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</si>
  <si>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</si>
  <si>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</si>
  <si>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</si>
  <si>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</si>
  <si>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</si>
  <si>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</si>
  <si>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</si>
  <si>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</si>
  <si>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</si>
  <si>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</si>
  <si>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</si>
  <si>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</si>
  <si>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</si>
  <si>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</si>
  <si>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</si>
  <si>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</si>
  <si>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</si>
  <si>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</si>
  <si>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</si>
  <si>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</si>
  <si>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</si>
  <si>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</si>
  <si>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</si>
  <si>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</si>
  <si>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</si>
  <si>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</si>
  <si>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</si>
  <si>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</si>
  <si>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</si>
  <si>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</si>
  <si>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</si>
  <si>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</si>
  <si>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</si>
  <si>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</si>
  <si>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</si>
  <si>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</si>
  <si>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</si>
  <si>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</si>
  <si>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</si>
  <si>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</si>
  <si>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</si>
  <si>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</si>
  <si>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</si>
  <si>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</si>
  <si>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</si>
  <si>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</si>
  <si>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</si>
  <si>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</si>
  <si>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</si>
  <si>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</si>
  <si>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</si>
  <si>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</si>
  <si>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</si>
  <si>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</si>
  <si>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</si>
  <si>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</si>
  <si>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</si>
  <si>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</si>
  <si>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</si>
  <si>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</si>
  <si>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</si>
  <si>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</si>
  <si>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</si>
  <si>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</si>
  <si>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</si>
  <si>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</si>
  <si>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</si>
  <si>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</si>
  <si>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</si>
  <si>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</si>
  <si>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</si>
  <si>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</si>
  <si>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</si>
  <si>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</si>
  <si>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</si>
  <si>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</si>
  <si>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</si>
  <si>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</si>
  <si>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</si>
  <si>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</si>
  <si>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</si>
  <si>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</si>
  <si>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</si>
  <si>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</si>
  <si>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</si>
  <si>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</si>
  <si>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</si>
  <si>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</si>
  <si>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</si>
  <si>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</si>
  <si>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</si>
  <si>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</si>
  <si>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</si>
  <si>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</si>
  <si>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</si>
  <si>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</si>
  <si>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</si>
  <si>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</si>
  <si>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</si>
  <si>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</si>
  <si>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</si>
  <si>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</si>
  <si>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</si>
  <si>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</si>
  <si>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</si>
  <si>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</si>
  <si>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</si>
  <si>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</si>
  <si>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</si>
  <si>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</si>
  <si>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</si>
  <si>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</si>
  <si>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</si>
  <si>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</si>
  <si>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</si>
  <si>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</si>
  <si>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</si>
  <si>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</si>
  <si>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</si>
  <si>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</si>
  <si>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</si>
  <si>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</si>
  <si>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</si>
  <si>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</si>
  <si>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</si>
  <si>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</si>
  <si>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</si>
  <si>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</si>
  <si>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</si>
  <si>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</si>
  <si>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</si>
  <si>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</si>
  <si>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</si>
  <si>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</si>
  <si>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</si>
  <si>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</si>
  <si>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</si>
  <si>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</si>
  <si>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</si>
  <si>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</si>
  <si>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</si>
  <si>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</si>
  <si>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</si>
  <si>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</si>
  <si>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</si>
  <si>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</si>
  <si>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</si>
  <si>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</si>
  <si>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</si>
  <si>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</si>
  <si>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</si>
  <si>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</si>
  <si>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</si>
  <si>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</si>
  <si>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</si>
  <si>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</si>
  <si>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</si>
  <si>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</si>
  <si>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</si>
  <si>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</si>
  <si>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</si>
  <si>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</si>
  <si>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</si>
  <si>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</si>
  <si>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</si>
  <si>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</si>
  <si>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</si>
  <si>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</si>
  <si>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</si>
  <si>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</si>
  <si>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</si>
  <si>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</si>
  <si>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</si>
  <si>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</si>
  <si>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</si>
  <si>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</si>
  <si>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</si>
  <si>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</si>
  <si>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</si>
  <si>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</si>
  <si>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</si>
  <si>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</si>
  <si>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</si>
  <si>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</si>
  <si>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</si>
  <si>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</si>
  <si>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</si>
  <si>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</si>
  <si>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</si>
  <si>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</si>
  <si>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</si>
  <si>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</si>
  <si>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</si>
  <si>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</si>
  <si>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</si>
  <si>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</si>
  <si>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</si>
  <si>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</si>
  <si>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</si>
  <si>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</si>
  <si>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</si>
  <si>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</si>
  <si>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</si>
  <si>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</si>
  <si>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</si>
  <si>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</si>
  <si>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</si>
  <si>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</si>
  <si>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</si>
  <si>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</si>
  <si>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</si>
  <si>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</si>
  <si>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</si>
  <si>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</si>
  <si>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</si>
  <si>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</si>
  <si>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</si>
  <si>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</si>
  <si>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</si>
  <si>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</si>
  <si>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</si>
  <si>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</si>
  <si>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</si>
  <si>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</si>
  <si>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</si>
  <si>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</si>
  <si>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</si>
  <si>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</si>
  <si>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</si>
  <si>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</si>
  <si>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</si>
  <si>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</si>
  <si>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</si>
  <si>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</si>
  <si>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</si>
  <si>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</si>
  <si>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</si>
  <si>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</si>
  <si>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</si>
  <si>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</si>
  <si>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</si>
  <si>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</si>
  <si>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</si>
  <si>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</si>
  <si>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2614</t>
  </si>
  <si>
    <t>26641633</t>
  </si>
  <si>
    <t>АО "АТЭК"</t>
  </si>
  <si>
    <t>7826135558</t>
  </si>
  <si>
    <t>780501001</t>
  </si>
  <si>
    <t>26422350</t>
  </si>
  <si>
    <t>АО "Аккумуляторная компания "Ригель"</t>
  </si>
  <si>
    <t>7813054118</t>
  </si>
  <si>
    <t>26420583</t>
  </si>
  <si>
    <t>АО "Аэропорт "Пулково"</t>
  </si>
  <si>
    <t>7810091320</t>
  </si>
  <si>
    <t>783450001</t>
  </si>
  <si>
    <t>26422149</t>
  </si>
  <si>
    <t>АО "БЦ "АКВИЛОН"</t>
  </si>
  <si>
    <t>7802067080</t>
  </si>
  <si>
    <t>780201001</t>
  </si>
  <si>
    <t>31203865</t>
  </si>
  <si>
    <t>АО "Балтийский завод"</t>
  </si>
  <si>
    <t>7830001910</t>
  </si>
  <si>
    <t>780101001</t>
  </si>
  <si>
    <t>28266590</t>
  </si>
  <si>
    <t>АО "Василеостровская Фабрика"</t>
  </si>
  <si>
    <t>7825115990</t>
  </si>
  <si>
    <t>26847594</t>
  </si>
  <si>
    <t>АО "Водтрансприбор"</t>
  </si>
  <si>
    <t>7814010307</t>
  </si>
  <si>
    <t>781401001</t>
  </si>
  <si>
    <t>26361120</t>
  </si>
  <si>
    <t>АО "ГСР ТЭЦ"</t>
  </si>
  <si>
    <t>7817312063</t>
  </si>
  <si>
    <t>781701001</t>
  </si>
  <si>
    <t>26560525</t>
  </si>
  <si>
    <t>АО "ГУ ЖКХ"</t>
  </si>
  <si>
    <t>5116000922</t>
  </si>
  <si>
    <t>511601001</t>
  </si>
  <si>
    <t>13-05-2009 00:00:00</t>
  </si>
  <si>
    <t>30335229</t>
  </si>
  <si>
    <t>770401001</t>
  </si>
  <si>
    <t>28491236</t>
  </si>
  <si>
    <t>АО "Гостиница "Туррис"</t>
  </si>
  <si>
    <t>7830002575</t>
  </si>
  <si>
    <t>781001001</t>
  </si>
  <si>
    <t>28450115</t>
  </si>
  <si>
    <t>АО "Группа Прайм"</t>
  </si>
  <si>
    <t>7825696286</t>
  </si>
  <si>
    <t>26422100</t>
  </si>
  <si>
    <t>АО "Завод "Реконд"</t>
  </si>
  <si>
    <t>7802005951</t>
  </si>
  <si>
    <t>01-07-1990 00:00:00</t>
  </si>
  <si>
    <t>26641637</t>
  </si>
  <si>
    <t>АО "Завод имени А.А.Кулакова"</t>
  </si>
  <si>
    <t>7813346618</t>
  </si>
  <si>
    <t>27621401</t>
  </si>
  <si>
    <t>АО "Завод имени М.И.Калинина"</t>
  </si>
  <si>
    <t>7801566094</t>
  </si>
  <si>
    <t>28812728</t>
  </si>
  <si>
    <t>АО "КИНОСТУДИЯ "ЛЕНФИЛЬМ"</t>
  </si>
  <si>
    <t>7813200545</t>
  </si>
  <si>
    <t>26361104</t>
  </si>
  <si>
    <t>АО "КировТЭК"</t>
  </si>
  <si>
    <t>7805060502</t>
  </si>
  <si>
    <t>26361095</t>
  </si>
  <si>
    <t>АО "Компонент"</t>
  </si>
  <si>
    <t>7804046015</t>
  </si>
  <si>
    <t>780401001</t>
  </si>
  <si>
    <t>28505234</t>
  </si>
  <si>
    <t>АО "Кронштадтский морской завод"</t>
  </si>
  <si>
    <t>7843003128</t>
  </si>
  <si>
    <t>784301001</t>
  </si>
  <si>
    <t>28453717</t>
  </si>
  <si>
    <t>АО "ЛКХП Кирова"</t>
  </si>
  <si>
    <t>7830002303</t>
  </si>
  <si>
    <t>26361094</t>
  </si>
  <si>
    <t>АО "ЛОМО"</t>
  </si>
  <si>
    <t>7804002321</t>
  </si>
  <si>
    <t>26614924</t>
  </si>
  <si>
    <t>АО "ЛСР. Железобетон-СЗ"</t>
  </si>
  <si>
    <t>7830000578</t>
  </si>
  <si>
    <t>470501001</t>
  </si>
  <si>
    <t>27824854</t>
  </si>
  <si>
    <t>АО "Ленпромгаз"</t>
  </si>
  <si>
    <t>7841333120</t>
  </si>
  <si>
    <t>784101001</t>
  </si>
  <si>
    <t>26361102</t>
  </si>
  <si>
    <t>АО "Морской порт Санкт-Петербург"</t>
  </si>
  <si>
    <t>7805025346</t>
  </si>
  <si>
    <t>30983227</t>
  </si>
  <si>
    <t>АО "НИИ "Вектор"</t>
  </si>
  <si>
    <t>7813491943</t>
  </si>
  <si>
    <t>28796102</t>
  </si>
  <si>
    <t>АО "НИИ командных приборов"</t>
  </si>
  <si>
    <t>7805654288</t>
  </si>
  <si>
    <t>27628470</t>
  </si>
  <si>
    <t>АО "НПП "Краснознамёнец"</t>
  </si>
  <si>
    <t>7806469104</t>
  </si>
  <si>
    <t>19-01-2012 00:00:00</t>
  </si>
  <si>
    <t>27551052</t>
  </si>
  <si>
    <t>АО "Невская мануфактура"</t>
  </si>
  <si>
    <t>7811056991</t>
  </si>
  <si>
    <t>781101001</t>
  </si>
  <si>
    <t>31206594</t>
  </si>
  <si>
    <t>АО "Особая экономическая зона "Санкт-Петербург"</t>
  </si>
  <si>
    <t>7819036901</t>
  </si>
  <si>
    <t>781901001</t>
  </si>
  <si>
    <t>28155081</t>
  </si>
  <si>
    <t>АО "Первый контейнерный терминал"</t>
  </si>
  <si>
    <t>7805113497</t>
  </si>
  <si>
    <t>997650001</t>
  </si>
  <si>
    <t>28072594</t>
  </si>
  <si>
    <t>АО "РУСТ-95"</t>
  </si>
  <si>
    <t>7728120384</t>
  </si>
  <si>
    <t>26828034</t>
  </si>
  <si>
    <t>АО "РЭУ" филиал "Санкт-Петербургский"</t>
  </si>
  <si>
    <t>7714783092</t>
  </si>
  <si>
    <t>783943001</t>
  </si>
  <si>
    <t>28042569</t>
  </si>
  <si>
    <t>АО "Редэс Лтд"</t>
  </si>
  <si>
    <t>7801059070</t>
  </si>
  <si>
    <t>26361106</t>
  </si>
  <si>
    <t>АО "Русские самоцветы"</t>
  </si>
  <si>
    <t>7806007100</t>
  </si>
  <si>
    <t>28143840</t>
  </si>
  <si>
    <t>АО "Рыбокомбинат"</t>
  </si>
  <si>
    <t>7804036909</t>
  </si>
  <si>
    <t>31416469</t>
  </si>
  <si>
    <t>АО "Сетевая компания "ОСК"</t>
  </si>
  <si>
    <t>7805735152</t>
  </si>
  <si>
    <t>29-10-2018 00:00:00</t>
  </si>
  <si>
    <t>26590970</t>
  </si>
  <si>
    <t>АО "Совавто-С.Петербург"</t>
  </si>
  <si>
    <t>7810216498</t>
  </si>
  <si>
    <t>28091963</t>
  </si>
  <si>
    <t>АО "Телерадиокомпания "Петербург"</t>
  </si>
  <si>
    <t>7825404448</t>
  </si>
  <si>
    <t>26555650</t>
  </si>
  <si>
    <t>АО "Теплосеть Санкт-Петербурга"</t>
  </si>
  <si>
    <t>7810577007</t>
  </si>
  <si>
    <t>28152736</t>
  </si>
  <si>
    <t>АО "ЦКБ МТ "Рубин"</t>
  </si>
  <si>
    <t>7838418751</t>
  </si>
  <si>
    <t>997850001</t>
  </si>
  <si>
    <t>26533887</t>
  </si>
  <si>
    <t>АО "Юго-Западная ТЭЦ"</t>
  </si>
  <si>
    <t>7813323258</t>
  </si>
  <si>
    <t>28042447</t>
  </si>
  <si>
    <t>АО ВО "Электроаппарат"</t>
  </si>
  <si>
    <t>7801032688</t>
  </si>
  <si>
    <t>30427522</t>
  </si>
  <si>
    <t>АО ГУ ЖКХ ОП "Санкт-Петербургское"</t>
  </si>
  <si>
    <t>784245001</t>
  </si>
  <si>
    <t>12-10-2015 00:00:00</t>
  </si>
  <si>
    <t>27997479</t>
  </si>
  <si>
    <t>Акционерное общество "Иван Федоров"</t>
  </si>
  <si>
    <t>7816067965</t>
  </si>
  <si>
    <t>01-08-2013 00:00:00</t>
  </si>
  <si>
    <t>28855708</t>
  </si>
  <si>
    <t>ГАО РАН</t>
  </si>
  <si>
    <t>7810207327</t>
  </si>
  <si>
    <t>26422494</t>
  </si>
  <si>
    <t>ГУП "Водоканал Санкт-Петербурга"</t>
  </si>
  <si>
    <t>7830000426</t>
  </si>
  <si>
    <t>784201001</t>
  </si>
  <si>
    <t>26361126</t>
  </si>
  <si>
    <t>ГУП "ТЭК СПб"</t>
  </si>
  <si>
    <t>7830001028</t>
  </si>
  <si>
    <t>28274316</t>
  </si>
  <si>
    <t>ЗАО "Асфальтобетонный Завод "Магистраль"</t>
  </si>
  <si>
    <t>7811038093</t>
  </si>
  <si>
    <t>28867621</t>
  </si>
  <si>
    <t>ЗАО "ЗМК-ИК"</t>
  </si>
  <si>
    <t>7811500159</t>
  </si>
  <si>
    <t>26361096</t>
  </si>
  <si>
    <t>ЗАО "Завод Красная Заря. Системы цифровой связи"</t>
  </si>
  <si>
    <t>7804080383</t>
  </si>
  <si>
    <t>28794896</t>
  </si>
  <si>
    <t>ЗАО "Невский завод"</t>
  </si>
  <si>
    <t>7806369727</t>
  </si>
  <si>
    <t>28493183</t>
  </si>
  <si>
    <t>ЗАО "Пансионат "Балтиец"</t>
  </si>
  <si>
    <t>7805093610</t>
  </si>
  <si>
    <t>26422368</t>
  </si>
  <si>
    <t>ЗАО "Пансионат "Буревестник"</t>
  </si>
  <si>
    <t>7827012742</t>
  </si>
  <si>
    <t>28042468</t>
  </si>
  <si>
    <t>ЗАО "Петроспирт"</t>
  </si>
  <si>
    <t>7805002518</t>
  </si>
  <si>
    <t>26597721</t>
  </si>
  <si>
    <t>ЗАО "Пластполимер-Т"</t>
  </si>
  <si>
    <t>7806419142</t>
  </si>
  <si>
    <t>780601001</t>
  </si>
  <si>
    <t>17-01-2024 00:00:00</t>
  </si>
  <si>
    <t>26533889</t>
  </si>
  <si>
    <t>ЗАО "Ресурс-Экономия"</t>
  </si>
  <si>
    <t>7820039657</t>
  </si>
  <si>
    <t>782001001</t>
  </si>
  <si>
    <t>27997575</t>
  </si>
  <si>
    <t>ЗАО "СВ-Сити"</t>
  </si>
  <si>
    <t>7816206305</t>
  </si>
  <si>
    <t>781601001</t>
  </si>
  <si>
    <t>26361116</t>
  </si>
  <si>
    <t>ЗАО "Тепломагистраль"</t>
  </si>
  <si>
    <t>7814302758</t>
  </si>
  <si>
    <t>28943782</t>
  </si>
  <si>
    <t>ЗАО "ЭКСИ-Банк"</t>
  </si>
  <si>
    <t>7831000940</t>
  </si>
  <si>
    <t>783501001</t>
  </si>
  <si>
    <t>28458587</t>
  </si>
  <si>
    <t>ИХС РАН</t>
  </si>
  <si>
    <t>7801019101</t>
  </si>
  <si>
    <t>КОМИТЕТ ПО ТАРИФАМ САНКТ-ПЕТЕРБУРГА</t>
  </si>
  <si>
    <t>7826692894</t>
  </si>
  <si>
    <t>28284366</t>
  </si>
  <si>
    <t>МРФ "Северо-Запад" ПАО "Ростелеком"</t>
  </si>
  <si>
    <t>7707049388</t>
  </si>
  <si>
    <t>784243001</t>
  </si>
  <si>
    <t>28816484</t>
  </si>
  <si>
    <t>НАО "СВЕЗА Усть-Ижора"</t>
  </si>
  <si>
    <t>7817015769</t>
  </si>
  <si>
    <t>27114822</t>
  </si>
  <si>
    <t>НАО "Энергетический Альянс"</t>
  </si>
  <si>
    <t>7843300280</t>
  </si>
  <si>
    <t>28453706</t>
  </si>
  <si>
    <t>ОАО "20 АРЗ"</t>
  </si>
  <si>
    <t>7820309254</t>
  </si>
  <si>
    <t>28453728</t>
  </si>
  <si>
    <t>ОАО "61 БТРЗ"</t>
  </si>
  <si>
    <t>7819310752</t>
  </si>
  <si>
    <t>28091987</t>
  </si>
  <si>
    <t>ОАО "ГОИ им. С. И. Вавилова"</t>
  </si>
  <si>
    <t>7801591397</t>
  </si>
  <si>
    <t>26361118</t>
  </si>
  <si>
    <t>ОАО "Головной завод"</t>
  </si>
  <si>
    <t>7816222000</t>
  </si>
  <si>
    <t>20-02-2024 00:00:00</t>
  </si>
  <si>
    <t>26647768</t>
  </si>
  <si>
    <t>ОАО "ДОЗ-2"</t>
  </si>
  <si>
    <t>7830000271</t>
  </si>
  <si>
    <t>28544720</t>
  </si>
  <si>
    <t>ОАО "Завод ЭЛЕКТРОПУЛЬТ"</t>
  </si>
  <si>
    <t>7806008569</t>
  </si>
  <si>
    <t>27956327</t>
  </si>
  <si>
    <t>ОАО "Завод слоистых пластиков"</t>
  </si>
  <si>
    <t>7806005590</t>
  </si>
  <si>
    <t>26361091</t>
  </si>
  <si>
    <t>ОАО "Компрессор"</t>
  </si>
  <si>
    <t>7802071707</t>
  </si>
  <si>
    <t>26647775</t>
  </si>
  <si>
    <t>ОАО "Концерн "Гранит-Электрон"</t>
  </si>
  <si>
    <t>7842335610</t>
  </si>
  <si>
    <t>28042181</t>
  </si>
  <si>
    <t>ОАО "ЛЕНПОЛИГРАФМАШ"</t>
  </si>
  <si>
    <t>7813045025</t>
  </si>
  <si>
    <t>28453744</t>
  </si>
  <si>
    <t>ОАО "МЗ "Арсенал"</t>
  </si>
  <si>
    <t>7804040302</t>
  </si>
  <si>
    <t>27968093</t>
  </si>
  <si>
    <t>ОАО "Морской завод Алмаз"</t>
  </si>
  <si>
    <t>7728156800</t>
  </si>
  <si>
    <t>26361122</t>
  </si>
  <si>
    <t>ОАО "НПО ЦКТИ"</t>
  </si>
  <si>
    <t>7825660956</t>
  </si>
  <si>
    <t>26422145</t>
  </si>
  <si>
    <t>ОАО "Научно-производственный комплекс "Северная заря"</t>
  </si>
  <si>
    <t>7802064795</t>
  </si>
  <si>
    <t>28152707</t>
  </si>
  <si>
    <t>ОАО "Приморский парк Победы"</t>
  </si>
  <si>
    <t>7813464548</t>
  </si>
  <si>
    <t>26422310</t>
  </si>
  <si>
    <t>ОАО "Прядильно-ниточный комбинат "Красная нить"</t>
  </si>
  <si>
    <t>7802052172</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</si>
  <si>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</si>
  <si>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</si>
  <si>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</si>
  <si>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</si>
  <si>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</si>
  <si>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28255000</t>
  </si>
  <si>
    <t>ОАО "СПб Завод ТЭМП"</t>
  </si>
  <si>
    <t>7805017514</t>
  </si>
  <si>
    <t>26515996</t>
  </si>
  <si>
    <t>ОАО "Санкт-Петербургское морское бюро машиностроения "Малахит"</t>
  </si>
  <si>
    <t>7810537540</t>
  </si>
  <si>
    <t>18-11-2008 00:00:00</t>
  </si>
  <si>
    <t>28155094</t>
  </si>
  <si>
    <t>ОАО "Стройметалконструкция"</t>
  </si>
  <si>
    <t>7830000680</t>
  </si>
  <si>
    <t>27961378</t>
  </si>
  <si>
    <t>ОАО "Фирма Медполимер"</t>
  </si>
  <si>
    <t>7806008745</t>
  </si>
  <si>
    <t>28145322</t>
  </si>
  <si>
    <t>ОАО "Штурманские приборы"</t>
  </si>
  <si>
    <t>7806016697</t>
  </si>
  <si>
    <t>28427914</t>
  </si>
  <si>
    <t>ООО "АЛЬТЕРНАТИВА"</t>
  </si>
  <si>
    <t>7804509545</t>
  </si>
  <si>
    <t>31475145</t>
  </si>
  <si>
    <t>ООО "АНМ" (Александро-Невская мануфактура)</t>
  </si>
  <si>
    <t>7811185789</t>
  </si>
  <si>
    <t>26421969</t>
  </si>
  <si>
    <t>ООО "Адамант"</t>
  </si>
  <si>
    <t>7826101774</t>
  </si>
  <si>
    <t>783801001</t>
  </si>
  <si>
    <t>28942335</t>
  </si>
  <si>
    <t>ООО "Аквастим"</t>
  </si>
  <si>
    <t>7810896892</t>
  </si>
  <si>
    <t>26361105</t>
  </si>
  <si>
    <t>ООО "Акватерм"</t>
  </si>
  <si>
    <t>7805185251</t>
  </si>
  <si>
    <t>28427903</t>
  </si>
  <si>
    <t>ООО "Александро-Невская мануфактура"</t>
  </si>
  <si>
    <t>7811307571</t>
  </si>
  <si>
    <t>27819284</t>
  </si>
  <si>
    <t>ООО "Атлантик"</t>
  </si>
  <si>
    <t>7826135075</t>
  </si>
  <si>
    <t>26555079</t>
  </si>
  <si>
    <t>ООО "Воздушные ворота северной столицы"</t>
  </si>
  <si>
    <t>7703590927</t>
  </si>
  <si>
    <t>785150001</t>
  </si>
  <si>
    <t>28042558</t>
  </si>
  <si>
    <t>ООО "Возрождение"</t>
  </si>
  <si>
    <t>7840332364</t>
  </si>
  <si>
    <t>784001001</t>
  </si>
  <si>
    <t>30925410</t>
  </si>
  <si>
    <t>ООО "ГАЗКОМПЛЕКТ"</t>
  </si>
  <si>
    <t>7802528743</t>
  </si>
  <si>
    <t>26361113</t>
  </si>
  <si>
    <t>ООО "ГЕНЕРИРУЮЩАЯ КОМПАНИЯ "ОБУХОВОЭНЕРГО"</t>
  </si>
  <si>
    <t>7811618471</t>
  </si>
  <si>
    <t>26424110</t>
  </si>
  <si>
    <t>ООО "Газпром трансгаз Санкт-Петербург"</t>
  </si>
  <si>
    <t>7805018099</t>
  </si>
  <si>
    <t>26838677</t>
  </si>
  <si>
    <t>ООО "Гофра-2001"</t>
  </si>
  <si>
    <t>7820304249</t>
  </si>
  <si>
    <t>31350492</t>
  </si>
  <si>
    <t>ООО "ЕСЭ-Кубань"</t>
  </si>
  <si>
    <t>2373002188</t>
  </si>
  <si>
    <t>237301001</t>
  </si>
  <si>
    <t>06-09-2012 00:00:00</t>
  </si>
  <si>
    <t>31464180</t>
  </si>
  <si>
    <t>781445001</t>
  </si>
  <si>
    <t>31598749</t>
  </si>
  <si>
    <t>ООО "ИТЭ"</t>
  </si>
  <si>
    <t>7447297114</t>
  </si>
  <si>
    <t>745301001</t>
  </si>
  <si>
    <t>09-10-2020 00:00:00</t>
  </si>
  <si>
    <t>28122490</t>
  </si>
  <si>
    <t>ООО "Институт Гипроникель"</t>
  </si>
  <si>
    <t>7804349796</t>
  </si>
  <si>
    <t>26421911</t>
  </si>
  <si>
    <t>ООО "КОСМ "Энерго"</t>
  </si>
  <si>
    <t>7805065476</t>
  </si>
  <si>
    <t>31718234</t>
  </si>
  <si>
    <t>ООО "КТК"</t>
  </si>
  <si>
    <t>7817051911</t>
  </si>
  <si>
    <t>26361093</t>
  </si>
  <si>
    <t>ООО "Квартальная котельная"</t>
  </si>
  <si>
    <t>7802310698</t>
  </si>
  <si>
    <t>31586314</t>
  </si>
  <si>
    <t>ООО "Кожа СПб"</t>
  </si>
  <si>
    <t>7801706143</t>
  </si>
  <si>
    <t>09-11-2021 00:00:00</t>
  </si>
  <si>
    <t>28965696</t>
  </si>
  <si>
    <t>ООО "ЛПМ Скиф"</t>
  </si>
  <si>
    <t>7813142702</t>
  </si>
  <si>
    <t>31450519</t>
  </si>
  <si>
    <t>ООО "МЕЗОНЭНЕРГО"</t>
  </si>
  <si>
    <t>7802698819</t>
  </si>
  <si>
    <t>15-11-2019 00:00:00</t>
  </si>
  <si>
    <t>27546308</t>
  </si>
  <si>
    <t>ООО "МегаСтрой"</t>
  </si>
  <si>
    <t>7801185204</t>
  </si>
  <si>
    <t>31452002</t>
  </si>
  <si>
    <t>ООО "ОРИЕНТ БРИДЖ"</t>
  </si>
  <si>
    <t>9729095825</t>
  </si>
  <si>
    <t>772901001</t>
  </si>
  <si>
    <t>15-06-2017 00:00:00</t>
  </si>
  <si>
    <t>28152725</t>
  </si>
  <si>
    <t>ООО "Объединенные Пивоварни Хейникен"</t>
  </si>
  <si>
    <t>7802118578</t>
  </si>
  <si>
    <t>997350001</t>
  </si>
  <si>
    <t>28940429</t>
  </si>
  <si>
    <t>ООО "ПРОМ ИМПУЛЬС"</t>
  </si>
  <si>
    <t>7806520632</t>
  </si>
  <si>
    <t>27266270</t>
  </si>
  <si>
    <t>ООО "Петербургтеплоэнерго"</t>
  </si>
  <si>
    <t>7838024362</t>
  </si>
  <si>
    <t>783901001</t>
  </si>
  <si>
    <t>26421926</t>
  </si>
  <si>
    <t>ООО "Проектно-производственная компания "Регион"</t>
  </si>
  <si>
    <t>7802431406</t>
  </si>
  <si>
    <t>26322164</t>
  </si>
  <si>
    <t>ООО "Производственное объединение "Пекар"</t>
  </si>
  <si>
    <t>7801374265</t>
  </si>
  <si>
    <t>26647770</t>
  </si>
  <si>
    <t>ООО "Рассвет"</t>
  </si>
  <si>
    <t>7810191726</t>
  </si>
  <si>
    <t>28042486</t>
  </si>
  <si>
    <t>ООО "СЗУК"</t>
  </si>
  <si>
    <t>7810509293</t>
  </si>
  <si>
    <t>26422761</t>
  </si>
  <si>
    <t>ООО "Самсон"</t>
  </si>
  <si>
    <t>7810015329</t>
  </si>
  <si>
    <t>28255011</t>
  </si>
  <si>
    <t>ООО "Светлана-Эстейт"</t>
  </si>
  <si>
    <t>7802385950</t>
  </si>
  <si>
    <t>27831333</t>
  </si>
  <si>
    <t>ООО "Системы Безопасности Северо-Запад"</t>
  </si>
  <si>
    <t>7802338277</t>
  </si>
  <si>
    <t>28509704</t>
  </si>
  <si>
    <t>ООО "Степан Разин Девелопмент"</t>
  </si>
  <si>
    <t>7805614870</t>
  </si>
  <si>
    <t>31682805</t>
  </si>
  <si>
    <t>ООО "ТЕПЛОСВЕТЛОЭНЕРГО"</t>
  </si>
  <si>
    <t>7802932762</t>
  </si>
  <si>
    <t>18-11-2022 00:00:00</t>
  </si>
  <si>
    <t>28511826</t>
  </si>
  <si>
    <t>ООО "ТЕПЛОЭНЕРГО"</t>
  </si>
  <si>
    <t>7802853013</t>
  </si>
  <si>
    <t>31308473</t>
  </si>
  <si>
    <t>ООО "ТСК 270"</t>
  </si>
  <si>
    <t>7838497200</t>
  </si>
  <si>
    <t>06-11-2013 00:00:00</t>
  </si>
  <si>
    <t>29647643</t>
  </si>
  <si>
    <t>ООО "ТСК"</t>
  </si>
  <si>
    <t>7842033592</t>
  </si>
  <si>
    <t>28113372</t>
  </si>
  <si>
    <t>ООО "ТЭК объединения "Скороход"</t>
  </si>
  <si>
    <t>7810270209</t>
  </si>
  <si>
    <t>31341607</t>
  </si>
  <si>
    <t>ООО "ТЭС СПб"</t>
  </si>
  <si>
    <t>7842141492</t>
  </si>
  <si>
    <t>31684265</t>
  </si>
  <si>
    <t>ООО "ТЭС"</t>
  </si>
  <si>
    <t>7842175269</t>
  </si>
  <si>
    <t>26-09-2019 00:00:00</t>
  </si>
  <si>
    <t>26421986</t>
  </si>
  <si>
    <t>ООО "Таймс"</t>
  </si>
  <si>
    <t>7814122120</t>
  </si>
  <si>
    <t>28422808</t>
  </si>
  <si>
    <t>ООО "ТеплоЭнергоВент"</t>
  </si>
  <si>
    <t>7806438628</t>
  </si>
  <si>
    <t>27971244</t>
  </si>
  <si>
    <t>ООО "Теплосервис"</t>
  </si>
  <si>
    <t>7839357460</t>
  </si>
  <si>
    <t>28151979</t>
  </si>
  <si>
    <t>ООО "Теплоснабжающая компания 282"</t>
  </si>
  <si>
    <t>7805519673</t>
  </si>
  <si>
    <t>28798987</t>
  </si>
  <si>
    <t>ООО "Технопарк №1"</t>
  </si>
  <si>
    <t>7841014910</t>
  </si>
  <si>
    <t>28001891</t>
  </si>
  <si>
    <t>ООО "Троя"</t>
  </si>
  <si>
    <t>7820034338</t>
  </si>
  <si>
    <t>28042530</t>
  </si>
  <si>
    <t>ООО "Хлебтранс СПб"</t>
  </si>
  <si>
    <t>7810467163</t>
  </si>
  <si>
    <t>783101001</t>
  </si>
  <si>
    <t>27988538</t>
  </si>
  <si>
    <t>ООО "ЦМТ и НТС"</t>
  </si>
  <si>
    <t>7813109141</t>
  </si>
  <si>
    <t>31635214</t>
  </si>
  <si>
    <t>ООО "Цветение вишни"</t>
  </si>
  <si>
    <t>7813232321</t>
  </si>
  <si>
    <t>27848302</t>
  </si>
  <si>
    <t>ООО "ЭКОН"</t>
  </si>
  <si>
    <t>7804176134</t>
  </si>
  <si>
    <t>26769190</t>
  </si>
  <si>
    <t>ООО "ЭНЕРГИЯ"</t>
  </si>
  <si>
    <t>7826087336</t>
  </si>
  <si>
    <t>28134965</t>
  </si>
  <si>
    <t>ООО "ЭНЕРГЭС"</t>
  </si>
  <si>
    <t>7801089980</t>
  </si>
  <si>
    <t>31342047</t>
  </si>
  <si>
    <t>ООО "ЭПС"</t>
  </si>
  <si>
    <t>7810757754</t>
  </si>
  <si>
    <t>26361114</t>
  </si>
  <si>
    <t>ООО "Эксплуатационная компания "Арго-Сервис"</t>
  </si>
  <si>
    <t>7811375691</t>
  </si>
  <si>
    <t>27976484</t>
  </si>
  <si>
    <t>ООО "Энергетические системы"</t>
  </si>
  <si>
    <t>7806302458</t>
  </si>
  <si>
    <t>28979613</t>
  </si>
  <si>
    <t>ООО "ЭнергоИнвест"</t>
  </si>
  <si>
    <t>7841378040</t>
  </si>
  <si>
    <t>30953255</t>
  </si>
  <si>
    <t>26421941</t>
  </si>
  <si>
    <t>ООО "ЭнергоРесурс 2005"</t>
  </si>
  <si>
    <t>7805387057</t>
  </si>
  <si>
    <t>27517472</t>
  </si>
  <si>
    <t>ООО "Энергогазмонтаж"</t>
  </si>
  <si>
    <t>7806119950</t>
  </si>
  <si>
    <t>26361123</t>
  </si>
  <si>
    <t>ООО "Энергосервис"</t>
  </si>
  <si>
    <t>7826140438</t>
  </si>
  <si>
    <t>28423270</t>
  </si>
  <si>
    <t>ООО "ЮИТ Сервис"</t>
  </si>
  <si>
    <t>7814422759</t>
  </si>
  <si>
    <t>26578046</t>
  </si>
  <si>
    <t>ООО "Юнит"</t>
  </si>
  <si>
    <t>7207009725</t>
  </si>
  <si>
    <t>31604737</t>
  </si>
  <si>
    <t>ООО УК "АСК"</t>
  </si>
  <si>
    <t>7801673850</t>
  </si>
  <si>
    <t>05-11-2019 00:00:00</t>
  </si>
  <si>
    <t>28496542</t>
  </si>
  <si>
    <t>ООО УК "Лэмз"</t>
  </si>
  <si>
    <t>7703792360</t>
  </si>
  <si>
    <t>26647708</t>
  </si>
  <si>
    <t>ПАО "Пролетарский завод"</t>
  </si>
  <si>
    <t>7811039386</t>
  </si>
  <si>
    <t>27054332</t>
  </si>
  <si>
    <t>ПАО "ТГК-1" (не использовать в ЕИАС)</t>
  </si>
  <si>
    <t>780102001</t>
  </si>
  <si>
    <t>26539356</t>
  </si>
  <si>
    <t>26422151</t>
  </si>
  <si>
    <t>ПАО "Техприбор"</t>
  </si>
  <si>
    <t>7810237177</t>
  </si>
  <si>
    <t>28960049</t>
  </si>
  <si>
    <t>ПАО СЗ "Северная верфь"</t>
  </si>
  <si>
    <t>7805034277</t>
  </si>
  <si>
    <t>26516049</t>
  </si>
  <si>
    <t>С/х производственный кооператив "Племзавод "Детскосельский"</t>
  </si>
  <si>
    <t>7820027796</t>
  </si>
  <si>
    <t>28191592</t>
  </si>
  <si>
    <t>СПб ГБУЗ "Городская больница им. Н.А.Семашко"</t>
  </si>
  <si>
    <t>7820013553</t>
  </si>
  <si>
    <t>26322166</t>
  </si>
  <si>
    <t>СПб ГУП "Петербургский метрополитен"</t>
  </si>
  <si>
    <t>7830000970</t>
  </si>
  <si>
    <t>27995413</t>
  </si>
  <si>
    <t>Университет ИТМО</t>
  </si>
  <si>
    <t>7813045547</t>
  </si>
  <si>
    <t>26491915</t>
  </si>
  <si>
    <t>ФГАОУ ВО "СПбПУ"</t>
  </si>
  <si>
    <t>7804040077</t>
  </si>
  <si>
    <t>28454949</t>
  </si>
  <si>
    <t>ФГБНУ ВИР</t>
  </si>
  <si>
    <t>7812029408</t>
  </si>
  <si>
    <t>26361089</t>
  </si>
  <si>
    <t>ФГБОУ ВО "ГУМРФ имени адмирала С.О. Макарова"</t>
  </si>
  <si>
    <t>7805029012</t>
  </si>
  <si>
    <t>26422396</t>
  </si>
  <si>
    <t>ФГБОУ ВО ПГУПС</t>
  </si>
  <si>
    <t>7812009592</t>
  </si>
  <si>
    <t>28934747</t>
  </si>
  <si>
    <t>ФГБОУ ВПО "СПбГАВМ"</t>
  </si>
  <si>
    <t>7810232965</t>
  </si>
  <si>
    <t>30903763</t>
  </si>
  <si>
    <t>ФГБУ "ЦЖКУ" МИНОБОРОНЫ РОССИИ</t>
  </si>
  <si>
    <t>7729314745</t>
  </si>
  <si>
    <t>770101001</t>
  </si>
  <si>
    <t>28436138</t>
  </si>
  <si>
    <t>ФГБУН Институт прикладной астрономии Российской академии наук</t>
  </si>
  <si>
    <t>7813045434</t>
  </si>
  <si>
    <t>28485475</t>
  </si>
  <si>
    <t>ФГКУ "Невский СЦ МЧС России"</t>
  </si>
  <si>
    <t>7817002417</t>
  </si>
  <si>
    <t>26361128</t>
  </si>
  <si>
    <t>Филиал "Северо-Западная ТЭЦ им. А.Г.Бориса" АО "Интер РАО - Электрогенерация"</t>
  </si>
  <si>
    <t>7704784450</t>
  </si>
  <si>
    <t>781443001</t>
  </si>
  <si>
    <t>30941480</t>
  </si>
  <si>
    <t>Филиал ФГБУ "ЦЖКУ" Минобороны России по ЗВО</t>
  </si>
  <si>
    <t>26422522</t>
  </si>
  <si>
    <t>АО "ГСР Водоканал"</t>
  </si>
  <si>
    <t>7817309159</t>
  </si>
  <si>
    <t>26614854</t>
  </si>
  <si>
    <t>ЗАО "Агентство "Шушары"</t>
  </si>
  <si>
    <t>7820016970</t>
  </si>
  <si>
    <t>26627186</t>
  </si>
  <si>
    <t>ОАО "РЖД" (Октябрьская железная дорога - филиал ОАО "РЖД")</t>
  </si>
  <si>
    <t>783402001</t>
  </si>
  <si>
    <t>23-11-2010 00:00:00</t>
  </si>
  <si>
    <t>31221988</t>
  </si>
  <si>
    <t>ООО "ВОДОКАНАЛ ЮЖНЫЙ"</t>
  </si>
  <si>
    <t>7820058378</t>
  </si>
  <si>
    <t>31110004</t>
  </si>
  <si>
    <t>ООО "ДОЗ № 1"</t>
  </si>
  <si>
    <t>7816337717</t>
  </si>
  <si>
    <t>31084932</t>
  </si>
  <si>
    <t>ООО "Колпинский промышленный водоканал"</t>
  </si>
  <si>
    <t>7817076850</t>
  </si>
  <si>
    <t>26868131</t>
  </si>
  <si>
    <t>ООО "Коммунальное хозяйство"</t>
  </si>
  <si>
    <t>7817056892</t>
  </si>
  <si>
    <t>27513672</t>
  </si>
  <si>
    <t>ООО "ЭКОЛ"</t>
  </si>
  <si>
    <t>7801160351</t>
  </si>
  <si>
    <t>28505728</t>
  </si>
  <si>
    <t>СПб ГБСУСО "Психоневрологический интернат №6"</t>
  </si>
  <si>
    <t>7827661874</t>
  </si>
  <si>
    <t>26380420</t>
  </si>
  <si>
    <t>Филиал "Невский водопровод" АО "ЛОКС"</t>
  </si>
  <si>
    <t>4705029366</t>
  </si>
  <si>
    <t>781703001</t>
  </si>
  <si>
    <t>27976424</t>
  </si>
  <si>
    <t>АО "ЭКОПРОМ"</t>
  </si>
  <si>
    <t>7816035716</t>
  </si>
  <si>
    <t>28492986</t>
  </si>
  <si>
    <t>ГБОУ "Балтийский берег"</t>
  </si>
  <si>
    <t>7825465497</t>
  </si>
  <si>
    <t>28799275</t>
  </si>
  <si>
    <t>ООО "СК-СИГМА"</t>
  </si>
  <si>
    <t>7801583967</t>
  </si>
  <si>
    <t>28508632</t>
  </si>
  <si>
    <t>ООО "Энергоснаб - Красные Зори"</t>
  </si>
  <si>
    <t>7819025321</t>
  </si>
  <si>
    <t>31348228</t>
  </si>
  <si>
    <t>OOO "Топливная экологическая компания"</t>
  </si>
  <si>
    <t>7805523775</t>
  </si>
  <si>
    <t>31412321</t>
  </si>
  <si>
    <t>АО "АВТОПАРК №1 "СПЕЦТРАНС"</t>
  </si>
  <si>
    <t>7830002705</t>
  </si>
  <si>
    <t>31471870</t>
  </si>
  <si>
    <t>АО "Невский экологический оператор"</t>
  </si>
  <si>
    <t>7804678913</t>
  </si>
  <si>
    <t>26556065</t>
  </si>
  <si>
    <t>АО "Управляющая компания по обращению с отходами в Ленинградской области</t>
  </si>
  <si>
    <t>4704077078</t>
  </si>
  <si>
    <t>470401001</t>
  </si>
  <si>
    <t>26382441</t>
  </si>
  <si>
    <t>ООО "АВТО-БЕРКУТ"</t>
  </si>
  <si>
    <t>4710010508</t>
  </si>
  <si>
    <t>471001001</t>
  </si>
  <si>
    <t>31412204</t>
  </si>
  <si>
    <t>ООО "НОВЫЙ СВЕТ.ЭКО"</t>
  </si>
  <si>
    <t>7810345944</t>
  </si>
  <si>
    <t>28459203</t>
  </si>
  <si>
    <t>ООО "Новый Свет-ЭКО"</t>
  </si>
  <si>
    <t>4719017995</t>
  </si>
  <si>
    <t>26382433</t>
  </si>
  <si>
    <t>ООО "Полигон ТБО"</t>
  </si>
  <si>
    <t>4703037467</t>
  </si>
  <si>
    <t>470301001</t>
  </si>
  <si>
    <t>26382436</t>
  </si>
  <si>
    <t>ООО "РАСЭМ"</t>
  </si>
  <si>
    <t>4704054105</t>
  </si>
  <si>
    <t>31701309</t>
  </si>
  <si>
    <t>ООО "Ресурс АТЭ"</t>
  </si>
  <si>
    <t>7810900796</t>
  </si>
  <si>
    <t>03-12-2014 00:00:00</t>
  </si>
  <si>
    <t>31251286</t>
  </si>
  <si>
    <t>ООО "Эко Лэнд"</t>
  </si>
  <si>
    <t>7839031482</t>
  </si>
  <si>
    <t>31022717</t>
  </si>
  <si>
    <t>ООО "Эко ПЛАНТ"</t>
  </si>
  <si>
    <t>4716042665</t>
  </si>
  <si>
    <t>471601001</t>
  </si>
  <si>
    <t>31557668</t>
  </si>
  <si>
    <t>ООО "Эковаст"</t>
  </si>
  <si>
    <t>7811651260</t>
  </si>
  <si>
    <t>06-06-2017 00:00:00</t>
  </si>
  <si>
    <t>26422737</t>
  </si>
  <si>
    <t>СПб ГУП "Завод МПБО-2"</t>
  </si>
  <si>
    <t>7806044006</t>
  </si>
  <si>
    <t>NSRF</t>
  </si>
  <si>
    <t>MR_NAME</t>
  </si>
  <si>
    <t>OKTMO_MR_NAME</t>
  </si>
  <si>
    <t>MO_NAME</t>
  </si>
  <si>
    <t>OKTMO_NAME</t>
  </si>
  <si>
    <t>TYPE</t>
  </si>
  <si>
    <t>MR_ID</t>
  </si>
  <si>
    <t>город Зеленогорск</t>
  </si>
  <si>
    <t>40361000</t>
  </si>
  <si>
    <t>внутригородская территория (внутригородское муниципальное образование) города федерального значения</t>
  </si>
  <si>
    <t>город Колпино</t>
  </si>
  <si>
    <t>40342000</t>
  </si>
  <si>
    <t>город Красное Село</t>
  </si>
  <si>
    <t>40353000</t>
  </si>
  <si>
    <t>город Кронштадт</t>
  </si>
  <si>
    <t>40360000</t>
  </si>
  <si>
    <t>город Ломоносов</t>
  </si>
  <si>
    <t>40372000</t>
  </si>
  <si>
    <t>город Павловск</t>
  </si>
  <si>
    <t>40387000</t>
  </si>
  <si>
    <t>город Петергоф</t>
  </si>
  <si>
    <t>40395000</t>
  </si>
  <si>
    <t>город Пушкин</t>
  </si>
  <si>
    <t>40397000</t>
  </si>
  <si>
    <t>город федерального значения</t>
  </si>
  <si>
    <t>город Сестрорецк</t>
  </si>
  <si>
    <t>40362000</t>
  </si>
  <si>
    <t>муниципальный округ № 15</t>
  </si>
  <si>
    <t>40317000</t>
  </si>
  <si>
    <t>муниципальный округ № 21</t>
  </si>
  <si>
    <t>40331000</t>
  </si>
  <si>
    <t>муниципальный округ № 54</t>
  </si>
  <si>
    <t>40383000</t>
  </si>
  <si>
    <t>муниципальный округ № 65</t>
  </si>
  <si>
    <t>40322000</t>
  </si>
  <si>
    <t>муниципальный округ № 7</t>
  </si>
  <si>
    <t>40307000</t>
  </si>
  <si>
    <t>муниципальный округ № 72</t>
  </si>
  <si>
    <t>40903000</t>
  </si>
  <si>
    <t>внутригородская территория города федерального значения</t>
  </si>
  <si>
    <t>муниципальный округ № 78</t>
  </si>
  <si>
    <t>40909000</t>
  </si>
  <si>
    <t>муниципальный округ Автово</t>
  </si>
  <si>
    <t>40338000</t>
  </si>
  <si>
    <t>муниципальный округ Адмиралтейский округ</t>
  </si>
  <si>
    <t>40303000</t>
  </si>
  <si>
    <t>муниципальный округ Академическое</t>
  </si>
  <si>
    <t>40329000</t>
  </si>
  <si>
    <t>муниципальный округ Александровский</t>
  </si>
  <si>
    <t>40906000</t>
  </si>
  <si>
    <t>муниципальный округ Аптекарский остров</t>
  </si>
  <si>
    <t>40392000</t>
  </si>
  <si>
    <t>муниципальный округ Балканский</t>
  </si>
  <si>
    <t>40907000</t>
  </si>
  <si>
    <t>муниципальный округ Большая Охта</t>
  </si>
  <si>
    <t>40349000</t>
  </si>
  <si>
    <t>муниципальный округ Васильевский</t>
  </si>
  <si>
    <t>40308000</t>
  </si>
  <si>
    <t>муниципальный округ Введенский</t>
  </si>
  <si>
    <t>40389000</t>
  </si>
  <si>
    <t>муниципальный округ Владимирский округ</t>
  </si>
  <si>
    <t>40913000</t>
  </si>
  <si>
    <t>муниципальный округ Волковское</t>
  </si>
  <si>
    <t>40902000</t>
  </si>
  <si>
    <t>муниципальный округ Гавань</t>
  </si>
  <si>
    <t>40309000</t>
  </si>
  <si>
    <t>муниципальный округ Гагаринское</t>
  </si>
  <si>
    <t>40374000</t>
  </si>
  <si>
    <t>муниципальный округ Георгиевский</t>
  </si>
  <si>
    <t>40905000</t>
  </si>
  <si>
    <t>муниципальный округ Горелово</t>
  </si>
  <si>
    <t>40359000</t>
  </si>
  <si>
    <t>муниципальный округ Гражданка</t>
  </si>
  <si>
    <t>40328000</t>
  </si>
  <si>
    <t>муниципальный округ Дачное</t>
  </si>
  <si>
    <t>40337000</t>
  </si>
  <si>
    <t>муниципальный округ Дворцовый округ</t>
  </si>
  <si>
    <t>40908000</t>
  </si>
  <si>
    <t>муниципальный округ Екатерингофский</t>
  </si>
  <si>
    <t>40306000</t>
  </si>
  <si>
    <t>муниципальный округ Звездное</t>
  </si>
  <si>
    <t>40377000</t>
  </si>
  <si>
    <t>муниципальный округ Ивановский</t>
  </si>
  <si>
    <t>40379000</t>
  </si>
  <si>
    <t>муниципальный округ Измайловское</t>
  </si>
  <si>
    <t>40305000</t>
  </si>
  <si>
    <t>муниципальный округ Княжево</t>
  </si>
  <si>
    <t>40335000</t>
  </si>
  <si>
    <t>муниципальный округ Коломна</t>
  </si>
  <si>
    <t>40301000</t>
  </si>
  <si>
    <t>муниципальный округ Коломяги</t>
  </si>
  <si>
    <t>40327000</t>
  </si>
  <si>
    <t>муниципальный округ Комендантский аэродром</t>
  </si>
  <si>
    <t>40324000</t>
  </si>
  <si>
    <t>муниципальный округ Константиновское</t>
  </si>
  <si>
    <t>40358000</t>
  </si>
  <si>
    <t>муниципальный округ Красненькая речка</t>
  </si>
  <si>
    <t>40340000</t>
  </si>
  <si>
    <t>муниципальный округ Кронверкское</t>
  </si>
  <si>
    <t>40390000</t>
  </si>
  <si>
    <t>муниципальный округ Купчино</t>
  </si>
  <si>
    <t>40904000</t>
  </si>
  <si>
    <t>муниципальный округ Ланское</t>
  </si>
  <si>
    <t>40323000</t>
  </si>
  <si>
    <t>муниципальный округ Лахта-Ольгино</t>
  </si>
  <si>
    <t>40321000</t>
  </si>
  <si>
    <t>муниципальный округ Лиговка-Ямская</t>
  </si>
  <si>
    <t>40912000</t>
  </si>
  <si>
    <t>муниципальный округ Литейный округ</t>
  </si>
  <si>
    <t>40910000</t>
  </si>
  <si>
    <t>муниципальный округ Малая Охта</t>
  </si>
  <si>
    <t>40350000</t>
  </si>
  <si>
    <t>муниципальный округ Морские ворота</t>
  </si>
  <si>
    <t>40341000</t>
  </si>
  <si>
    <t>муниципальный округ Морской</t>
  </si>
  <si>
    <t>40310000</t>
  </si>
  <si>
    <t>муниципальный округ Московская застава</t>
  </si>
  <si>
    <t>40373000</t>
  </si>
  <si>
    <t>муниципальный округ Нарвский округ</t>
  </si>
  <si>
    <t>40339000</t>
  </si>
  <si>
    <t>муниципальный округ Народный</t>
  </si>
  <si>
    <t>40382000</t>
  </si>
  <si>
    <t>муниципальный округ Невская застава</t>
  </si>
  <si>
    <t>40378000</t>
  </si>
  <si>
    <t>муниципальный округ Невский округ</t>
  </si>
  <si>
    <t>40384000</t>
  </si>
  <si>
    <t>муниципальный округ Новоизмайловское</t>
  </si>
  <si>
    <t>40375000</t>
  </si>
  <si>
    <t>60</t>
  </si>
  <si>
    <t>муниципальный округ Обуховский</t>
  </si>
  <si>
    <t>40380000</t>
  </si>
  <si>
    <t>61</t>
  </si>
  <si>
    <t>муниципальный округ Озеро Долгое</t>
  </si>
  <si>
    <t>40325000</t>
  </si>
  <si>
    <t>62</t>
  </si>
  <si>
    <t>муниципальный округ Оккервиль</t>
  </si>
  <si>
    <t>40385000</t>
  </si>
  <si>
    <t>63</t>
  </si>
  <si>
    <t>муниципальный округ Остров Декабристов</t>
  </si>
  <si>
    <t>40311000</t>
  </si>
  <si>
    <t>64</t>
  </si>
  <si>
    <t>муниципальный округ Пискаревка</t>
  </si>
  <si>
    <t>40332000</t>
  </si>
  <si>
    <t>65</t>
  </si>
  <si>
    <t>муниципальный округ Полюстрово</t>
  </si>
  <si>
    <t>40348000</t>
  </si>
  <si>
    <t>муниципальный округ Пороховые</t>
  </si>
  <si>
    <t>40351000</t>
  </si>
  <si>
    <t>67</t>
  </si>
  <si>
    <t>муниципальный округ Посадский</t>
  </si>
  <si>
    <t>40391000</t>
  </si>
  <si>
    <t>муниципальный округ Правобережный</t>
  </si>
  <si>
    <t>40386000</t>
  </si>
  <si>
    <t>69</t>
  </si>
  <si>
    <t>муниципальный округ Прометей</t>
  </si>
  <si>
    <t>40334000</t>
  </si>
  <si>
    <t>70</t>
  </si>
  <si>
    <t>муниципальный округ Пулковский меридиан</t>
  </si>
  <si>
    <t>40376000</t>
  </si>
  <si>
    <t>71</t>
  </si>
  <si>
    <t>муниципальный округ Ржевка</t>
  </si>
  <si>
    <t>40352000</t>
  </si>
  <si>
    <t>72</t>
  </si>
  <si>
    <t>муниципальный округ Рыбацкое</t>
  </si>
  <si>
    <t>40381000</t>
  </si>
  <si>
    <t>73</t>
  </si>
  <si>
    <t>муниципальный округ Сампсониевское</t>
  </si>
  <si>
    <t>40314000</t>
  </si>
  <si>
    <t>74</t>
  </si>
  <si>
    <t>муниципальный округ Светлановское</t>
  </si>
  <si>
    <t>40315000</t>
  </si>
  <si>
    <t>75</t>
  </si>
  <si>
    <t>муниципальный округ Северный</t>
  </si>
  <si>
    <t>40333000</t>
  </si>
  <si>
    <t>76</t>
  </si>
  <si>
    <t>муниципальный округ Семеновский</t>
  </si>
  <si>
    <t>40304000</t>
  </si>
  <si>
    <t>77</t>
  </si>
  <si>
    <t>муниципальный округ Сенной округ</t>
  </si>
  <si>
    <t>40302000</t>
  </si>
  <si>
    <t>78</t>
  </si>
  <si>
    <t>муниципальный округ Сергиевское</t>
  </si>
  <si>
    <t>40318000</t>
  </si>
  <si>
    <t>79</t>
  </si>
  <si>
    <t>муниципальный округ Смольнинское</t>
  </si>
  <si>
    <t>40911000</t>
  </si>
  <si>
    <t>80</t>
  </si>
  <si>
    <t>муниципальный округ Сосновая поляна</t>
  </si>
  <si>
    <t>40356000</t>
  </si>
  <si>
    <t>81</t>
  </si>
  <si>
    <t>муниципальный округ Сосновское</t>
  </si>
  <si>
    <t>40316000</t>
  </si>
  <si>
    <t>82</t>
  </si>
  <si>
    <t>муниципальный округ Ульянка</t>
  </si>
  <si>
    <t>40336000</t>
  </si>
  <si>
    <t>83</t>
  </si>
  <si>
    <t>муниципальный округ Урицк</t>
  </si>
  <si>
    <t>40357000</t>
  </si>
  <si>
    <t>84</t>
  </si>
  <si>
    <t>муниципальный округ Финляндский округ</t>
  </si>
  <si>
    <t>40330000</t>
  </si>
  <si>
    <t>85</t>
  </si>
  <si>
    <t>муниципальный округ Чкаловское</t>
  </si>
  <si>
    <t>40394000</t>
  </si>
  <si>
    <t>86</t>
  </si>
  <si>
    <t>муниципальный округ Шувалово-Озерки</t>
  </si>
  <si>
    <t>40319000</t>
  </si>
  <si>
    <t>87</t>
  </si>
  <si>
    <t>муниципальный округ Юго-Запад</t>
  </si>
  <si>
    <t>40354000</t>
  </si>
  <si>
    <t>88</t>
  </si>
  <si>
    <t>муниципальный округ Южно-Приморский</t>
  </si>
  <si>
    <t>40355000</t>
  </si>
  <si>
    <t>89</t>
  </si>
  <si>
    <t>муниципальный округ Юнтолово</t>
  </si>
  <si>
    <t>40326000</t>
  </si>
  <si>
    <t>90</t>
  </si>
  <si>
    <t>муниципальный округ округ Петровский</t>
  </si>
  <si>
    <t>40393000</t>
  </si>
  <si>
    <t>91</t>
  </si>
  <si>
    <t>поселок Александровская</t>
  </si>
  <si>
    <t>40398000</t>
  </si>
  <si>
    <t>92</t>
  </si>
  <si>
    <t>поселок Белоостров</t>
  </si>
  <si>
    <t>40363000</t>
  </si>
  <si>
    <t>93</t>
  </si>
  <si>
    <t>поселок Комарово</t>
  </si>
  <si>
    <t>40364000</t>
  </si>
  <si>
    <t>94</t>
  </si>
  <si>
    <t>поселок Левашово</t>
  </si>
  <si>
    <t>40312000</t>
  </si>
  <si>
    <t>95</t>
  </si>
  <si>
    <t>поселок Лисий Нос</t>
  </si>
  <si>
    <t>40320000</t>
  </si>
  <si>
    <t>96</t>
  </si>
  <si>
    <t>поселок Металлострой</t>
  </si>
  <si>
    <t>40343000</t>
  </si>
  <si>
    <t>97</t>
  </si>
  <si>
    <t>поселок Молодежное</t>
  </si>
  <si>
    <t>40365000</t>
  </si>
  <si>
    <t>98</t>
  </si>
  <si>
    <t>поселок Парголово</t>
  </si>
  <si>
    <t>40313000</t>
  </si>
  <si>
    <t>99</t>
  </si>
  <si>
    <t>поселок Песочный</t>
  </si>
  <si>
    <t>40366000</t>
  </si>
  <si>
    <t>100</t>
  </si>
  <si>
    <t>поселок Петро-Славянка</t>
  </si>
  <si>
    <t>40344000</t>
  </si>
  <si>
    <t>101</t>
  </si>
  <si>
    <t>поселок Понтонный</t>
  </si>
  <si>
    <t>40345000</t>
  </si>
  <si>
    <t>102</t>
  </si>
  <si>
    <t>поселок Репино</t>
  </si>
  <si>
    <t>40367000</t>
  </si>
  <si>
    <t>103</t>
  </si>
  <si>
    <t>поселок Саперный</t>
  </si>
  <si>
    <t>40346000</t>
  </si>
  <si>
    <t>104</t>
  </si>
  <si>
    <t>поселок Серово</t>
  </si>
  <si>
    <t>40368000</t>
  </si>
  <si>
    <t>105</t>
  </si>
  <si>
    <t>поселок Смолячково</t>
  </si>
  <si>
    <t>40369000</t>
  </si>
  <si>
    <t>106</t>
  </si>
  <si>
    <t>поселок Солнечное</t>
  </si>
  <si>
    <t>40370000</t>
  </si>
  <si>
    <t>107</t>
  </si>
  <si>
    <t>поселок Стрельна</t>
  </si>
  <si>
    <t>40396000</t>
  </si>
  <si>
    <t>108</t>
  </si>
  <si>
    <t>поселок Тярлево</t>
  </si>
  <si>
    <t>40388000</t>
  </si>
  <si>
    <t>109</t>
  </si>
  <si>
    <t>поселок Усть-Ижора</t>
  </si>
  <si>
    <t>40347000</t>
  </si>
  <si>
    <t>110</t>
  </si>
  <si>
    <t>поселок Ушково</t>
  </si>
  <si>
    <t>40371000</t>
  </si>
  <si>
    <t>111</t>
  </si>
  <si>
    <t>поселок Шушары</t>
  </si>
  <si>
    <t>40901000</t>
  </si>
  <si>
    <t>112</t>
  </si>
  <si>
    <t>NUMBER_POINT</t>
  </si>
  <si>
    <t>L_NAME</t>
  </si>
  <si>
    <t>L_START_DATE</t>
  </si>
  <si>
    <t>L_END_DATE</t>
  </si>
  <si>
    <t>Инвестиционная программа ООО "Генерирующая компания "Обуховоэнерго" на 2018-2020 годы</t>
  </si>
  <si>
    <t>01.01.2018</t>
  </si>
  <si>
    <t>31.12.2020</t>
  </si>
  <si>
    <t>Инвестиционная программа от 08.12.2023 ООО "ИТЭ" в сфере теплоснабжения по комплексному развитию систем теплоснабжения на 2024 год</t>
  </si>
  <si>
    <t>01.01.2024</t>
  </si>
  <si>
    <t>31.12.2024</t>
  </si>
  <si>
    <t>Инвестиционная программа от 09.11.2018 АО "Юго-Западная ТЭЦ" в сфере теплоснабжения по комплексному развитию систем теплоснабжения на 2019-2023 годы</t>
  </si>
  <si>
    <t>01.01.2019</t>
  </si>
  <si>
    <t>31.12.2023</t>
  </si>
  <si>
    <t>Инвестиционная программа от 12.11.2018 АО "ГСР ТЭЦ" в сфере теплоснабжения по комплексному развитию системы теплоснабжения на 2019-2023 годы</t>
  </si>
  <si>
    <t>Инвестиционная программа от 13.10.2023 ООО "ТСК" в сфере теплоснабжения по реконструкции систем инженерной инфраструктуры на 2024-2025 годы</t>
  </si>
  <si>
    <t>31.12.2025</t>
  </si>
  <si>
    <t>Инвестиционная программа от 14.12.2018 АО "Теплосеть Санкт-Петербурга" в сфере теплоснабжения по комплексному развитию систем теплоснабжения на 2019-2023 годы</t>
  </si>
  <si>
    <t>Инвестиционная программа от 14.12.2018 ГУП "ТЭК СПб" в сфере теплоснабжения по комплексному развитию систем теплоснабжения на 2019-2023 годы</t>
  </si>
  <si>
    <t>Инвестиционная программа от 14.12.2018 ООО "Петербургтеплоэнерго" в сфере теплоснабжения по комплексному развитию системы теплоснабжения на 2019-2023 годы</t>
  </si>
  <si>
    <t>Инвестиционная программа от 14.12.2018 ПАО "ТГК-1" филиал "Невский" в сфере теплоснабжения по комплексному развитию систем теплоснабжения на 2019-2023 годы</t>
  </si>
  <si>
    <t>Инвестиционная программа от 19.11.2021 ООО "ГЕНЕРИРУЮЩАЯ КОМПАНИЯ "ОБУХОВОЭНЕРГО" в сфере теплоснабжения по комплексному развитию систем теплоснабжения на 2022-2025 годы</t>
  </si>
  <si>
    <t>01.01.2022</t>
  </si>
  <si>
    <t>Инвестиционная программа от 30.10.2019 ООО "ТЕПЛОЭНЕРГО" в сфере теплоснабжения по модернизации, реконструкции и техническому перевооружению котельных и тепловых сетей на 2020-2024 годы</t>
  </si>
  <si>
    <t>01.01.2020</t>
  </si>
  <si>
    <t>Инвестиционная программа от 30.10.2020 ООО "ТСК" в сфере теплоснабжения по реконструкции объектов тепловой сети на 2021 год</t>
  </si>
  <si>
    <t>01.01.2021</t>
  </si>
  <si>
    <t>31.12.2021</t>
  </si>
  <si>
    <t>Инвестиционная программа от 30.10.2023 АО "ГСР ТЭЦ" в сфере теплоснабжения по комплексному развитию системы теплоснабжения на 2024-2027 годы</t>
  </si>
  <si>
    <t>31.12.2027</t>
  </si>
  <si>
    <t>Инвестиционная программа от 30.10.2023 АО "ГСР ТЭЦ" в сфере теплоснабжения по комплексному развитию системы теплоснабжения на 2024-2028 годы</t>
  </si>
  <si>
    <t>31.12.2028</t>
  </si>
  <si>
    <t>Инвестиционная программа от 30.10.2023 АО "Теплосеть Санкт-Петербурга" в сфере теплоснабжения по комплексному развитию систем теплоснабжения на 2024-2028 годы</t>
  </si>
  <si>
    <t>Инвестиционная программа от 30.10.2023 АО "Юго-Западная ТЭЦ" в сфере теплоснабжения по развитию и модернизации системы теплоснабжения на 2024-2028 годы</t>
  </si>
  <si>
    <t>Инвестиционная программа от 30.10.2023 ГУП "ТЭК СПб" в сфере теплоснабжения по комплексному развитию систем теплоснабжения на 2024-2028 годы</t>
  </si>
  <si>
    <t>Инвестиционная программа от 30.10.2023 ООО "Петербургтеплоэнерго" в сфере теплоснабжения по комплексному развитию систем теплоснабжения на 2024-2028 годы</t>
  </si>
  <si>
    <t>Инвестиционная программа от 30.10.2023 ПАО "ТГК-1" филиал "Невский" в сфере теплоснабжения по комплексному развитию систем теплоснабжения на 2024-2028 годы</t>
  </si>
  <si>
    <t>TER_NAME</t>
  </si>
  <si>
    <t>Территория 1</t>
  </si>
  <si>
    <t>ID_TARIFF_NAME</t>
  </si>
  <si>
    <t>TARIFF_NAME</t>
  </si>
  <si>
    <t>VED_NAME</t>
  </si>
  <si>
    <t>4190064</t>
  </si>
  <si>
    <t>4190065</t>
  </si>
  <si>
    <t>4190066</t>
  </si>
  <si>
    <t>4190068</t>
  </si>
  <si>
    <t>4190069</t>
  </si>
  <si>
    <t>4190070</t>
  </si>
  <si>
    <t>4190071</t>
  </si>
  <si>
    <t>4190072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</si>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</sst>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605">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Font="0" applyNumberFormat="1">
      <alignment vertical="top"/>
    </xf>
    <xf numFmtId="41" fontId="6" fillId="0" borderId="0" xfId="29" applyFont="0" applyNumberFormat="1">
      <alignment vertical="top"/>
    </xf>
    <xf numFmtId="44" fontId="6" fillId="0" borderId="0" xfId="30" applyFont="0" applyNumberFormat="1">
      <alignment vertical="top"/>
    </xf>
    <xf numFmtId="42"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ont="0" applyFill="1" applyBorder="1">
      <alignment vertical="top"/>
    </xf>
    <xf numFmtId="0" fontId="15" fillId="27" borderId="8" xfId="42" applyFont="1" applyFill="1" applyBorder="1">
      <alignment vertical="top"/>
    </xf>
    <xf numFmtId="9" fontId="6" fillId="0" borderId="0" xfId="43" applyFont="0"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0" fontId="19" fillId="0" borderId="0" xfId="0" applyFont="1">
      <alignment vertical="top" wrapText="1"/>
    </xf>
    <xf numFmtId="49" fontId="19" fillId="0" borderId="0" xfId="0" applyFont="1" applyNumberFormat="1">
      <alignment vertical="top"/>
    </xf>
    <xf numFmtId="49" fontId="19" fillId="33" borderId="10" xfId="0" applyFont="1" applyFill="1" applyBorder="1" applyNumberFormat="1">
      <alignment horizontal="center" vertical="top"/>
    </xf>
    <xf numFmtId="0" fontId="19" fillId="0" borderId="0" xfId="0" applyFont="1"/>
    <xf numFmtId="0" fontId="19" fillId="34" borderId="0" xfId="0" applyFont="1" applyFill="1"/>
    <xf numFmtId="0" fontId="20" fillId="0" borderId="0" xfId="0" applyFont="1">
      <alignment vertical="center" wrapText="1"/>
    </xf>
    <xf numFmtId="0" fontId="21" fillId="0" borderId="0" xfId="0" applyFont="1">
      <alignment vertical="center" wrapText="1"/>
    </xf>
    <xf numFmtId="0" fontId="19" fillId="34" borderId="0" xfId="0" applyFont="1" applyFill="1">
      <alignment vertical="center" wrapText="1"/>
    </xf>
    <xf numFmtId="0" fontId="19" fillId="0" borderId="0" xfId="0" applyFont="1">
      <alignment vertical="center" wrapText="1"/>
    </xf>
    <xf numFmtId="0" fontId="22" fillId="34" borderId="0" xfId="0" applyFont="1" applyFill="1">
      <alignment vertical="center" wrapText="1"/>
    </xf>
    <xf numFmtId="0" fontId="19" fillId="34" borderId="0" xfId="0" applyFont="1" applyFill="1">
      <alignment horizontal="right" vertical="center" wrapText="1" indent="1"/>
    </xf>
    <xf numFmtId="0" fontId="19" fillId="34" borderId="0" xfId="0" applyFont="1" applyFill="1">
      <alignment horizontal="center" vertical="center" wrapText="1"/>
    </xf>
    <xf numFmtId="0" fontId="21" fillId="0" borderId="0" xfId="0" applyFont="1">
      <alignment horizontal="center" vertical="center" wrapText="1"/>
    </xf>
    <xf numFmtId="0" fontId="23" fillId="34" borderId="0" xfId="0" applyFont="1" applyFill="1">
      <alignment horizontal="center" vertical="center" wrapText="1"/>
    </xf>
    <xf numFmtId="0" fontId="19" fillId="0" borderId="0" xfId="0" applyFon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lignment vertical="center" wrapText="1"/>
    </xf>
    <xf numFmtId="0" fontId="19" fillId="34" borderId="0" xfId="0" applyFont="1" applyFill="1">
      <alignment vertical="center" wrapText="1"/>
    </xf>
    <xf numFmtId="0" fontId="19" fillId="34" borderId="0" xfId="0" applyFont="1" applyFill="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0" fontId="25" fillId="34" borderId="0" xfId="0" applyFont="1" applyFill="1">
      <alignment horizontal="center" vertical="center" wrapText="1"/>
    </xf>
    <xf numFmtId="0" fontId="25" fillId="0" borderId="0" xfId="0" applyFont="1">
      <alignment horizontal="center" vertical="center"/>
    </xf>
    <xf numFmtId="0" fontId="25" fillId="34" borderId="0" xfId="0" applyFont="1" applyFill="1">
      <alignment horizontal="center" vertical="center"/>
    </xf>
    <xf numFmtId="49" fontId="26" fillId="0" borderId="11" xfId="0" applyFont="1" applyBorder="1" applyNumberFormat="1">
      <alignment vertical="top" wrapText="1"/>
    </xf>
    <xf numFmtId="0" fontId="0" fillId="0" borderId="11" xfId="0" applyFont="1" applyBorder="1">
      <alignment vertical="top" wrapText="1"/>
    </xf>
    <xf numFmtId="0" fontId="27" fillId="0" borderId="0" xfId="0" applyFont="1"/>
    <xf numFmtId="0" fontId="19" fillId="34" borderId="0" xfId="0" applyFont="1" applyFill="1">
      <alignment horizontal="center" vertical="center" wrapText="1"/>
    </xf>
    <xf numFmtId="0" fontId="28" fillId="34" borderId="0" xfId="0" applyFont="1" applyFill="1">
      <alignment vertical="center" wrapText="1"/>
    </xf>
    <xf numFmtId="0" fontId="28" fillId="0" borderId="0" xfId="0" applyFont="1">
      <alignment vertical="center" wrapText="1"/>
    </xf>
    <xf numFmtId="0" fontId="20" fillId="0" borderId="0" xfId="0" applyFont="1">
      <alignment horizontal="left" vertical="center" wrapText="1"/>
    </xf>
    <xf numFmtId="49" fontId="20" fillId="0" borderId="0" xfId="0" applyFont="1" applyNumberFormat="1">
      <alignment horizontal="left" vertical="center" wrapText="1"/>
    </xf>
    <xf numFmtId="0" fontId="0" fillId="0" borderId="0" xfId="0" applyFon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lignment vertical="center" wrapText="1"/>
    </xf>
    <xf numFmtId="0" fontId="0" fillId="0" borderId="0" xfId="0" applyFont="1">
      <alignment vertical="center"/>
    </xf>
    <xf numFmtId="0" fontId="19" fillId="34" borderId="12" xfId="0" applyFont="1" applyFill="1" applyBorder="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lignment horizontal="center" vertical="center" wrapText="1"/>
    </xf>
    <xf numFmtId="0" fontId="19" fillId="36" borderId="14" xfId="0" applyFont="1" applyFill="1" applyBorder="1">
      <alignment vertical="center" wrapText="1"/>
    </xf>
    <xf numFmtId="0" fontId="19" fillId="0" borderId="12" xfId="0" applyFont="1" applyBorder="1">
      <alignment horizontal="center" vertical="center" wrapText="1"/>
    </xf>
    <xf numFmtId="0" fontId="30" fillId="0" borderId="0" xfId="0" applyFont="1">
      <alignment vertical="center"/>
    </xf>
    <xf numFmtId="49" fontId="19" fillId="0" borderId="12" xfId="0" applyFont="1" applyBorder="1" applyNumberFormat="1">
      <alignment horizontal="center" vertical="center" wrapText="1"/>
    </xf>
    <xf numFmtId="0" fontId="19" fillId="34" borderId="12" xfId="0" applyFont="1" applyFill="1" applyBorder="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lignment vertical="center" wrapText="1"/>
    </xf>
    <xf numFmtId="0" fontId="31" fillId="0" borderId="0" xfId="0" applyFon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xf numFmtId="0" fontId="32" fillId="34" borderId="0" xfId="0" applyFont="1" applyFill="1">
      <alignment horizontal="center" vertical="center" wrapText="1"/>
    </xf>
    <xf numFmtId="0" fontId="20" fillId="34" borderId="0" xfId="0" applyFont="1" applyFill="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lignment vertical="center"/>
    </xf>
    <xf numFmtId="0" fontId="0" fillId="0" borderId="0" xfId="0" applyFon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lignment horizontal="center" vertical="center" wrapText="1"/>
    </xf>
    <xf numFmtId="49" fontId="19" fillId="0" borderId="0" xfId="0" applyFont="1" applyNumberFormat="1">
      <alignment vertical="top"/>
    </xf>
    <xf numFmtId="0" fontId="0" fillId="0" borderId="0" xfId="0" applyFont="1">
      <alignment vertical="center"/>
    </xf>
    <xf numFmtId="0" fontId="35" fillId="0" borderId="0" xfId="0" applyFont="1">
      <alignment vertical="center" wrapText="1"/>
    </xf>
    <xf numFmtId="49" fontId="19" fillId="0" borderId="16" xfId="0" applyFont="1" applyBorder="1" applyNumberFormat="1">
      <alignment vertical="top"/>
    </xf>
    <xf numFmtId="0" fontId="27" fillId="0" borderId="0" xfId="0" applyFont="1"/>
    <xf numFmtId="49" fontId="36" fillId="0" borderId="0" xfId="0" applyFont="1" applyNumberFormat="1">
      <alignment vertical="top"/>
    </xf>
    <xf numFmtId="0" fontId="36" fillId="0" borderId="0" xfId="0" applyFont="1">
      <alignment vertical="center" wrapText="1"/>
    </xf>
    <xf numFmtId="49" fontId="0" fillId="34" borderId="12" xfId="0" applyFont="1" applyFill="1" applyBorder="1" applyNumberFormat="1">
      <alignment horizontal="center" vertical="center" wrapText="1"/>
    </xf>
    <xf numFmtId="0" fontId="20" fillId="0" borderId="0" xfId="0" applyFon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lignment horizontal="center" vertical="center"/>
    </xf>
    <xf numFmtId="0" fontId="19" fillId="0" borderId="12" xfId="0" applyFont="1" applyBorder="1">
      <alignment vertical="center" wrapText="1"/>
    </xf>
    <xf numFmtId="0" fontId="37"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top" wrapText="1"/>
    </xf>
    <xf numFmtId="49" fontId="19" fillId="0" borderId="12" xfId="0" applyFont="1" applyBorder="1" applyNumberFormat="1">
      <alignment horizontal="center" vertical="center" wrapText="1"/>
    </xf>
    <xf numFmtId="0" fontId="3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25" fillId="0" borderId="0" xfId="0" applyFont="1">
      <alignment horizontal="center" vertical="center" wrapText="1"/>
    </xf>
    <xf numFmtId="0" fontId="25" fillId="0" borderId="0" xfId="0" applyFont="1">
      <alignment horizontal="center" vertical="center" wrapText="1"/>
    </xf>
    <xf numFmtId="0" fontId="19" fillId="0" borderId="0" xfId="0" applyFont="1">
      <alignment horizontal="right" vertical="center" wrapText="1"/>
    </xf>
    <xf numFmtId="4" fontId="19" fillId="0" borderId="0" xfId="0" applyFont="1" applyNumberFormat="1">
      <alignment horizontal="right" vertical="center" wrapText="1"/>
    </xf>
    <xf numFmtId="0" fontId="19" fillId="0" borderId="0" xfId="0" applyFon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lignment vertical="center" wrapText="1"/>
    </xf>
    <xf numFmtId="0" fontId="34" fillId="0" borderId="0" xfId="0" applyFont="1">
      <alignment vertical="center" wrapText="1"/>
    </xf>
    <xf numFmtId="0" fontId="40" fillId="0" borderId="0" xfId="0" applyFon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lignment vertical="center"/>
    </xf>
    <xf numFmtId="49" fontId="0" fillId="36" borderId="15" xfId="0" applyFont="1" applyFill="1" applyBorder="1" applyNumberFormat="1">
      <alignment horizontal="right" vertical="center" wrapText="1"/>
    </xf>
    <xf numFmtId="0" fontId="39" fillId="0" borderId="11" xfId="0" applyFont="1" applyBorder="1">
      <alignment vertical="center" wrapText="1"/>
    </xf>
    <xf numFmtId="0" fontId="35" fillId="0" borderId="0" xfId="0" applyFont="1">
      <alignment vertical="top" wrapText="1"/>
    </xf>
    <xf numFmtId="0" fontId="19" fillId="0" borderId="11" xfId="0" applyFont="1" applyBorder="1">
      <alignment vertical="center" wrapText="1"/>
    </xf>
    <xf numFmtId="49" fontId="19" fillId="0" borderId="0" xfId="0" applyFont="1" applyNumberFormat="1">
      <alignment vertical="top"/>
    </xf>
    <xf numFmtId="0" fontId="19" fillId="34" borderId="0" xfId="0" applyFont="1" applyFill="1">
      <alignment horizontal="right" vertical="center"/>
    </xf>
    <xf numFmtId="0" fontId="0" fillId="0" borderId="12" xfId="0" applyFont="1" applyBorder="1">
      <alignment horizontal="left" vertical="center" wrapText="1" indent="1"/>
    </xf>
    <xf numFmtId="0" fontId="0" fillId="38" borderId="12" xfId="0" applyFont="1" applyFill="1" applyBorder="1">
      <alignment horizontal="left" vertical="center" wrapText="1" indent="2"/>
      <protection locked="0"/>
    </xf>
    <xf numFmtId="49" fontId="3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lignment vertical="top" wrapText="1"/>
    </xf>
    <xf numFmtId="0" fontId="25" fillId="0" borderId="0" xfId="0" applyFont="1">
      <alignment horizontal="center" vertical="center" wrapText="1"/>
    </xf>
    <xf numFmtId="49" fontId="0" fillId="0" borderId="17" xfId="0" applyFont="1" applyBorder="1" applyNumberFormat="1">
      <alignment vertical="top"/>
    </xf>
    <xf numFmtId="0" fontId="37" fillId="0" borderId="0" xfId="0" applyFont="1">
      <alignment vertical="center"/>
    </xf>
    <xf numFmtId="0" fontId="42" fillId="0" borderId="0" xfId="0" applyFon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lignment horizontal="center" vertical="center" wrapText="1"/>
    </xf>
    <xf numFmtId="0" fontId="35" fillId="0" borderId="0" xfId="0" applyFont="1">
      <alignment vertical="center" wrapText="1"/>
    </xf>
    <xf numFmtId="0" fontId="37" fillId="0" borderId="0" xfId="0" applyFont="1">
      <alignment horizontal="center" vertical="center" wrapText="1"/>
    </xf>
    <xf numFmtId="0" fontId="0" fillId="0" borderId="12" xfId="0" applyFont="1" applyBorder="1">
      <alignment horizontal="left" vertical="center" wrapText="1"/>
    </xf>
    <xf numFmtId="49" fontId="24" fillId="0" borderId="15" xfId="0" applyFont="1" applyBorder="1" applyNumberFormat="1">
      <alignment horizontal="center" vertical="center" wrapText="1"/>
    </xf>
    <xf numFmtId="0" fontId="44" fillId="0" borderId="0" xfId="0" applyFont="1">
      <alignment vertical="center"/>
    </xf>
    <xf numFmtId="0" fontId="45" fillId="0" borderId="0" xfId="0" applyFont="1">
      <alignment vertical="center"/>
    </xf>
    <xf numFmtId="0" fontId="37" fillId="0" borderId="0" xfId="0" applyFont="1">
      <alignment vertical="center"/>
    </xf>
    <xf numFmtId="0" fontId="37" fillId="0" borderId="0" xfId="0" applyFont="1">
      <alignment horizontal="left" vertical="center" wrapText="1" indent="1"/>
    </xf>
    <xf numFmtId="0" fontId="36" fillId="0" borderId="0" xfId="0" applyFont="1">
      <alignment horizontal="left" vertical="center" wrapText="1" indent="1"/>
    </xf>
    <xf numFmtId="0" fontId="46" fillId="0" borderId="0" xfId="0" applyFont="1">
      <alignment horizontal="left" vertical="center" wrapText="1" indent="1"/>
    </xf>
    <xf numFmtId="0" fontId="47" fillId="0" borderId="0" xfId="0" applyFont="1">
      <alignment horizontal="left" vertical="center" indent="1"/>
    </xf>
    <xf numFmtId="0" fontId="46" fillId="0" borderId="0" xfId="0" applyFont="1">
      <alignment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50" fillId="34" borderId="0" xfId="0" applyFont="1" applyFill="1">
      <alignment horizontal="right" vertical="center" wrapText="1" indent="1"/>
    </xf>
    <xf numFmtId="0" fontId="52" fillId="34" borderId="0" xfId="0" applyFont="1" applyFill="1">
      <alignment horizontal="center" vertical="center" wrapText="1"/>
    </xf>
    <xf numFmtId="0" fontId="48" fillId="34" borderId="0" xfId="0" applyFont="1" applyFill="1">
      <alignment horizontal="center" vertical="center" wrapText="1"/>
    </xf>
    <xf numFmtId="0" fontId="50" fillId="34" borderId="0" xfId="0" applyFont="1" applyFill="1">
      <alignment horizontal="left" vertical="center" wrapText="1" indent="1"/>
    </xf>
    <xf numFmtId="0" fontId="53" fillId="0" borderId="0" xfId="0" applyFont="1">
      <alignment horizontal="left" vertical="center" wrapText="1"/>
    </xf>
    <xf numFmtId="0" fontId="53" fillId="0" borderId="0" xfId="0" applyFont="1">
      <alignment vertical="center" wrapText="1"/>
    </xf>
    <xf numFmtId="0" fontId="50" fillId="0" borderId="0" xfId="0" applyFont="1">
      <alignment vertical="center" wrapText="1"/>
    </xf>
    <xf numFmtId="0" fontId="50" fillId="0" borderId="0" xfId="0" applyFont="1">
      <alignment horizontal="right" vertical="center"/>
    </xf>
    <xf numFmtId="49" fontId="19" fillId="0" borderId="0" xfId="0" applyFont="1" applyNumberFormat="1">
      <alignment vertical="center" wrapText="1"/>
    </xf>
    <xf numFmtId="0" fontId="0" fillId="0" borderId="0" xfId="0" applyFont="1">
      <alignment horizontal="left" vertical="center" indent="1"/>
    </xf>
    <xf numFmtId="0" fontId="37" fillId="0" borderId="0" xfId="0" applyFont="1">
      <alignment horizontal="left" vertical="center" indent="1"/>
    </xf>
    <xf numFmtId="0" fontId="37" fillId="0" borderId="0" xfId="0" applyFont="1">
      <alignment horizontal="left" vertical="center" indent="1"/>
    </xf>
    <xf numFmtId="0" fontId="37" fillId="0" borderId="22" xfId="0" applyFont="1" applyBorder="1">
      <alignment vertical="center"/>
    </xf>
    <xf numFmtId="0" fontId="19"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lignment horizontal="left" vertical="center" wrapText="1" indent="2"/>
    </xf>
    <xf numFmtId="0" fontId="19" fillId="0" borderId="12" xfId="0" applyFont="1" applyBorder="1">
      <alignment vertical="top" wrapText="1"/>
    </xf>
    <xf numFmtId="0" fontId="0" fillId="38" borderId="12" xfId="0" applyFont="1" applyFill="1" applyBorder="1">
      <alignment horizontal="left" vertical="center" wrapText="1"/>
      <protection locked="0"/>
    </xf>
    <xf numFmtId="0" fontId="19" fillId="0" borderId="12" xfId="0" applyFont="1" applyBorder="1">
      <alignment horizontal="left" vertical="top" wrapText="1"/>
    </xf>
    <xf numFmtId="0" fontId="19" fillId="0" borderId="12" xfId="0" applyFont="1" applyBorder="1">
      <alignment horizontal="left" vertical="center" wrapText="1"/>
    </xf>
    <xf numFmtId="0" fontId="19" fillId="0" borderId="12" xfId="0" applyFont="1" applyBorder="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xf numFmtId="0" fontId="54" fillId="0" borderId="0" xfId="0" applyFont="1">
      <alignment vertical="center" wrapText="1"/>
    </xf>
    <xf numFmtId="0" fontId="54" fillId="0" borderId="0" xfId="0" applyFont="1">
      <alignment vertical="center" wrapText="1"/>
    </xf>
    <xf numFmtId="0" fontId="54" fillId="0" borderId="0" xfId="0" applyFont="1"/>
    <xf numFmtId="49" fontId="55" fillId="0" borderId="0" xfId="0" applyFont="1" applyNumberFormat="1">
      <alignment vertical="top"/>
    </xf>
    <xf numFmtId="49" fontId="56" fillId="0" borderId="0" xfId="0" applyFont="1" applyNumberFormat="1">
      <alignment vertical="top"/>
    </xf>
    <xf numFmtId="0" fontId="19" fillId="0" borderId="0" xfId="0" applyFon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lignment vertical="top"/>
    </xf>
    <xf numFmtId="49" fontId="37" fillId="0" borderId="0" xfId="0" applyFont="1" applyNumberFormat="1">
      <alignment vertical="top"/>
    </xf>
    <xf numFmtId="0" fontId="0" fillId="0" borderId="0" xfId="0" applyFont="1">
      <alignment vertical="top"/>
    </xf>
    <xf numFmtId="49" fontId="19" fillId="0" borderId="12" xfId="0" applyFont="1" applyBorder="1" applyNumberFormat="1">
      <alignment horizontal="right" vertical="center"/>
    </xf>
    <xf numFmtId="0" fontId="57" fillId="0" borderId="0" xfId="0" applyFont="1">
      <alignment vertical="center"/>
    </xf>
    <xf numFmtId="0" fontId="37" fillId="0" borderId="0" xfId="0" applyFont="1">
      <alignment vertical="center"/>
    </xf>
    <xf numFmtId="0" fontId="35" fillId="0" borderId="0" xfId="0" applyFont="1">
      <alignment horizontal="center" vertical="center" wrapText="1"/>
    </xf>
    <xf numFmtId="0" fontId="0" fillId="0" borderId="0" xfId="0" applyFont="1">
      <alignment horizontal="center" vertical="center"/>
    </xf>
    <xf numFmtId="0" fontId="37" fillId="0" borderId="0" xfId="0" applyFont="1">
      <alignment vertical="center" wrapText="1"/>
    </xf>
    <xf numFmtId="0" fontId="19" fillId="0" borderId="12" xfId="0" applyFont="1" applyBorder="1">
      <alignment horizontal="left" vertical="center" wrapText="1"/>
    </xf>
    <xf numFmtId="0" fontId="58" fillId="0" borderId="0" xfId="0" applyFont="1">
      <alignment vertical="center"/>
    </xf>
    <xf numFmtId="49" fontId="24" fillId="34" borderId="0" xfId="0" applyFont="1" applyFill="1" applyNumberFormat="1">
      <alignment horizontal="center" vertical="center" wrapText="1"/>
    </xf>
    <xf numFmtId="0" fontId="0" fillId="0" borderId="0" xfId="0" applyFont="1">
      <alignment vertical="center"/>
    </xf>
    <xf numFmtId="0" fontId="19" fillId="0" borderId="12" xfId="0" applyFont="1" applyBorder="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lignment horizontal="left" vertical="center" wrapText="1" indent="4"/>
    </xf>
    <xf numFmtId="0" fontId="19" fillId="34" borderId="12" xfId="0" applyFont="1" applyFill="1" applyBorder="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lignment vertical="center" wrapText="1"/>
    </xf>
    <xf numFmtId="0" fontId="35" fillId="0" borderId="0" xfId="0" applyFont="1">
      <alignment vertical="center" wrapText="1"/>
    </xf>
    <xf numFmtId="0" fontId="59" fillId="34" borderId="0" xfId="0" applyFont="1" applyFill="1">
      <alignment vertical="center" wrapText="1"/>
    </xf>
    <xf numFmtId="49" fontId="19" fillId="0" borderId="12" xfId="0" applyFont="1" applyBorder="1" applyNumberFormat="1">
      <alignment horizontal="center" vertical="center" wrapText="1"/>
    </xf>
    <xf numFmtId="49" fontId="29" fillId="36" borderId="14" xfId="0" applyFont="1" applyFill="1" applyBorder="1" applyNumberFormat="1">
      <alignment horizontal="left" vertical="center" indent="1"/>
    </xf>
    <xf numFmtId="0" fontId="0" fillId="34" borderId="12" xfId="0" applyFont="1" applyFill="1" applyBorder="1">
      <alignment horizontal="right" vertical="center" wrapText="1" indent="1"/>
    </xf>
    <xf numFmtId="49" fontId="0" fillId="0" borderId="12" xfId="0" applyFont="1" applyBorder="1" applyNumberFormat="1">
      <alignment horizontal="left" vertical="center"/>
    </xf>
    <xf numFmtId="0" fontId="19" fillId="0" borderId="12" xfId="0" applyFont="1" applyBorder="1">
      <alignment vertical="top" wrapText="1"/>
    </xf>
    <xf numFmtId="0" fontId="19" fillId="0" borderId="12" xfId="0" applyFont="1" applyBorder="1">
      <alignment vertical="center" wrapText="1"/>
    </xf>
    <xf numFmtId="0" fontId="57" fillId="0" borderId="0" xfId="0" applyFont="1">
      <alignment vertical="center"/>
    </xf>
    <xf numFmtId="0" fontId="19" fillId="0" borderId="12" xfId="0" applyFont="1" applyBorder="1">
      <alignment horizontal="left" vertical="center" wrapText="1" indent="6"/>
    </xf>
    <xf numFmtId="0" fontId="19" fillId="0" borderId="17" xfId="0" applyFont="1" applyBorder="1">
      <alignment vertical="center" wrapText="1"/>
    </xf>
    <xf numFmtId="0" fontId="19" fillId="0" borderId="23" xfId="0" applyFont="1" applyBorder="1">
      <alignment vertical="center" wrapText="1"/>
    </xf>
    <xf numFmtId="49" fontId="0" fillId="36" borderId="13" xfId="0" applyFont="1" applyFill="1" applyBorder="1" applyNumberFormat="1">
      <alignment horizontal="center" vertical="center" wrapText="1"/>
    </xf>
    <xf numFmtId="0" fontId="0" fillId="0" borderId="14" xfId="0" applyFont="1" applyBorder="1">
      <alignment vertical="center"/>
    </xf>
    <xf numFmtId="172" fontId="0" fillId="38" borderId="12" xfId="0" applyFont="1" applyFill="1" applyBorder="1" applyNumberFormat="1">
      <alignment horizontal="right" vertical="center"/>
      <protection locked="0"/>
    </xf>
    <xf numFmtId="0" fontId="0" fillId="34" borderId="14" xfId="0" applyFont="1" applyFill="1" applyBorder="1">
      <alignment horizontal="right" vertical="center" wrapText="1" indent="1"/>
    </xf>
    <xf numFmtId="49" fontId="20" fillId="0" borderId="0" xfId="0" applyFont="1" applyNumberFormat="1">
      <alignment vertical="top"/>
    </xf>
    <xf numFmtId="0" fontId="28" fillId="34" borderId="0" xfId="0" applyFont="1" applyFill="1">
      <alignment vertical="center" wrapText="1"/>
    </xf>
    <xf numFmtId="49" fontId="60" fillId="36" borderId="14" xfId="0" applyFont="1" applyFill="1" applyBorder="1" applyNumberFormat="1">
      <alignment horizontal="center" vertical="center"/>
    </xf>
    <xf numFmtId="0" fontId="19" fillId="34" borderId="12" xfId="0" applyFont="1" applyFill="1" applyBorder="1">
      <alignment horizontal="left" vertical="center" wrapText="1" indent="1"/>
    </xf>
    <xf numFmtId="0" fontId="19" fillId="34" borderId="12" xfId="0" applyFont="1" applyFill="1" applyBorder="1">
      <alignment horizontal="left" vertical="center" wrapText="1" indent="2"/>
    </xf>
    <xf numFmtId="0" fontId="19" fillId="34" borderId="12" xfId="0" applyFont="1" applyFill="1" applyBorder="1">
      <alignment horizontal="left" vertical="center" wrapText="1" indent="3"/>
    </xf>
    <xf numFmtId="0" fontId="19" fillId="0" borderId="12" xfId="0" applyFont="1" applyBorder="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lignment vertical="center" wrapText="1"/>
    </xf>
    <xf numFmtId="49" fontId="19" fillId="0" borderId="12" xfId="0" applyFont="1" applyBorder="1" applyNumberFormat="1">
      <alignment vertical="center" wrapText="1"/>
    </xf>
    <xf numFmtId="0" fontId="19" fillId="0" borderId="0" xfId="0" applyFon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0" fillId="0" borderId="0" xfId="0" applyFont="1">
      <alignment horizontal="right" vertical="center" wrapText="1" indent="1"/>
    </xf>
    <xf numFmtId="0" fontId="39" fillId="34" borderId="0" xfId="0" applyFont="1" applyFill="1">
      <alignment horizontal="center" vertical="center" wrapText="1"/>
    </xf>
    <xf numFmtId="49" fontId="60" fillId="36" borderId="15" xfId="0" applyFont="1" applyFill="1" applyBorder="1" applyNumberFormat="1">
      <alignment horizontal="left" vertical="center"/>
    </xf>
    <xf numFmtId="0" fontId="19" fillId="0" borderId="0" xfId="0" applyFon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lignment vertical="center" wrapText="1"/>
    </xf>
    <xf numFmtId="0" fontId="19" fillId="0" borderId="0" xfId="0" applyFont="1">
      <alignment vertical="center" wrapText="1"/>
    </xf>
    <xf numFmtId="4" fontId="3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61" fillId="0" borderId="14" xfId="0" applyFont="1" applyBorder="1" applyNumberFormat="1">
      <alignment horizontal="left" vertical="center" wrapText="1"/>
    </xf>
    <xf numFmtId="0" fontId="57" fillId="0" borderId="12" xfId="0" applyFont="1" applyBorder="1">
      <alignment horizontal="left" vertical="center" wrapText="1" indent="2"/>
    </xf>
    <xf numFmtId="49" fontId="57" fillId="0" borderId="12" xfId="0" applyFont="1" applyBorder="1" applyNumberFormat="1">
      <alignment horizontal="center" vertical="center" wrapText="1"/>
    </xf>
    <xf numFmtId="0" fontId="62" fillId="0" borderId="0" xfId="0" applyFont="1">
      <alignment vertical="center" wrapText="1"/>
    </xf>
    <xf numFmtId="0" fontId="19" fillId="0" borderId="0" xfId="0" applyFont="1">
      <alignment vertical="top"/>
    </xf>
    <xf numFmtId="0" fontId="19" fillId="0" borderId="0" xfId="0" applyFont="1">
      <alignment horizontal="right" vertical="top" wrapText="1"/>
    </xf>
    <xf numFmtId="0" fontId="19" fillId="0" borderId="17" xfId="0" applyFont="1" applyBorder="1">
      <alignment vertical="center" wrapText="1"/>
    </xf>
    <xf numFmtId="49" fontId="33" fillId="36" borderId="15" xfId="0" applyFont="1" applyFill="1" applyBorder="1" applyNumberFormat="1">
      <alignment horizontal="center" vertical="top"/>
    </xf>
    <xf numFmtId="0" fontId="19" fillId="0" borderId="23" xfId="0" applyFont="1" applyBorder="1">
      <alignment vertical="top" wrapText="1"/>
    </xf>
    <xf numFmtId="0" fontId="0" fillId="0" borderId="0" xfId="0" applyFont="1">
      <alignment horizontal="left" vertical="top" wrapText="1"/>
    </xf>
    <xf numFmtId="0" fontId="19" fillId="0" borderId="17" xfId="0" applyFont="1" applyBorder="1">
      <alignment vertical="top" wrapText="1"/>
    </xf>
    <xf numFmtId="0" fontId="19" fillId="0" borderId="0" xfId="0" applyFont="1">
      <alignment vertical="center" wrapText="1"/>
    </xf>
    <xf numFmtId="49" fontId="19" fillId="0" borderId="0" xfId="0" applyFont="1" applyNumberFormat="1">
      <alignment vertical="top"/>
    </xf>
    <xf numFmtId="0" fontId="28" fillId="0" borderId="0" xfId="0" applyFont="1">
      <alignment vertical="center" wrapText="1"/>
    </xf>
    <xf numFmtId="0" fontId="19" fillId="0" borderId="12" xfId="0" applyFont="1" applyBorder="1">
      <alignment vertical="center" wrapText="1"/>
    </xf>
    <xf numFmtId="49" fontId="19" fillId="0" borderId="0" xfId="0" applyFont="1" applyNumberFormat="1">
      <alignment horizontal="center" vertical="center" wrapText="1"/>
    </xf>
    <xf numFmtId="0" fontId="19" fillId="36" borderId="14" xfId="0" applyFont="1" applyFill="1" applyBorder="1">
      <alignment vertical="center" wrapText="1"/>
    </xf>
    <xf numFmtId="0" fontId="19" fillId="38" borderId="12" xfId="0" applyFont="1" applyFill="1" applyBorder="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lignment vertical="center"/>
    </xf>
    <xf numFmtId="0" fontId="63" fillId="0" borderId="0" xfId="0" applyFont="1">
      <alignment vertical="center" wrapText="1"/>
    </xf>
    <xf numFmtId="0" fontId="31" fillId="34" borderId="0" xfId="0" applyFont="1" applyFill="1">
      <alignment horizontal="center" vertical="center" wrapText="1"/>
    </xf>
    <xf numFmtId="0" fontId="19" fillId="0" borderId="24" xfId="0" applyFont="1" applyBorder="1">
      <alignment vertical="center" wrapText="1"/>
    </xf>
    <xf numFmtId="0" fontId="25" fillId="0" borderId="0" xfId="0" applyFont="1">
      <alignment vertical="center" wrapText="1"/>
    </xf>
    <xf numFmtId="49" fontId="19" fillId="0" borderId="24" xfId="0" applyFont="1" applyBorder="1" applyNumberFormat="1">
      <alignment vertical="top"/>
    </xf>
    <xf numFmtId="0" fontId="37" fillId="0" borderId="24" xfId="0" applyFont="1" applyBorder="1">
      <alignment horizontal="center" vertical="center" wrapText="1"/>
    </xf>
    <xf numFmtId="0" fontId="37" fillId="0" borderId="24" xfId="0" applyFont="1" applyBorder="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lignment vertical="center" wrapText="1"/>
    </xf>
    <xf numFmtId="0" fontId="20" fillId="0" borderId="0" xfId="0" applyFont="1">
      <alignment horizontal="center" vertical="center" wrapText="1"/>
    </xf>
    <xf numFmtId="0" fontId="20" fillId="0" borderId="0" xfId="0" applyFont="1">
      <alignment vertical="center" wrapText="1"/>
    </xf>
    <xf numFmtId="0" fontId="19" fillId="34" borderId="0" xfId="0" applyFont="1" applyFill="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lignment vertical="center"/>
    </xf>
    <xf numFmtId="0" fontId="19" fillId="0" borderId="0" xfId="0" applyFon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0" fontId="19" fillId="0" borderId="0" xfId="0" applyFon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lignment horizontal="center" vertical="center" wrapText="1"/>
    </xf>
    <xf numFmtId="0" fontId="25" fillId="34" borderId="0" xfId="0" applyFont="1" applyFill="1">
      <alignment horizontal="center" vertical="center" wrapText="1"/>
    </xf>
    <xf numFmtId="0" fontId="0" fillId="0" borderId="12" xfId="0" applyFont="1" applyBorder="1">
      <alignment horizontal="left" vertical="center" wrapText="1"/>
    </xf>
    <xf numFmtId="0" fontId="19" fillId="34" borderId="0" xfId="0" applyFont="1" applyFill="1">
      <alignment horizontal="center" vertical="center" wrapText="1"/>
    </xf>
    <xf numFmtId="0" fontId="39" fillId="0" borderId="0" xfId="0" applyFont="1">
      <alignment vertical="top" wrapText="1"/>
    </xf>
    <xf numFmtId="0" fontId="19" fillId="34" borderId="26" xfId="0" applyFont="1" applyFill="1" applyBorder="1">
      <alignment horizontal="right" vertical="center" wrapText="1" indent="1"/>
    </xf>
    <xf numFmtId="0" fontId="0" fillId="34" borderId="26" xfId="0" applyFont="1" applyFill="1" applyBorder="1">
      <alignment horizontal="right" vertical="center" wrapText="1" indent="1"/>
    </xf>
    <xf numFmtId="0" fontId="19" fillId="0" borderId="0" xfId="0" applyFont="1">
      <alignment horizontal="left" vertical="center" wrapText="1" indent="4"/>
    </xf>
    <xf numFmtId="0" fontId="19" fillId="34" borderId="0" xfId="0" applyFont="1" applyFill="1">
      <alignment horizontal="center" vertical="center" wrapText="1"/>
    </xf>
    <xf numFmtId="49" fontId="29" fillId="36" borderId="15" xfId="0" applyFont="1" applyFill="1" applyBorder="1" applyNumberFormat="1">
      <alignment horizontal="left" vertical="center"/>
    </xf>
    <xf numFmtId="0" fontId="19" fillId="0" borderId="19" xfId="0" applyFont="1" applyBorder="1">
      <alignment vertical="center" wrapText="1"/>
    </xf>
    <xf numFmtId="0" fontId="19" fillId="0" borderId="0" xfId="0" applyFont="1">
      <alignment horizontal="left" vertical="center" wrapText="1" indent="1"/>
    </xf>
    <xf numFmtId="0" fontId="62" fillId="0" borderId="0" xfId="0" applyFon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lignment horizontal="right" vertical="center"/>
    </xf>
    <xf numFmtId="0" fontId="21" fillId="0" borderId="0" xfId="0" applyFont="1">
      <alignment vertical="center" wrapText="1"/>
    </xf>
    <xf numFmtId="0" fontId="19" fillId="0" borderId="0" xfId="0" applyFont="1">
      <alignment vertical="center" wrapText="1"/>
    </xf>
    <xf numFmtId="0" fontId="22" fillId="34" borderId="0" xfId="0" applyFont="1" applyFill="1">
      <alignment vertical="center" wrapText="1"/>
    </xf>
    <xf numFmtId="0" fontId="20" fillId="0" borderId="0" xfId="0" applyFont="1">
      <alignment horizontal="center" vertical="center" wrapText="1"/>
    </xf>
    <xf numFmtId="0" fontId="0" fillId="0" borderId="0" xfId="0" applyFont="1">
      <alignment vertical="center" wrapText="1"/>
    </xf>
    <xf numFmtId="0" fontId="20" fillId="0" borderId="0" xfId="0" applyFont="1">
      <alignment horizontal="left" vertical="center" wrapText="1"/>
    </xf>
    <xf numFmtId="0" fontId="0" fillId="0" borderId="12" xfId="0" applyFont="1" applyBorder="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lignment vertical="center" wrapText="1"/>
    </xf>
    <xf numFmtId="0" fontId="0" fillId="0" borderId="0" xfId="0" applyFont="1">
      <alignment vertical="center"/>
    </xf>
    <xf numFmtId="49" fontId="37" fillId="0" borderId="0" xfId="0" applyFont="1" applyNumberFormat="1">
      <alignment vertical="top"/>
    </xf>
    <xf numFmtId="0" fontId="64" fillId="0" borderId="0" xfId="0" applyFon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lignment horizontal="center" vertical="center" wrapText="1"/>
    </xf>
    <xf numFmtId="0" fontId="48" fillId="0" borderId="0" xfId="0" applyFont="1">
      <alignment horizontal="left" vertical="center" wrapText="1"/>
    </xf>
    <xf numFmtId="0" fontId="49" fillId="0" borderId="0" xfId="0" applyFont="1">
      <alignment vertical="center" wrapText="1"/>
    </xf>
    <xf numFmtId="0" fontId="50" fillId="34" borderId="0" xfId="0" applyFont="1" applyFill="1">
      <alignment vertical="center" wrapText="1"/>
    </xf>
    <xf numFmtId="0" fontId="51" fillId="34" borderId="0" xfId="0" applyFont="1" applyFill="1">
      <alignment horizontal="right" vertical="center" wrapText="1" indent="1"/>
    </xf>
    <xf numFmtId="0" fontId="50" fillId="0" borderId="0" xfId="0" applyFont="1">
      <alignment vertical="center" wrapText="1"/>
    </xf>
    <xf numFmtId="0" fontId="0" fillId="0" borderId="14" xfId="0" applyFont="1" applyBorder="1">
      <alignment horizontal="center" vertical="center" wrapText="1"/>
    </xf>
    <xf numFmtId="0" fontId="0" fillId="35" borderId="12" xfId="0" applyFont="1" applyFill="1" applyBorder="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lignment horizontal="left" vertical="center" wrapText="1" indent="1"/>
    </xf>
    <xf numFmtId="0" fontId="0" fillId="34" borderId="17" xfId="0" applyFont="1" applyFill="1" applyBorder="1">
      <alignment horizontal="left" vertical="center" wrapText="1"/>
    </xf>
    <xf numFmtId="0" fontId="0" fillId="34" borderId="12" xfId="0" applyFont="1" applyFill="1" applyBorder="1">
      <alignment horizontal="left" vertical="center" wrapText="1"/>
    </xf>
    <xf numFmtId="0" fontId="0" fillId="34" borderId="12" xfId="0" applyFont="1" applyFill="1" applyBorder="1">
      <alignment horizontal="left" vertical="center" wrapText="1" indent="2"/>
    </xf>
    <xf numFmtId="0" fontId="0" fillId="34" borderId="12" xfId="0" applyFont="1" applyFill="1" applyBorder="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lignment horizontal="left" vertical="center" wrapText="1" indent="1"/>
    </xf>
    <xf numFmtId="0" fontId="0" fillId="0" borderId="12" xfId="0" applyFont="1" applyBorder="1">
      <alignment horizontal="center" vertical="center" wrapText="1"/>
    </xf>
    <xf numFmtId="0" fontId="0" fillId="34" borderId="12" xfId="0" applyFont="1" applyFill="1" applyBorder="1">
      <alignment vertical="center" wrapText="1"/>
    </xf>
    <xf numFmtId="49" fontId="0" fillId="34" borderId="12" xfId="0" applyFont="1" applyFill="1" applyBorder="1" applyNumberFormat="1">
      <alignment horizontal="center" vertical="center"/>
    </xf>
    <xf numFmtId="0" fontId="0" fillId="34" borderId="12" xfId="0" applyFont="1" applyFill="1" applyBorder="1">
      <alignment horizontal="center" vertical="center" wrapText="1"/>
    </xf>
    <xf numFmtId="0" fontId="19" fillId="0" borderId="0" xfId="0" applyFont="1">
      <alignment vertical="center" wrapText="1"/>
    </xf>
    <xf numFmtId="49" fontId="24" fillId="34" borderId="0" xfId="0" applyFont="1" applyFill="1" applyNumberFormat="1">
      <alignment horizontal="center" vertical="center" wrapText="1"/>
    </xf>
    <xf numFmtId="0" fontId="20" fillId="0" borderId="0" xfId="0" applyFont="1">
      <alignment vertical="center" wrapText="1"/>
    </xf>
    <xf numFmtId="0" fontId="25" fillId="34" borderId="0" xfId="0" applyFont="1" applyFill="1">
      <alignment horizontal="center" vertical="center" wrapText="1"/>
    </xf>
    <xf numFmtId="0" fontId="25" fillId="0" borderId="0" xfId="0" applyFont="1">
      <alignment horizontal="center" vertical="center" wrapText="1"/>
    </xf>
    <xf numFmtId="0" fontId="31" fillId="0" borderId="0" xfId="0" applyFont="1">
      <alignment vertical="center" wrapText="1"/>
    </xf>
    <xf numFmtId="0" fontId="35" fillId="0" borderId="0" xfId="0" applyFont="1">
      <alignment horizontal="center" vertical="center" wrapText="1"/>
    </xf>
    <xf numFmtId="0" fontId="34" fillId="0" borderId="0" xfId="0" applyFont="1">
      <alignment vertical="center" wrapText="1"/>
    </xf>
    <xf numFmtId="0" fontId="0" fillId="34" borderId="0" xfId="0" applyFont="1" applyFill="1"/>
    <xf numFmtId="0" fontId="0" fillId="34" borderId="0" xfId="0" applyFont="1" applyFill="1">
      <alignment horizontal="center"/>
    </xf>
    <xf numFmtId="0" fontId="19" fillId="34" borderId="0" xfId="0" applyFont="1" applyFill="1">
      <alignment vertical="center" wrapText="1"/>
    </xf>
    <xf numFmtId="0" fontId="65" fillId="34" borderId="0" xfId="0" applyFont="1" applyFill="1">
      <alignment horizontal="center"/>
    </xf>
    <xf numFmtId="0" fontId="65" fillId="34" borderId="0" xfId="0" applyFont="1" applyFill="1"/>
    <xf numFmtId="0" fontId="66" fillId="34" borderId="0" xfId="0" applyFont="1" applyFill="1"/>
    <xf numFmtId="0" fontId="67" fillId="34" borderId="0" xfId="0" applyFont="1" applyFill="1">
      <alignment horizontal="right" vertical="center"/>
    </xf>
    <xf numFmtId="0" fontId="67" fillId="34" borderId="0" xfId="0" applyFont="1" applyFill="1">
      <alignment horizontal="right" vertical="top"/>
    </xf>
    <xf numFmtId="0" fontId="19" fillId="34" borderId="0" xfId="0" applyFont="1" applyFill="1">
      <alignment horizontal="center" vertical="center" wrapText="1"/>
    </xf>
    <xf numFmtId="0" fontId="24" fillId="34" borderId="0" xfId="0" applyFont="1" applyFill="1">
      <alignment horizontal="center" vertical="center"/>
    </xf>
    <xf numFmtId="0" fontId="19" fillId="0" borderId="12" xfId="0" applyFont="1" applyBorder="1">
      <alignment horizontal="center" vertical="center" wrapText="1"/>
    </xf>
    <xf numFmtId="0" fontId="34" fillId="0" borderId="0" xfId="0" applyFont="1">
      <alignment vertical="top" wrapText="1"/>
    </xf>
    <xf numFmtId="0" fontId="19" fillId="36" borderId="14" xfId="0" applyFont="1" applyFill="1" applyBorder="1">
      <alignment horizontal="center"/>
    </xf>
    <xf numFmtId="0" fontId="60" fillId="36" borderId="15" xfId="0" applyFont="1" applyFill="1" applyBorder="1">
      <alignment horizontal="left" vertical="center"/>
    </xf>
    <xf numFmtId="0" fontId="60" fillId="36" borderId="13" xfId="0" applyFont="1" applyFill="1" applyBorder="1">
      <alignment horizontal="left" vertical="center"/>
    </xf>
    <xf numFmtId="0" fontId="68" fillId="34" borderId="0" xfId="0" applyFont="1" applyFill="1">
      <alignment vertical="center"/>
    </xf>
    <xf numFmtId="0" fontId="68" fillId="34" borderId="0" xfId="0" applyFont="1" applyFill="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lignment horizontal="center" vertical="center" wrapText="1"/>
    </xf>
    <xf numFmtId="0" fontId="19" fillId="34" borderId="12" xfId="0" applyFont="1" applyFill="1" applyBorder="1">
      <alignment vertical="center" wrapText="1"/>
    </xf>
    <xf numFmtId="0" fontId="55" fillId="34" borderId="0" xfId="0" applyFont="1" applyFill="1"/>
    <xf numFmtId="0" fontId="41" fillId="34" borderId="0" xfId="0" applyFont="1" applyFill="1"/>
    <xf numFmtId="0" fontId="51" fillId="34" borderId="0" xfId="0" applyFont="1" applyFill="1"/>
    <xf numFmtId="0" fontId="51" fillId="34" borderId="0" xfId="0" applyFont="1" applyFill="1">
      <alignment horizontal="center"/>
    </xf>
    <xf numFmtId="0" fontId="48" fillId="0" borderId="0" xfId="0" applyFont="1">
      <alignment vertical="center" wrapText="1"/>
    </xf>
    <xf numFmtId="0" fontId="50" fillId="0" borderId="0" xfId="0" applyFont="1">
      <alignment vertical="center" wrapText="1"/>
    </xf>
    <xf numFmtId="0" fontId="50" fillId="34" borderId="0" xfId="0" applyFont="1" applyFill="1">
      <alignment vertical="center" wrapText="1"/>
    </xf>
    <xf numFmtId="0" fontId="50" fillId="34" borderId="0" xfId="0" applyFont="1" applyFill="1">
      <alignment horizontal="right" vertical="center"/>
    </xf>
    <xf numFmtId="0" fontId="50" fillId="34" borderId="0" xfId="0" applyFont="1" applyFill="1">
      <alignment horizontal="right" vertical="center" wrapText="1"/>
    </xf>
    <xf numFmtId="4" fontId="50" fillId="0" borderId="0" xfId="0" applyFont="1" applyNumberFormat="1">
      <alignment horizontal="right" vertical="center" wrapText="1"/>
    </xf>
    <xf numFmtId="0" fontId="50" fillId="0" borderId="0" xfId="0" applyFont="1">
      <alignment horizontal="left" vertical="center" wrapText="1" indent="1"/>
    </xf>
    <xf numFmtId="0" fontId="69" fillId="34" borderId="0" xfId="0" applyFont="1" applyFill="1">
      <alignment horizontal="center" vertical="center" wrapText="1"/>
    </xf>
    <xf numFmtId="0" fontId="24" fillId="34" borderId="0" xfId="0" applyFont="1" applyFill="1">
      <alignment horizontal="center" vertical="center" wrapText="1"/>
    </xf>
    <xf numFmtId="0" fontId="54" fillId="0" borderId="0" xfId="0" applyFont="1">
      <alignment vertical="center" wrapText="1"/>
    </xf>
    <xf numFmtId="0" fontId="37" fillId="0" borderId="0" xfId="0" applyFont="1">
      <alignment vertical="center" wrapText="1"/>
    </xf>
    <xf numFmtId="49" fontId="19" fillId="39" borderId="12" xfId="0" applyFont="1" applyFill="1" applyBorder="1" applyNumberFormat="1">
      <alignment horizontal="left" vertical="center" wrapText="1"/>
    </xf>
    <xf numFmtId="0" fontId="54" fillId="0" borderId="0" xfId="0" applyFont="1">
      <alignment horizontal="center" vertical="center" wrapText="1"/>
    </xf>
    <xf numFmtId="0" fontId="19" fillId="34" borderId="24" xfId="0" applyFont="1" applyFill="1" applyBorder="1">
      <alignment vertical="center" wrapText="1"/>
    </xf>
    <xf numFmtId="49" fontId="24" fillId="34" borderId="15" xfId="0" applyFont="1" applyFill="1" applyBorder="1" applyNumberFormat="1">
      <alignment horizontal="center" vertical="center" wrapText="1"/>
    </xf>
    <xf numFmtId="0" fontId="37" fillId="0" borderId="0" xfId="0" applyFont="1">
      <alignment horizontal="center" vertical="center" wrapText="1"/>
    </xf>
    <xf numFmtId="0" fontId="69" fillId="0" borderId="0" xfId="0" applyFont="1">
      <alignment horizontal="center" vertical="center" wrapText="1"/>
    </xf>
    <xf numFmtId="0" fontId="63" fillId="0" borderId="0" xfId="0" applyFont="1">
      <alignment vertical="center" wrapText="1"/>
    </xf>
    <xf numFmtId="49" fontId="63" fillId="0" borderId="12" xfId="0" applyFont="1" applyBorder="1" applyNumberFormat="1">
      <alignment horizontal="left" vertical="center" wrapText="1"/>
    </xf>
    <xf numFmtId="0" fontId="70" fillId="34" borderId="0" xfId="0" applyFont="1" applyFill="1">
      <alignment horizontal="center" vertical="center" wrapText="1"/>
    </xf>
    <xf numFmtId="49" fontId="63" fillId="0" borderId="17" xfId="0" applyFont="1" applyBorder="1" applyNumberFormat="1">
      <alignment horizontal="left" vertical="center" wrapText="1"/>
    </xf>
    <xf numFmtId="0" fontId="37" fillId="0" borderId="0" xfId="0" applyFont="1">
      <alignment vertical="center"/>
    </xf>
    <xf numFmtId="0" fontId="37" fillId="34" borderId="0" xfId="0" applyFont="1" applyFill="1"/>
    <xf numFmtId="0" fontId="37" fillId="34" borderId="0" xfId="0" applyFont="1" applyFill="1">
      <alignment vertical="center" wrapText="1"/>
    </xf>
    <xf numFmtId="0" fontId="37" fillId="0" borderId="0" xfId="0" applyFont="1">
      <alignment vertical="center" wrapText="1"/>
    </xf>
    <xf numFmtId="49" fontId="19" fillId="0" borderId="0" xfId="0" applyFont="1" applyNumberFormat="1">
      <alignment vertical="top"/>
    </xf>
    <xf numFmtId="0" fontId="19" fillId="0" borderId="0" xfId="0" applyFont="1">
      <alignment vertical="center" wrapText="1"/>
    </xf>
    <xf numFmtId="0" fontId="25" fillId="34" borderId="0" xfId="0" applyFont="1" applyFill="1">
      <alignment horizontal="center" vertical="center" wrapText="1"/>
    </xf>
    <xf numFmtId="0" fontId="31" fillId="0" borderId="0" xfId="0" applyFont="1">
      <alignment vertical="center" wrapText="1"/>
    </xf>
    <xf numFmtId="49" fontId="19" fillId="0" borderId="12" xfId="0" applyFont="1" applyBorder="1" applyNumberFormat="1">
      <alignment horizontal="left" vertical="center" wrapText="1"/>
    </xf>
    <xf numFmtId="0" fontId="19" fillId="0" borderId="0" xfId="0" applyFont="1">
      <alignment vertical="center" wrapText="1"/>
    </xf>
    <xf numFmtId="49" fontId="37" fillId="0" borderId="0" xfId="0" applyFont="1" applyNumberFormat="1">
      <alignment vertical="center" wrapText="1"/>
    </xf>
    <xf numFmtId="0" fontId="37" fillId="0" borderId="0" xfId="0" applyFont="1">
      <alignment vertical="center" wrapText="1"/>
    </xf>
    <xf numFmtId="0" fontId="19" fillId="0" borderId="12" xfId="0" applyFont="1" applyBorder="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lignment horizontal="left" vertical="center" wrapText="1"/>
    </xf>
    <xf numFmtId="49" fontId="37" fillId="0" borderId="0" xfId="0" applyFont="1" applyNumberFormat="1">
      <alignment horizontal="left" vertical="center" wrapText="1"/>
    </xf>
    <xf numFmtId="0" fontId="37" fillId="0" borderId="0" xfId="0" applyFon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0" borderId="0" xfId="0" applyFont="1">
      <alignment horizontal="center" vertical="center" wrapText="1"/>
    </xf>
    <xf numFmtId="0" fontId="19" fillId="0" borderId="12" xfId="0" applyFont="1" applyBorder="1">
      <alignment horizontal="center" vertical="center" wrapText="1"/>
    </xf>
    <xf numFmtId="49" fontId="19" fillId="39" borderId="12" xfId="0" applyFont="1" applyFill="1" applyBorder="1" applyNumberFormat="1">
      <alignment horizontal="center" vertical="center" wrapText="1"/>
    </xf>
    <xf numFmtId="0" fontId="72" fillId="0" borderId="0" xfId="0" applyFont="1">
      <alignment horizontal="center" vertical="center" wrapText="1"/>
    </xf>
    <xf numFmtId="0" fontId="25" fillId="0" borderId="0" xfId="0" applyFon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lignment horizontal="left" vertical="center" wrapText="1"/>
    </xf>
    <xf numFmtId="49" fontId="39" fillId="36" borderId="15" xfId="0" applyFont="1" applyFill="1" applyBorder="1" applyNumberFormat="1">
      <alignment horizontal="center" vertical="center"/>
    </xf>
    <xf numFmtId="0" fontId="21" fillId="0" borderId="0" xfId="0" applyFont="1">
      <alignment vertical="center" wrapText="1"/>
    </xf>
    <xf numFmtId="0" fontId="20" fillId="0" borderId="0" xfId="0" applyFont="1">
      <alignment horizontal="center" vertical="center" wrapText="1"/>
    </xf>
    <xf numFmtId="0" fontId="19" fillId="0" borderId="0" xfId="0" applyFont="1">
      <alignment horizontal="center" vertical="center" wrapText="1"/>
    </xf>
    <xf numFmtId="0" fontId="19" fillId="0" borderId="0" xfId="0" applyFont="1">
      <alignment vertical="center" wrapText="1"/>
    </xf>
    <xf numFmtId="0" fontId="36" fillId="0" borderId="0" xfId="0" applyFont="1">
      <alignment horizontal="center" vertical="center" wrapText="1"/>
    </xf>
    <xf numFmtId="0" fontId="73" fillId="0" borderId="0" xfId="0" applyFont="1">
      <alignment vertical="center" wrapText="1"/>
    </xf>
    <xf numFmtId="49" fontId="36" fillId="0" borderId="0" xfId="0" applyFont="1" applyNumberFormat="1">
      <alignment horizontal="center" vertical="center" wrapText="1"/>
    </xf>
    <xf numFmtId="0" fontId="36" fillId="0" borderId="0" xfId="0" applyFon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lignment vertical="top" wrapText="1"/>
    </xf>
    <xf numFmtId="0" fontId="74" fillId="0" borderId="0" xfId="0" applyFont="1">
      <alignment vertical="center" wrapText="1"/>
    </xf>
    <xf numFmtId="0" fontId="44" fillId="0" borderId="0" xfId="0" applyFon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lignment horizontal="center" vertical="center" wrapText="1"/>
    </xf>
    <xf numFmtId="0" fontId="19" fillId="38" borderId="12" xfId="0" applyFont="1" applyFill="1" applyBorder="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lignment horizontal="center" vertical="center" wrapText="1"/>
    </xf>
    <xf numFmtId="0" fontId="37" fillId="0" borderId="12" xfId="0" applyFont="1" applyBorder="1">
      <alignment horizontal="left" vertical="center" wrapText="1" indent="2"/>
    </xf>
    <xf numFmtId="0" fontId="37" fillId="0" borderId="12" xfId="0" applyFont="1" applyBorder="1">
      <alignment horizontal="center" vertical="center" wrapText="1"/>
    </xf>
    <xf numFmtId="0" fontId="37" fillId="0" borderId="12" xfId="0" applyFont="1" applyBorder="1">
      <alignment vertical="center" wrapText="1"/>
    </xf>
    <xf numFmtId="0" fontId="19" fillId="0" borderId="12" xfId="0" applyFont="1" applyBorder="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lignment horizontal="left" vertical="center" wrapText="1"/>
      <protection locked="0"/>
    </xf>
    <xf numFmtId="0" fontId="35" fillId="0" borderId="0" xfId="0" applyFon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lignment horizontal="left" vertical="center" wrapText="1" indent="2"/>
    </xf>
    <xf numFmtId="0" fontId="63" fillId="0" borderId="12" xfId="0" applyFont="1" applyBorder="1">
      <alignment horizontal="center" vertical="center" wrapText="1"/>
    </xf>
    <xf numFmtId="0" fontId="63" fillId="0" borderId="12" xfId="0" applyFont="1" applyBorder="1">
      <alignment vertical="center" wrapText="1"/>
    </xf>
    <xf numFmtId="0" fontId="75" fillId="0" borderId="0" xfId="0" applyFont="1">
      <alignment vertical="center" wrapText="1"/>
    </xf>
    <xf numFmtId="0" fontId="53" fillId="0" borderId="0" xfId="0" applyFont="1">
      <alignment vertical="center" wrapText="1"/>
    </xf>
    <xf numFmtId="0" fontId="63" fillId="0" borderId="28" xfId="0" applyFont="1" applyBorder="1">
      <alignment horizontal="center" vertical="center" wrapText="1"/>
    </xf>
    <xf numFmtId="0" fontId="63" fillId="0" borderId="12" xfId="0" applyFont="1" applyBorder="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lignment vertical="center" wrapText="1"/>
    </xf>
    <xf numFmtId="0" fontId="36" fillId="36" borderId="13" xfId="0" applyFont="1" applyFill="1" applyBorder="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lignment horizontal="left" vertical="center" wrapText="1"/>
    </xf>
    <xf numFmtId="0" fontId="19" fillId="0" borderId="0" xfId="0" applyFont="1">
      <alignment vertical="center"/>
    </xf>
    <xf numFmtId="0" fontId="0" fillId="0" borderId="0" xfId="0" applyFont="1">
      <alignment vertical="center"/>
    </xf>
    <xf numFmtId="0" fontId="36" fillId="0" borderId="0" xfId="0" applyFont="1">
      <alignment vertical="center"/>
    </xf>
    <xf numFmtId="0" fontId="19" fillId="0" borderId="0" xfId="0" applyFont="1">
      <alignment vertical="center"/>
    </xf>
    <xf numFmtId="0" fontId="76" fillId="0" borderId="0" xfId="0" applyFont="1">
      <alignment vertical="center"/>
    </xf>
    <xf numFmtId="0" fontId="30" fillId="0" borderId="0" xfId="0" applyFont="1">
      <alignment vertical="center"/>
    </xf>
    <xf numFmtId="0" fontId="19" fillId="0" borderId="0" xfId="0" applyFont="1">
      <alignment vertical="center" wrapText="1"/>
    </xf>
    <xf numFmtId="0" fontId="30" fillId="0" borderId="0" xfId="0" applyFont="1">
      <alignment vertical="center"/>
    </xf>
    <xf numFmtId="0" fontId="76" fillId="0" borderId="0" xfId="0" applyFont="1">
      <alignment vertical="center"/>
    </xf>
    <xf numFmtId="0" fontId="42" fillId="0" borderId="0" xfId="0" applyFont="1">
      <alignment vertical="center"/>
    </xf>
    <xf numFmtId="0" fontId="19" fillId="0" borderId="0" xfId="0" applyFon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lignment vertical="center"/>
    </xf>
    <xf numFmtId="0" fontId="0" fillId="0" borderId="0" xfId="0" applyFont="1">
      <alignment vertical="center"/>
    </xf>
    <xf numFmtId="0" fontId="37" fillId="0" borderId="0" xfId="0" applyFont="1">
      <alignment horizontal="center" vertical="center"/>
    </xf>
    <xf numFmtId="0" fontId="19" fillId="0" borderId="0" xfId="0" applyFont="1">
      <alignment horizontal="center" vertical="center" wrapText="1"/>
    </xf>
    <xf numFmtId="0" fontId="19" fillId="36" borderId="14" xfId="0" applyFont="1" applyFill="1" applyBorder="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lignment vertical="center"/>
    </xf>
    <xf numFmtId="0" fontId="64" fillId="0" borderId="0" xfId="0" applyFont="1">
      <alignment vertical="center"/>
    </xf>
    <xf numFmtId="0" fontId="0" fillId="0" borderId="0" xfId="0" applyFon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lignment vertical="top"/>
    </xf>
    <xf numFmtId="49" fontId="20" fillId="0" borderId="0" xfId="0" applyFont="1" applyNumberFormat="1">
      <alignment horizontal="center" vertical="center" wrapText="1"/>
    </xf>
    <xf numFmtId="0" fontId="37" fillId="0" borderId="0" xfId="0" applyFont="1">
      <alignment vertical="center" wrapText="1"/>
    </xf>
    <xf numFmtId="0" fontId="20" fillId="0" borderId="0" xfId="0" applyFont="1">
      <alignment vertical="center" wrapText="1"/>
    </xf>
    <xf numFmtId="0" fontId="19" fillId="0" borderId="0" xfId="0" applyFont="1">
      <alignment horizontal="center" vertical="center" wrapText="1"/>
    </xf>
    <xf numFmtId="0" fontId="39" fillId="0" borderId="0" xfId="0" applyFon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lignment vertical="center" wrapText="1"/>
    </xf>
    <xf numFmtId="0" fontId="37" fillId="0" borderId="0" xfId="0" applyFont="1">
      <alignment vertical="center" wrapText="1"/>
    </xf>
    <xf numFmtId="0" fontId="20" fillId="0" borderId="0" xfId="0" applyFont="1">
      <alignment vertical="center" wrapText="1"/>
    </xf>
    <xf numFmtId="49" fontId="53" fillId="0" borderId="0" xfId="0" applyFont="1" applyNumberFormat="1">
      <alignment horizontal="center" vertical="center" wrapText="1"/>
    </xf>
    <xf numFmtId="0" fontId="53" fillId="0" borderId="0" xfId="0" applyFont="1">
      <alignment vertical="center" wrapText="1"/>
    </xf>
    <xf numFmtId="0" fontId="0" fillId="0" borderId="0" xfId="0" applyFon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lignment vertical="top"/>
    </xf>
    <xf numFmtId="0" fontId="64" fillId="0" borderId="0" xfId="0" applyFont="1">
      <alignment vertical="top"/>
    </xf>
    <xf numFmtId="0" fontId="77" fillId="0" borderId="0" xfId="0" applyFont="1">
      <alignment vertical="top"/>
    </xf>
    <xf numFmtId="0" fontId="36" fillId="0" borderId="0" xfId="0" applyFont="1">
      <alignment horizontal="center" vertical="center" wrapText="1"/>
    </xf>
    <xf numFmtId="0" fontId="37" fillId="0" borderId="0" xfId="0" applyFont="1">
      <alignment horizontal="center" vertical="center" wrapText="1"/>
    </xf>
    <xf numFmtId="0" fontId="37" fillId="0" borderId="12" xfId="0" applyFont="1" applyBorder="1">
      <alignment horizontal="left" vertical="center" wrapText="1"/>
    </xf>
    <xf numFmtId="0" fontId="3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lignment horizontal="left" vertical="center" indent="1"/>
    </xf>
    <xf numFmtId="0" fontId="19" fillId="0" borderId="0" xfId="0" applyFont="1">
      <alignment horizontal="right" vertical="center" wrapText="1"/>
    </xf>
    <xf numFmtId="0" fontId="0" fillId="0" borderId="0" xfId="0" applyFont="1">
      <alignment vertical="center"/>
    </xf>
    <xf numFmtId="0" fontId="34" fillId="0" borderId="0" xfId="0" applyFont="1">
      <alignment horizontal="right" vertical="top" wrapText="1"/>
    </xf>
    <xf numFmtId="0" fontId="19" fillId="0" borderId="0" xfId="0" applyFont="1">
      <alignment vertical="top" wrapText="1"/>
    </xf>
    <xf numFmtId="0" fontId="19" fillId="0" borderId="0" xfId="0" applyFont="1">
      <alignment horizontal="left" vertical="top" wrapText="1"/>
    </xf>
    <xf numFmtId="0" fontId="24" fillId="0" borderId="0" xfId="0" applyFon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lignment vertical="top"/>
    </xf>
    <xf numFmtId="49" fontId="19" fillId="0" borderId="31" xfId="0" applyFont="1" applyBorder="1" applyNumberFormat="1">
      <alignment horizontal="center" vertical="center" wrapText="1"/>
    </xf>
    <xf numFmtId="0" fontId="19" fillId="0" borderId="31" xfId="0" applyFont="1" applyBorder="1">
      <alignment horizontal="left" vertical="center" wrapText="1"/>
    </xf>
    <xf numFmtId="0" fontId="19" fillId="0" borderId="31" xfId="0" applyFont="1" applyBorder="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lignment horizontal="left" vertical="center" wrapText="1" indent="2"/>
    </xf>
    <xf numFmtId="0" fontId="36" fillId="0" borderId="0" xfId="0" applyFont="1">
      <alignment horizontal="center" vertical="center" wrapText="1"/>
    </xf>
    <xf numFmtId="49" fontId="19" fillId="0" borderId="0" xfId="0" applyFont="1" applyNumberFormat="1">
      <alignment horizontal="left" vertical="center" wrapText="1"/>
    </xf>
    <xf numFmtId="0" fontId="73" fillId="0" borderId="0" xfId="0" applyFont="1">
      <alignment vertical="center" wrapText="1"/>
    </xf>
    <xf numFmtId="0" fontId="73" fillId="0" borderId="0" xfId="0" applyFont="1">
      <alignment vertical="center" wrapText="1"/>
    </xf>
    <xf numFmtId="0" fontId="19" fillId="0" borderId="0" xfId="0" applyFont="1">
      <alignment horizontal="left" vertical="center" wrapText="1"/>
    </xf>
    <xf numFmtId="0" fontId="19" fillId="0" borderId="12" xfId="0" applyFont="1" applyBorder="1">
      <alignment horizontal="left" vertical="center" wrapText="1"/>
    </xf>
    <xf numFmtId="3" fontId="19" fillId="0" borderId="14" xfId="0" applyFont="1" applyBorder="1" applyNumberFormat="1">
      <alignment vertical="center" wrapText="1"/>
    </xf>
    <xf numFmtId="0" fontId="19" fillId="0" borderId="13" xfId="0" applyFont="1" applyBorder="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lignment horizontal="center" vertical="center" wrapText="1"/>
    </xf>
    <xf numFmtId="0" fontId="19" fillId="0" borderId="14" xfId="0" applyFont="1" applyBorder="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19"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lignment vertical="center" wrapText="1"/>
    </xf>
    <xf numFmtId="0" fontId="19" fillId="0" borderId="15" xfId="0" applyFont="1" applyBorder="1">
      <alignment horizontal="center" vertical="center" wrapText="1"/>
    </xf>
    <xf numFmtId="0" fontId="19" fillId="36" borderId="27" xfId="0" applyFont="1" applyFill="1" applyBorder="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lignment horizontal="left" vertical="center" wrapText="1" indent="1"/>
    </xf>
    <xf numFmtId="0" fontId="78" fillId="0" borderId="0" xfId="0" applyFont="1">
      <alignment vertical="center" wrapText="1"/>
    </xf>
    <xf numFmtId="0" fontId="78" fillId="34" borderId="0" xfId="0" applyFont="1" applyFill="1">
      <alignment horizontal="center" vertical="center" wrapText="1"/>
    </xf>
    <xf numFmtId="0" fontId="78" fillId="34" borderId="0" xfId="0" applyFont="1" applyFill="1">
      <alignment horizontal="right"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0" fontId="19" fillId="0" borderId="12" xfId="0" applyFont="1" applyBorder="1">
      <alignment horizontal="center" vertical="center" wrapText="1"/>
    </xf>
    <xf numFmtId="0" fontId="36" fillId="0" borderId="0" xfId="0" applyFont="1">
      <alignment horizontal="center" vertical="top"/>
    </xf>
    <xf numFmtId="0" fontId="19" fillId="0" borderId="12" xfId="0" applyFont="1" applyBorder="1">
      <alignment horizontal="left" vertical="center" wrapText="1"/>
    </xf>
    <xf numFmtId="0" fontId="37" fillId="0" borderId="0" xfId="0" applyFont="1">
      <alignment horizontal="center" vertical="center" wrapText="1"/>
    </xf>
    <xf numFmtId="0" fontId="19" fillId="0" borderId="12" xfId="0" applyFont="1" applyBorder="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lignment vertical="center" wrapText="1"/>
    </xf>
    <xf numFmtId="0" fontId="19" fillId="0" borderId="0" xfId="0" applyFont="1">
      <alignment horizontal="right" vertical="center"/>
    </xf>
    <xf numFmtId="49" fontId="43" fillId="36" borderId="13" xfId="0" applyFont="1" applyFill="1" applyBorder="1" applyNumberFormat="1">
      <alignment horizontal="left" vertical="center" wrapText="1"/>
    </xf>
    <xf numFmtId="0" fontId="79" fillId="0" borderId="0" xfId="0" applyFont="1">
      <alignment vertical="center"/>
    </xf>
    <xf numFmtId="0" fontId="80" fillId="0" borderId="0" xfId="0" applyFon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lignment vertical="center" wrapText="1"/>
    </xf>
    <xf numFmtId="0" fontId="19" fillId="0" borderId="13" xfId="0" applyFont="1" applyBorder="1">
      <alignment horizontal="left" vertical="center" wrapText="1" indent="1"/>
    </xf>
    <xf numFmtId="0" fontId="62" fillId="0" borderId="22" xfId="0" applyFont="1" applyBorder="1">
      <alignment vertical="center" wrapText="1"/>
    </xf>
    <xf numFmtId="4" fontId="19" fillId="0" borderId="31" xfId="0" applyFont="1" applyBorder="1" applyNumberFormat="1">
      <alignment horizontal="center" vertical="center" wrapText="1"/>
    </xf>
    <xf numFmtId="0" fontId="19" fillId="0" borderId="33" xfId="0" applyFont="1" applyBorder="1">
      <alignment horizontal="left" vertical="center" wrapText="1"/>
    </xf>
    <xf numFmtId="0" fontId="19" fillId="0" borderId="33" xfId="0" applyFont="1" applyBorder="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lignment horizontal="left" vertical="center" wrapText="1"/>
    </xf>
    <xf numFmtId="0" fontId="37" fillId="0" borderId="0" xfId="0" applyFont="1">
      <alignment horizontal="left" vertical="center" wrapText="1"/>
    </xf>
    <xf numFmtId="0" fontId="44" fillId="0" borderId="0" xfId="0" applyFont="1">
      <alignment horizontal="left" vertical="center" wrapText="1"/>
    </xf>
    <xf numFmtId="0" fontId="20" fillId="0" borderId="0" xfId="0" applyFont="1">
      <alignment horizontal="left" vertical="center" wrapText="1"/>
    </xf>
    <xf numFmtId="49" fontId="19" fillId="0" borderId="0" xfId="0" applyFont="1" applyNumberFormat="1">
      <alignment horizontal="center" vertical="center" wrapText="1"/>
    </xf>
    <xf numFmtId="0" fontId="74" fillId="0" borderId="0" xfId="0" applyFont="1">
      <alignment vertical="center" wrapText="1"/>
    </xf>
    <xf numFmtId="0" fontId="37" fillId="0" borderId="0" xfId="0" applyFont="1">
      <alignment vertical="center" wrapText="1"/>
    </xf>
    <xf numFmtId="0" fontId="44" fillId="0" borderId="0" xfId="0" applyFont="1">
      <alignment vertical="center" wrapText="1"/>
    </xf>
    <xf numFmtId="0" fontId="20" fillId="0" borderId="0" xfId="0" applyFont="1">
      <alignment vertical="center" wrapText="1"/>
    </xf>
    <xf numFmtId="49" fontId="39" fillId="0" borderId="0" xfId="0" applyFont="1" applyNumberFormat="1">
      <alignment horizontal="center" vertical="center"/>
    </xf>
    <xf numFmtId="0" fontId="19" fillId="0" borderId="0" xfId="0" applyFon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lignment horizontal="left" vertical="center" wrapText="1"/>
    </xf>
    <xf numFmtId="0" fontId="19" fillId="0" borderId="20" xfId="0" applyFont="1" applyBorder="1">
      <alignment vertical="center" wrapText="1"/>
    </xf>
    <xf numFmtId="0" fontId="25" fillId="0" borderId="0" xfId="0" applyFont="1">
      <alignment horizontal="center" vertical="center" wrapText="1"/>
    </xf>
    <xf numFmtId="0" fontId="19" fillId="36" borderId="15" xfId="0" applyFont="1" applyFill="1" applyBorder="1">
      <alignment vertical="center" wrapText="1"/>
    </xf>
    <xf numFmtId="0" fontId="36" fillId="36" borderId="13" xfId="0" applyFont="1" applyFill="1" applyBorder="1">
      <alignment vertical="center" wrapText="1"/>
    </xf>
    <xf numFmtId="173" fontId="19" fillId="33" borderId="12" xfId="0" applyFont="1" applyFill="1" applyBorder="1" applyNumberFormat="1">
      <alignment horizontal="right" vertical="center" wrapText="1"/>
    </xf>
    <xf numFmtId="0" fontId="0" fillId="0" borderId="0" xfId="0" applyFont="1">
      <alignment vertical="center"/>
    </xf>
    <xf numFmtId="4" fontId="19" fillId="35" borderId="12" xfId="0" applyFont="1" applyFill="1" applyBorder="1" applyNumberFormat="1">
      <alignment horizontal="right" vertical="center" wrapText="1"/>
      <protection locked="0"/>
    </xf>
    <xf numFmtId="0" fontId="60" fillId="34" borderId="0" xfId="0" applyFont="1" applyFill="1">
      <alignment horizontal="right" vertical="center"/>
    </xf>
    <xf numFmtId="49" fontId="0" fillId="0" borderId="12" xfId="0" applyFont="1" applyBorder="1" applyNumberFormat="1">
      <alignment vertical="top"/>
    </xf>
    <xf numFmtId="0" fontId="19"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lignment vertical="center" wrapText="1"/>
    </xf>
    <xf numFmtId="0" fontId="20" fillId="0" borderId="0" xfId="0" applyFont="1">
      <alignment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49" fontId="19" fillId="0" borderId="0" xfId="0" applyFont="1" applyNumberFormat="1">
      <alignment vertical="center" wrapText="1"/>
    </xf>
    <xf numFmtId="0" fontId="19"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0" fontId="19" fillId="0" borderId="0" xfId="0" applyFont="1">
      <alignment horizontal="center" vertical="center" wrapText="1"/>
    </xf>
    <xf numFmtId="0" fontId="39" fillId="34" borderId="0" xfId="0" applyFont="1" applyFill="1">
      <alignment vertical="center" wrapText="1"/>
    </xf>
    <xf numFmtId="0" fontId="43" fillId="0" borderId="0" xfId="0" applyFont="1">
      <alignment horizontal="left" vertical="center" indent="1"/>
    </xf>
    <xf numFmtId="0" fontId="0" fillId="34" borderId="0" xfId="0" applyFont="1" applyFill="1">
      <alignment horizontal="right" vertical="center" wrapText="1" indent="1"/>
    </xf>
    <xf numFmtId="0" fontId="0" fillId="34" borderId="0" xfId="0" applyFont="1" applyFill="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lignment horizontal="center" vertical="center" wrapText="1"/>
    </xf>
    <xf numFmtId="49" fontId="0" fillId="44" borderId="12" xfId="0" applyFont="1" applyFill="1" applyBorder="1" applyNumberFormat="1">
      <alignment vertical="top"/>
    </xf>
    <xf numFmtId="0" fontId="25" fillId="0" borderId="0" xfId="0" applyFont="1">
      <alignment horizontal="center" vertical="center" wrapText="1"/>
    </xf>
    <xf numFmtId="0" fontId="81" fillId="0" borderId="0" xfId="0" applyFont="1">
      <alignment horizontal="left" vertical="center" wrapText="1"/>
    </xf>
    <xf numFmtId="0" fontId="81" fillId="0" borderId="0" xfId="0" applyFon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lignment horizontal="left" vertical="center" wrapText="1"/>
    </xf>
    <xf numFmtId="14" fontId="83" fillId="0" borderId="12" xfId="0" applyFont="1" applyBorder="1" applyNumberFormat="1">
      <alignment horizontal="left" vertical="center" wrapText="1"/>
    </xf>
    <xf numFmtId="0" fontId="37" fillId="0" borderId="0" xfId="0" applyFon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lignment horizontal="center" vertical="center" wrapText="1"/>
    </xf>
    <xf numFmtId="49" fontId="19" fillId="0" borderId="14" xfId="0" applyFont="1" applyBorder="1" applyNumberFormat="1">
      <alignment horizontal="center" vertical="top"/>
    </xf>
    <xf numFmtId="0" fontId="24" fillId="0" borderId="24" xfId="0" applyFont="1" applyBorder="1">
      <alignment vertical="top" wrapText="1"/>
    </xf>
    <xf numFmtId="0" fontId="24" fillId="0" borderId="0" xfId="0" applyFont="1">
      <alignment vertical="top" wrapText="1"/>
    </xf>
    <xf numFmtId="0" fontId="37" fillId="0" borderId="12" xfId="0" applyFont="1" applyBorder="1">
      <alignment horizontal="center" vertical="center" wrapText="1"/>
    </xf>
    <xf numFmtId="0" fontId="36" fillId="0" borderId="23" xfId="0" applyFont="1" applyBorder="1">
      <alignment horizontal="center" vertical="center" wrapText="1"/>
    </xf>
    <xf numFmtId="0" fontId="37" fillId="0" borderId="12" xfId="0" applyFont="1" applyBorder="1">
      <alignment horizontal="center" vertical="center"/>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19" fillId="0" borderId="14"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lignment vertical="center"/>
    </xf>
    <xf numFmtId="0" fontId="19" fillId="0" borderId="13" xfId="0" applyFont="1" applyBorder="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lignment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25" fillId="34" borderId="0" xfId="0" applyFont="1" applyFill="1">
      <alignment horizontal="center" vertical="center" wrapText="1"/>
    </xf>
    <xf numFmtId="0" fontId="19" fillId="34"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24" fillId="34" borderId="15" xfId="0" applyFont="1" applyFill="1" applyBorder="1" applyNumberFormat="1">
      <alignment horizontal="center" vertical="center" wrapText="1"/>
    </xf>
    <xf numFmtId="0" fontId="19" fillId="0" borderId="0" xfId="0" applyFont="1">
      <alignment horizontal="left" vertical="center" wrapText="1" indent="1"/>
    </xf>
    <xf numFmtId="0" fontId="71" fillId="0" borderId="17" xfId="0" applyFont="1" applyBorder="1">
      <alignment horizontal="center" vertical="center" wrapText="1"/>
    </xf>
    <xf numFmtId="49" fontId="36" fillId="0" borderId="0" xfId="0" applyFont="1" applyNumberFormat="1">
      <alignment vertical="top"/>
    </xf>
    <xf numFmtId="0" fontId="8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lignment horizontal="left" vertical="top" wrapText="1"/>
    </xf>
    <xf numFmtId="0" fontId="85" fillId="40" borderId="12" xfId="0" applyFont="1" applyFill="1" applyBorder="1">
      <alignment horizontal="right" vertical="center" wrapText="1"/>
    </xf>
    <xf numFmtId="49" fontId="85" fillId="0" borderId="12" xfId="0" applyFont="1" applyBorder="1" applyNumberFormat="1">
      <alignment vertical="top" wrapText="1"/>
    </xf>
    <xf numFmtId="0" fontId="85" fillId="0" borderId="17" xfId="0" applyFont="1" applyBorder="1">
      <alignment horizontal="left" vertical="top" wrapText="1"/>
    </xf>
    <xf numFmtId="0" fontId="85" fillId="0" borderId="13" xfId="0" applyFont="1" applyBorder="1">
      <alignment horizontal="left" vertical="top" wrapText="1"/>
    </xf>
    <xf numFmtId="0" fontId="85" fillId="0" borderId="12" xfId="0" applyFont="1" applyBorder="1">
      <alignment vertical="top" wrapText="1"/>
    </xf>
    <xf numFmtId="0" fontId="81" fillId="40" borderId="12" xfId="0" applyFont="1" applyFill="1" applyBorder="1">
      <alignment horizontal="center" vertical="top" wrapText="1"/>
    </xf>
    <xf numFmtId="0" fontId="85" fillId="0" borderId="0" xfId="0" applyFont="1">
      <alignment vertical="top" wrapText="1"/>
    </xf>
    <xf numFmtId="0" fontId="80" fillId="0" borderId="0" xfId="0" applyFont="1">
      <alignment vertical="center" wrapText="1"/>
    </xf>
    <xf numFmtId="0" fontId="35" fillId="0" borderId="0" xfId="0" applyFon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lignment horizontal="center" vertical="center" wrapText="1"/>
    </xf>
    <xf numFmtId="0" fontId="25" fillId="34" borderId="24" xfId="0" applyFont="1" applyFill="1" applyBorder="1">
      <alignment vertical="top" wrapText="1"/>
    </xf>
    <xf numFmtId="0" fontId="25" fillId="34" borderId="0" xfId="0" applyFont="1" applyFill="1">
      <alignment vertical="top" wrapText="1"/>
    </xf>
    <xf numFmtId="14" fontId="19" fillId="39" borderId="29" xfId="0" applyFont="1" applyFill="1" applyBorder="1" applyNumberFormat="1">
      <alignment horizontal="left" vertical="center" wrapText="1"/>
    </xf>
    <xf numFmtId="0" fontId="37" fillId="34" borderId="12" xfId="0" applyFont="1" applyFill="1" applyBorder="1">
      <alignment horizontal="center" vertical="center" wrapText="1"/>
    </xf>
    <xf numFmtId="0" fontId="29" fillId="36" borderId="15" xfId="0" applyFont="1" applyFill="1" applyBorder="1">
      <alignment vertical="center"/>
    </xf>
    <xf numFmtId="0" fontId="38" fillId="0" borderId="0" xfId="0" applyFont="1">
      <alignment vertical="center"/>
    </xf>
    <xf numFmtId="0" fontId="37" fillId="0" borderId="0" xfId="0" applyFon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lignment vertical="center" wrapText="1"/>
    </xf>
    <xf numFmtId="0" fontId="86" fillId="0" borderId="0" xfId="0" applyFont="1">
      <alignment vertical="center" wrapText="1"/>
    </xf>
    <xf numFmtId="0" fontId="36" fillId="0" borderId="0" xfId="0" applyFont="1">
      <alignment vertical="center" wrapText="1"/>
    </xf>
    <xf numFmtId="0" fontId="78" fillId="0" borderId="0" xfId="0" applyFont="1">
      <alignment horizontal="center" vertical="center" wrapText="1"/>
    </xf>
    <xf numFmtId="0" fontId="36" fillId="0" borderId="0" xfId="0" applyFon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lignment horizontal="center" vertical="center" wrapText="1"/>
    </xf>
    <xf numFmtId="0" fontId="0" fillId="38" borderId="14" xfId="0" applyFont="1" applyFill="1" applyBorder="1">
      <alignment horizontal="left" vertical="center" wrapText="1" indent="2"/>
      <protection locked="0"/>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87" fillId="34" borderId="0" xfId="0" applyFont="1" applyFill="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lignment vertical="top" wrapText="1"/>
    </xf>
    <xf numFmtId="0" fontId="85" fillId="0" borderId="36" xfId="0" applyFont="1" applyBorder="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lignment horizontal="center" vertical="center" wrapText="1"/>
    </xf>
    <xf numFmtId="0" fontId="19" fillId="34" borderId="17" xfId="0" applyFont="1" applyFill="1" applyBorder="1">
      <alignment horizontal="center" vertical="center" wrapText="1"/>
    </xf>
    <xf numFmtId="49" fontId="88" fillId="0" borderId="0" xfId="0" applyFont="1" applyNumberFormat="1">
      <alignment horizontal="center" vertical="center" wrapText="1"/>
    </xf>
    <xf numFmtId="0" fontId="19"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0" fontId="19" fillId="0" borderId="38" xfId="0" applyFont="1" applyBorder="1">
      <alignment vertical="center" wrapText="1"/>
    </xf>
    <xf numFmtId="0" fontId="36" fillId="0" borderId="0" xfId="0" applyFont="1">
      <alignment vertical="center" wrapText="1"/>
    </xf>
    <xf numFmtId="49" fontId="19" fillId="0" borderId="0" xfId="0" applyFont="1" applyNumberFormat="1">
      <alignment vertical="top"/>
    </xf>
    <xf numFmtId="0" fontId="19" fillId="34" borderId="0" xfId="0" applyFont="1" applyFill="1">
      <alignment vertical="center" wrapText="1"/>
    </xf>
    <xf numFmtId="49" fontId="19" fillId="0" borderId="0" xfId="0" applyFont="1" applyNumberFormat="1">
      <alignment vertical="top"/>
    </xf>
    <xf numFmtId="0" fontId="19" fillId="0" borderId="0" xfId="0" applyFont="1">
      <alignment vertical="center"/>
    </xf>
    <xf numFmtId="0" fontId="0" fillId="34" borderId="17" xfId="0" applyFont="1" applyFill="1" applyBorder="1">
      <alignment horizontal="center" vertical="center" wrapText="1"/>
    </xf>
    <xf numFmtId="0" fontId="0" fillId="34" borderId="37" xfId="0" applyFont="1" applyFill="1" applyBorder="1">
      <alignment horizontal="center" vertical="center" wrapText="1"/>
    </xf>
    <xf numFmtId="0" fontId="19" fillId="36" borderId="29" xfId="0" applyFont="1" applyFill="1" applyBorder="1">
      <alignment vertical="center" wrapText="1"/>
    </xf>
    <xf numFmtId="0" fontId="19" fillId="0" borderId="0" xfId="0" applyFont="1">
      <alignment vertical="center" wrapText="1"/>
    </xf>
    <xf numFmtId="0" fontId="19" fillId="34" borderId="39" xfId="0" applyFont="1" applyFill="1" applyBorder="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lignment vertical="top" wrapText="1"/>
    </xf>
    <xf numFmtId="0" fontId="19" fillId="0" borderId="14"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lignment horizontal="center" vertical="center" wrapText="1"/>
    </xf>
    <xf numFmtId="49" fontId="81" fillId="0" borderId="12" xfId="0" applyFont="1" applyBorder="1" applyNumberFormat="1">
      <alignment horizontal="center" vertical="center" wrapText="1"/>
    </xf>
    <xf numFmtId="0" fontId="81" fillId="0" borderId="12" xfId="0" applyFont="1" applyBorder="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lignment vertical="center" wrapText="1"/>
    </xf>
    <xf numFmtId="0" fontId="81" fillId="0" borderId="17" xfId="0" applyFont="1" applyBorder="1">
      <alignment vertical="center" wrapText="1"/>
    </xf>
    <xf numFmtId="0" fontId="81" fillId="0" borderId="23" xfId="0" applyFont="1" applyBorder="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lignment horizontal="center" vertical="center" wrapText="1"/>
    </xf>
    <xf numFmtId="0" fontId="19" fillId="0" borderId="20" xfId="0" applyFont="1" applyBorder="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lignment vertical="center" wrapText="1"/>
    </xf>
    <xf numFmtId="0" fontId="37" fillId="0" borderId="12" xfId="0" applyFont="1" applyBorder="1">
      <alignment horizontal="left" vertical="center" wrapText="1" indent="3"/>
    </xf>
    <xf numFmtId="49" fontId="37" fillId="0" borderId="12" xfId="0" applyFont="1" applyBorder="1" applyNumberFormat="1">
      <alignment vertical="center" wrapText="1"/>
    </xf>
    <xf numFmtId="0" fontId="37" fillId="0" borderId="17" xfId="0" applyFont="1" applyBorder="1">
      <alignment vertical="top" wrapText="1"/>
    </xf>
    <xf numFmtId="0" fontId="37" fillId="0" borderId="36" xfId="0" applyFont="1" applyBorder="1">
      <alignment horizontal="left" vertical="center" wrapText="1" indent="1"/>
    </xf>
    <xf numFmtId="0" fontId="37" fillId="0" borderId="36" xfId="0" applyFont="1" applyBorder="1">
      <alignment horizontal="center" vertical="center" wrapText="1"/>
    </xf>
    <xf numFmtId="0" fontId="37" fillId="0" borderId="17" xfId="0" applyFont="1" applyBorder="1">
      <alignment vertical="center" wrapText="1"/>
    </xf>
    <xf numFmtId="0" fontId="37" fillId="0" borderId="23" xfId="0" applyFont="1" applyBorder="1">
      <alignment horizontal="left" vertical="center" wrapText="1" indent="1"/>
    </xf>
    <xf numFmtId="0" fontId="37" fillId="0" borderId="17" xfId="0" applyFont="1" applyBorder="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lignment horizontal="center" vertical="center" wrapText="1"/>
    </xf>
    <xf numFmtId="0" fontId="19" fillId="0" borderId="23" xfId="0" applyFont="1" applyBorder="1">
      <alignment vertical="top" wrapText="1"/>
    </xf>
    <xf numFmtId="0" fontId="19" fillId="0" borderId="23" xfId="0" applyFont="1" applyBorder="1">
      <alignment vertical="top" wrapText="1"/>
    </xf>
    <xf numFmtId="0" fontId="81" fillId="0" borderId="14" xfId="0" applyFont="1" applyBorder="1">
      <alignment horizontal="center" vertical="center"/>
    </xf>
    <xf numFmtId="49" fontId="37" fillId="34" borderId="12" xfId="0" applyFont="1" applyFill="1" applyBorder="1" applyNumberFormat="1">
      <alignment horizontal="center" vertical="center"/>
    </xf>
    <xf numFmtId="0" fontId="37" fillId="34" borderId="12" xfId="0" applyFont="1" applyFill="1" applyBorder="1">
      <alignment horizontal="left" vertical="center" wrapText="1" indent="1"/>
    </xf>
    <xf numFmtId="0" fontId="37" fillId="34" borderId="12" xfId="0" applyFont="1" applyFill="1" applyBorder="1">
      <alignment vertical="center" wrapText="1"/>
    </xf>
    <xf numFmtId="49" fontId="37" fillId="0" borderId="12" xfId="0" applyFont="1" applyBorder="1" applyNumberFormat="1">
      <alignment horizontal="center" vertical="center"/>
    </xf>
    <xf numFmtId="0" fontId="37" fillId="0" borderId="12" xfId="0" applyFont="1" applyBorder="1">
      <alignment horizontal="left" vertical="center" wrapText="1" indent="1"/>
    </xf>
    <xf numFmtId="0" fontId="37" fillId="0" borderId="12" xfId="0" applyFont="1" applyBorder="1">
      <alignment horizontal="left" vertical="center" wrapText="1"/>
    </xf>
    <xf numFmtId="0" fontId="37" fillId="0" borderId="12" xfId="0" applyFont="1" applyBorder="1">
      <alignment vertical="center" wrapText="1"/>
    </xf>
    <xf numFmtId="0" fontId="37" fillId="0" borderId="12" xfId="0" applyFont="1" applyBorder="1">
      <alignment horizontal="center" vertical="center" wrapText="1"/>
    </xf>
    <xf numFmtId="0" fontId="37" fillId="34" borderId="12" xfId="0" applyFont="1" applyFill="1" applyBorder="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lignment horizontal="center" vertical="center" wrapText="1"/>
    </xf>
    <xf numFmtId="0" fontId="91" fillId="34" borderId="0" xfId="0" applyFont="1" applyFill="1">
      <alignment horizontal="right" vertical="center"/>
    </xf>
    <xf numFmtId="0" fontId="19" fillId="0" borderId="23" xfId="0" applyFont="1" applyBorder="1">
      <alignment horizontal="left" vertical="center" wrapText="1"/>
    </xf>
    <xf numFmtId="49" fontId="36" fillId="0" borderId="0" xfId="0" applyFont="1" applyNumberFormat="1">
      <alignment horizontal="center" vertical="center" wrapText="1"/>
    </xf>
    <xf numFmtId="0" fontId="37" fillId="0" borderId="27" xfId="0" applyFont="1" applyBorder="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lignment vertical="center" wrapText="1"/>
    </xf>
    <xf numFmtId="0" fontId="19" fillId="0" borderId="32" xfId="0" applyFont="1" applyBorder="1">
      <alignment horizontal="left" vertical="center" wrapText="1"/>
    </xf>
    <xf numFmtId="49" fontId="36" fillId="0" borderId="0" xfId="0" applyFont="1" applyNumberFormat="1">
      <alignment horizontal="center" vertical="center" wrapText="1"/>
    </xf>
    <xf numFmtId="0" fontId="19" fillId="0" borderId="0" xfId="0" applyFont="1">
      <alignment vertical="top" wrapText="1"/>
    </xf>
    <xf numFmtId="0" fontId="19" fillId="0" borderId="0" xfId="0" applyFont="1">
      <alignment vertical="top"/>
    </xf>
    <xf numFmtId="4" fontId="19" fillId="0" borderId="40" xfId="0" applyFont="1" applyBorder="1" applyNumberFormat="1">
      <alignment horizontal="center" vertical="center" wrapText="1"/>
    </xf>
    <xf numFmtId="0" fontId="37" fillId="0" borderId="0" xfId="0" applyFont="1">
      <alignment horizontal="center" vertical="top"/>
    </xf>
    <xf numFmtId="49" fontId="37" fillId="0" borderId="0" xfId="0" applyFont="1" applyNumberFormat="1">
      <alignment vertical="top"/>
    </xf>
    <xf numFmtId="0" fontId="37" fillId="0" borderId="23" xfId="0" applyFont="1" applyBorder="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lignment horizontal="left" vertical="center" indent="1"/>
    </xf>
    <xf numFmtId="49" fontId="29" fillId="0" borderId="19" xfId="0" applyFont="1" applyBorder="1" applyNumberFormat="1">
      <alignment horizontal="right" vertical="center"/>
    </xf>
    <xf numFmtId="0" fontId="19" fillId="39" borderId="12" xfId="0" applyFont="1" applyFill="1" applyBorder="1">
      <alignment horizontal="left" vertical="center" wrapText="1" indent="1"/>
    </xf>
    <xf numFmtId="0" fontId="19" fillId="0" borderId="12" xfId="0" applyFont="1" applyBorder="1">
      <alignment horizontal="center" vertical="center" wrapText="1"/>
    </xf>
    <xf numFmtId="0" fontId="37" fillId="0" borderId="0" xfId="0" applyFon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lignment horizontal="left" vertical="center" wrapText="1" indent="1"/>
    </xf>
    <xf numFmtId="0" fontId="19" fillId="0" borderId="0" xfId="0" applyFon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lignment vertical="center" wrapText="1"/>
    </xf>
    <xf numFmtId="0" fontId="19" fillId="0" borderId="27" xfId="0" applyFont="1" applyBorder="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lignment horizontal="left" vertical="center"/>
    </xf>
    <xf numFmtId="0" fontId="0" fillId="48" borderId="12" xfId="0" applyFont="1" applyFill="1" applyBorder="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19" fillId="0" borderId="13" xfId="0" applyFont="1" applyBorder="1">
      <alignment vertical="center"/>
    </xf>
    <xf numFmtId="49" fontId="19" fillId="0" borderId="12" xfId="0" applyFont="1" applyBorder="1" applyNumberFormat="1">
      <alignment vertical="center"/>
    </xf>
    <xf numFmtId="0" fontId="0" fillId="0" borderId="0" xfId="0" applyFont="1">
      <alignment vertical="top"/>
    </xf>
    <xf numFmtId="0" fontId="19" fillId="0" borderId="12" xfId="0" applyFont="1" applyBorder="1">
      <alignment vertical="top"/>
    </xf>
    <xf numFmtId="49" fontId="19" fillId="0" borderId="12" xfId="0" applyFont="1" applyBorder="1" applyNumberFormat="1">
      <alignment vertical="top"/>
    </xf>
    <xf numFmtId="0" fontId="19" fillId="0" borderId="0" xfId="0" applyFont="1">
      <alignment vertical="center"/>
    </xf>
    <xf numFmtId="49" fontId="19" fillId="0" borderId="14" xfId="0" applyFont="1" applyBorder="1" applyNumberFormat="1">
      <alignment vertical="top"/>
    </xf>
    <xf numFmtId="0" fontId="0" fillId="0" borderId="0" xfId="0" applyFont="1">
      <alignment vertical="center"/>
    </xf>
    <xf numFmtId="0" fontId="19" fillId="0" borderId="0" xfId="0" applyFon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19" fillId="0" borderId="17" xfId="0" applyFont="1" applyBorder="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92" fillId="0" borderId="46" xfId="0" applyFont="1" applyBorder="1">
      <alignment horizontal="center" vertical="center"/>
    </xf>
    <xf numFmtId="0" fontId="0" fillId="0" borderId="46" xfId="0" applyFont="1" applyBorder="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lignment horizontal="center" vertical="center"/>
    </xf>
    <xf numFmtId="0" fontId="0" fillId="0" borderId="31" xfId="0" applyFont="1" applyBorder="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lignment horizontal="right" vertical="center"/>
    </xf>
    <xf numFmtId="0" fontId="93" fillId="0" borderId="47" xfId="0" applyFont="1" applyBorder="1">
      <alignment horizontal="left" vertical="center" indent="1"/>
    </xf>
    <xf numFmtId="0" fontId="93" fillId="0" borderId="48" xfId="0" applyFont="1" applyBorder="1">
      <alignment horizontal="left" vertical="center" indent="1"/>
    </xf>
    <xf numFmtId="0" fontId="93" fillId="0" borderId="49" xfId="0" applyFont="1" applyBorder="1">
      <alignment horizontal="left" vertical="center" indent="1"/>
    </xf>
    <xf numFmtId="0" fontId="19" fillId="34" borderId="0" xfId="0" applyFont="1" applyFill="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49" fontId="88" fillId="0" borderId="0" xfId="0" applyFont="1" applyNumberFormat="1">
      <alignment horizontal="center" vertical="center" wrapText="1"/>
    </xf>
    <xf numFmtId="0" fontId="19" fillId="34" borderId="0" xfId="0" applyFont="1" applyFill="1">
      <alignment vertical="center" wrapText="1"/>
    </xf>
    <xf numFmtId="0" fontId="19" fillId="0" borderId="0" xfId="0" applyFont="1">
      <alignment vertical="center" wrapText="1"/>
    </xf>
    <xf numFmtId="0" fontId="39" fillId="34" borderId="39" xfId="0" applyFont="1" applyFill="1" applyBorder="1">
      <alignment horizontal="center" wrapText="1"/>
    </xf>
    <xf numFmtId="49" fontId="60" fillId="0" borderId="39" xfId="0" applyFont="1" applyBorder="1" applyNumberFormat="1">
      <alignment vertical="top"/>
    </xf>
    <xf numFmtId="0" fontId="0" fillId="0" borderId="12" xfId="0" applyFont="1" applyBorder="1">
      <alignment horizontal="center" vertical="center" wrapText="1"/>
    </xf>
    <xf numFmtId="0" fontId="19" fillId="0" borderId="0" xfId="0" applyFont="1">
      <alignment horizontal="left" vertical="center" wrapText="1" indent="3"/>
    </xf>
    <xf numFmtId="0" fontId="19" fillId="0" borderId="0" xfId="0" applyFont="1">
      <alignment horizontal="left" vertical="center" wrapText="1" indent="3"/>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12" xfId="0" applyFont="1" applyBorder="1">
      <alignment horizontal="center" vertical="center" wrapText="1"/>
    </xf>
    <xf numFmtId="0" fontId="19" fillId="0" borderId="0" xfId="0" applyFont="1">
      <alignment vertical="center" wrapText="1"/>
    </xf>
    <xf numFmtId="0" fontId="19" fillId="34" borderId="39" xfId="0" applyFont="1" applyFill="1" applyBorder="1">
      <alignment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0" fontId="36" fillId="0" borderId="0" xfId="0" applyFont="1">
      <alignment vertical="center" wrapText="1"/>
    </xf>
    <xf numFmtId="0" fontId="19" fillId="0" borderId="0" xfId="0" applyFont="1">
      <alignment vertical="center" wrapText="1"/>
    </xf>
    <xf numFmtId="0" fontId="19" fillId="0" borderId="0" xfId="0" applyFont="1">
      <alignment vertical="center" wrapText="1"/>
    </xf>
    <xf numFmtId="0" fontId="19" fillId="34" borderId="39" xfId="0" applyFont="1" applyFill="1" applyBorder="1">
      <alignment vertical="center" wrapText="1"/>
    </xf>
    <xf numFmtId="0" fontId="19" fillId="38" borderId="12" xfId="0" applyFont="1" applyFill="1" applyBorder="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20" fillId="0" borderId="0" xfId="0" applyFon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lignment vertical="top"/>
    </xf>
    <xf numFmtId="0" fontId="36" fillId="0" borderId="0" xfId="0" applyFon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lignment horizontal="left" vertical="center"/>
    </xf>
    <xf numFmtId="0" fontId="0" fillId="0" borderId="14" xfId="0" applyFont="1" applyBorder="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lignment vertical="center" wrapText="1"/>
    </xf>
    <xf numFmtId="0" fontId="19" fillId="0" borderId="38" xfId="0" applyFont="1" applyBorder="1">
      <alignment vertical="center" wrapText="1"/>
    </xf>
    <xf numFmtId="0" fontId="19" fillId="0" borderId="0" xfId="0" applyFont="1">
      <alignment vertical="center"/>
    </xf>
    <xf numFmtId="0" fontId="19" fillId="0" borderId="0" xfId="0" applyFont="1">
      <alignment vertical="center" wrapText="1"/>
    </xf>
    <xf numFmtId="0" fontId="19" fillId="36" borderId="50" xfId="0" applyFont="1" applyFill="1" applyBorder="1">
      <alignment vertical="center" wrapText="1"/>
    </xf>
    <xf numFmtId="0" fontId="19" fillId="36" borderId="51" xfId="0" applyFont="1" applyFill="1" applyBorder="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lignment vertical="center" wrapText="1"/>
    </xf>
    <xf numFmtId="0" fontId="19" fillId="34" borderId="39" xfId="0" applyFont="1" applyFill="1" applyBorder="1">
      <alignment vertical="center" wrapText="1"/>
    </xf>
    <xf numFmtId="0" fontId="0" fillId="0" borderId="49" xfId="0" applyFont="1" applyBorder="1">
      <alignment horizontal="left" vertical="center" wrapText="1"/>
    </xf>
    <xf numFmtId="0" fontId="19" fillId="0" borderId="49" xfId="0" applyFont="1" applyBorder="1">
      <alignment vertical="center" wrapText="1"/>
    </xf>
    <xf numFmtId="0" fontId="19" fillId="0" borderId="54" xfId="0" applyFont="1" applyBorder="1">
      <alignment vertical="center" wrapText="1"/>
    </xf>
    <xf numFmtId="0" fontId="19" fillId="0" borderId="55" xfId="0" applyFont="1" applyBorder="1">
      <alignment vertical="center" wrapText="1"/>
    </xf>
    <xf numFmtId="0" fontId="19" fillId="39" borderId="12" xfId="0" applyFont="1" applyFill="1" applyBorder="1">
      <alignment horizontal="left" vertical="center" wrapText="1" indent="1"/>
    </xf>
    <xf numFmtId="0" fontId="0" fillId="36" borderId="50" xfId="0" applyFont="1" applyFill="1" applyBorder="1">
      <alignment horizontal="left" vertical="center"/>
    </xf>
    <xf numFmtId="0" fontId="19" fillId="34" borderId="12" xfId="0" applyFont="1" applyFill="1" applyBorder="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lignment horizontal="right" vertical="center"/>
    </xf>
    <xf numFmtId="0" fontId="19" fillId="0" borderId="17" xfId="0" applyFont="1" applyBorder="1">
      <alignment horizontal="center" vertical="center"/>
    </xf>
    <xf numFmtId="0" fontId="19" fillId="0" borderId="12" xfId="0" applyFont="1" applyBorder="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lignment horizontal="right" vertical="center"/>
    </xf>
    <xf numFmtId="0" fontId="19" fillId="0" borderId="56" xfId="0" applyFont="1" applyBorder="1">
      <alignment horizontal="center" vertical="center"/>
    </xf>
    <xf numFmtId="0" fontId="19" fillId="0" borderId="15" xfId="0" applyFont="1" applyBorder="1">
      <alignment horizontal="right" vertical="center"/>
    </xf>
    <xf numFmtId="0" fontId="19" fillId="0" borderId="13" xfId="0" applyFont="1" applyBorder="1">
      <alignment horizontal="right" vertical="center"/>
    </xf>
    <xf numFmtId="0" fontId="19" fillId="34" borderId="12" xfId="0" applyFont="1" applyFill="1" applyBorder="1">
      <alignment horizontal="center" vertical="center"/>
    </xf>
    <xf numFmtId="0" fontId="19" fillId="39" borderId="12" xfId="0" applyFont="1" applyFill="1" applyBorder="1">
      <alignment horizontal="left" vertical="center" wrapText="1" indent="1"/>
    </xf>
    <xf numFmtId="0" fontId="19" fillId="38" borderId="12" xfId="0" applyFont="1" applyFill="1" applyBorder="1">
      <alignment horizontal="left" vertical="center" wrapText="1" indent="1"/>
      <protection locked="0"/>
    </xf>
    <xf numFmtId="0" fontId="19" fillId="40" borderId="12" xfId="0" applyFont="1" applyFill="1" applyBorder="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lignment horizontal="left" vertical="center" indent="1"/>
      <protection locked="0"/>
    </xf>
    <xf numFmtId="0" fontId="19" fillId="47" borderId="0" xfId="0" applyFont="1" applyFill="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lignment horizontal="center" vertical="center" wrapText="1"/>
    </xf>
    <xf numFmtId="0" fontId="19" fillId="0" borderId="0" xfId="0" applyFont="1">
      <alignment horizontal="right" vertical="center" wrapText="1"/>
    </xf>
    <xf numFmtId="0" fontId="24" fillId="34" borderId="0" xfId="0" applyFont="1" applyFill="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lignment horizontal="left" vertical="center" wrapText="1"/>
    </xf>
    <xf numFmtId="0" fontId="19" fillId="34" borderId="12" xfId="0" applyFont="1" applyFill="1" applyBorder="1">
      <alignment horizontal="left" vertical="center" wrapText="1"/>
    </xf>
    <xf numFmtId="0" fontId="25" fillId="34" borderId="0" xfId="0" applyFont="1" applyFill="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lignment vertical="center" wrapText="1"/>
    </xf>
    <xf numFmtId="49" fontId="37" fillId="0" borderId="0" xfId="0" applyFont="1" applyNumberFormat="1">
      <alignment vertical="top"/>
    </xf>
    <xf numFmtId="0" fontId="3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lignment vertical="center" wrapText="1"/>
    </xf>
    <xf numFmtId="0" fontId="19" fillId="34" borderId="27" xfId="0" applyFont="1" applyFill="1" applyBorder="1">
      <alignment vertical="center" wrapText="1"/>
    </xf>
    <xf numFmtId="0" fontId="37" fillId="34" borderId="19" xfId="0" applyFont="1" applyFill="1" applyBorder="1">
      <alignment horizontal="center" vertical="center" wrapText="1"/>
    </xf>
    <xf numFmtId="49" fontId="63" fillId="0" borderId="0" xfId="0" applyFont="1" applyNumberFormat="1">
      <alignment vertical="center" wrapText="1"/>
    </xf>
    <xf numFmtId="0" fontId="96" fillId="34" borderId="0" xfId="0" applyFont="1" applyFill="1">
      <alignment vertical="center" wrapText="1"/>
    </xf>
    <xf numFmtId="0" fontId="62" fillId="0" borderId="0" xfId="0" applyFont="1">
      <alignment horizontal="left" vertical="center" wrapText="1"/>
    </xf>
    <xf numFmtId="0" fontId="19" fillId="0" borderId="0" xfId="0" applyFont="1">
      <alignment vertical="center"/>
    </xf>
    <xf numFmtId="49" fontId="37" fillId="34" borderId="0" xfId="0" applyFont="1" applyFill="1" applyNumberFormat="1">
      <alignment horizontal="center" vertical="center" wrapText="1"/>
    </xf>
    <xf numFmtId="0" fontId="19" fillId="0" borderId="0" xfId="0" applyFont="1">
      <alignment horizontal="left" vertical="center" wrapText="1"/>
    </xf>
    <xf numFmtId="0" fontId="37" fillId="0" borderId="0" xfId="0" applyFont="1">
      <alignment vertical="center"/>
    </xf>
    <xf numFmtId="0" fontId="19" fillId="0" borderId="0" xfId="0" applyFont="1">
      <alignment horizontal="left" vertical="center" wrapText="1" indent="1"/>
    </xf>
    <xf numFmtId="0" fontId="72" fillId="0" borderId="0" xfId="0" applyFont="1">
      <alignment vertical="center" wrapText="1"/>
    </xf>
    <xf numFmtId="0" fontId="19" fillId="0" borderId="0" xfId="0" applyFon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lignment horizontal="left" vertical="center" wrapText="1" indent="6"/>
    </xf>
    <xf numFmtId="49" fontId="19" fillId="36" borderId="29" xfId="0" applyFont="1" applyFill="1" applyBorder="1" applyNumberFormat="1">
      <alignment horizontal="center" vertical="center" wrapText="1"/>
    </xf>
    <xf numFmtId="0" fontId="37" fillId="0" borderId="0" xfId="0" applyFont="1">
      <alignment vertical="top" wrapText="1"/>
    </xf>
    <xf numFmtId="49" fontId="0" fillId="0" borderId="0" xfId="0" applyFont="1" applyNumberFormat="1">
      <alignment vertical="center" wrapText="1"/>
    </xf>
    <xf numFmtId="0" fontId="97" fillId="34" borderId="0" xfId="0" applyFont="1" applyFill="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lignment vertical="top" wrapText="1"/>
    </xf>
    <xf numFmtId="0" fontId="19" fillId="39" borderId="12" xfId="0" applyFont="1" applyFill="1" applyBorder="1">
      <alignment horizontal="left" vertical="center" wrapText="1" indent="6"/>
      <protection locked="0"/>
    </xf>
    <xf numFmtId="0" fontId="19" fillId="0" borderId="0" xfId="0" applyFont="1">
      <alignment vertical="center"/>
    </xf>
    <xf numFmtId="0" fontId="98"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98" fillId="0" borderId="0" xfId="0" applyFont="1">
      <alignment vertical="center"/>
    </xf>
    <xf numFmtId="0" fontId="19" fillId="0" borderId="0" xfId="0" applyFont="1">
      <alignment vertical="center"/>
    </xf>
    <xf numFmtId="0" fontId="19" fillId="0" borderId="0" xfId="0" applyFont="1">
      <alignment vertical="center"/>
    </xf>
    <xf numFmtId="0" fontId="19" fillId="0" borderId="0" xfId="0" applyFon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lignment horizontal="left" vertical="center" wrapText="1"/>
    </xf>
    <xf numFmtId="0" fontId="0" fillId="0" borderId="0" xfId="0" applyFon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lignment horizontal="right" vertical="center"/>
    </xf>
    <xf numFmtId="0" fontId="37" fillId="0" borderId="12" xfId="0" applyFont="1" applyBorder="1">
      <alignment horizontal="center" vertical="center"/>
    </xf>
    <xf numFmtId="0" fontId="0" fillId="0" borderId="0" xfId="0" applyFont="1">
      <alignment vertical="center"/>
    </xf>
    <xf numFmtId="0" fontId="19" fillId="0" borderId="12" xfId="0" applyFont="1" applyBorder="1">
      <alignment horizontal="center" vertical="center" wrapText="1"/>
    </xf>
    <xf numFmtId="0" fontId="0" fillId="0" borderId="0" xfId="0" applyFont="1">
      <alignment horizontal="left" vertical="top" wrapText="1"/>
    </xf>
    <xf numFmtId="49" fontId="19" fillId="0" borderId="0" xfId="0" applyFont="1" applyNumberFormat="1">
      <alignment vertical="center" wrapText="1"/>
    </xf>
    <xf numFmtId="0" fontId="19" fillId="0" borderId="0" xfId="0" applyFont="1">
      <alignment horizontal="right" vertical="center" wrapText="1"/>
    </xf>
    <xf numFmtId="0" fontId="19" fillId="0" borderId="0" xfId="0" applyFont="1">
      <alignment horizontal="left" vertical="top" wrapText="1"/>
    </xf>
    <xf numFmtId="0" fontId="70" fillId="34" borderId="19" xfId="0" applyFont="1" applyFill="1" applyBorder="1">
      <alignment horizontal="center" vertical="center" wrapText="1"/>
    </xf>
    <xf numFmtId="0" fontId="19" fillId="0" borderId="0" xfId="0" applyFont="1">
      <alignment horizontal="center" vertical="center" wrapText="1"/>
    </xf>
    <xf numFmtId="0" fontId="37"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0" fontId="44" fillId="47" borderId="0" xfId="0" applyFont="1" applyFill="1">
      <alignment horizontal="left" vertical="center"/>
    </xf>
    <xf numFmtId="49" fontId="19" fillId="0" borderId="20" xfId="0" applyFont="1" applyBorder="1" applyNumberFormat="1">
      <alignment horizontal="left" vertical="center" wrapText="1"/>
    </xf>
    <xf numFmtId="0" fontId="29" fillId="0" borderId="0" xfId="0" applyFont="1">
      <alignment horizontal="left" vertical="center"/>
    </xf>
    <xf numFmtId="0" fontId="29" fillId="0" borderId="24" xfId="0" applyFont="1" applyBorder="1">
      <alignment horizontal="left" vertical="center"/>
    </xf>
    <xf numFmtId="0" fontId="29" fillId="0" borderId="30" xfId="0" applyFont="1" applyBorder="1">
      <alignment horizontal="left" vertical="center"/>
    </xf>
    <xf numFmtId="0" fontId="29" fillId="0" borderId="27" xfId="0" applyFont="1" applyBorder="1">
      <alignment horizontal="left" vertical="center"/>
    </xf>
    <xf numFmtId="0" fontId="0" fillId="0" borderId="27" xfId="0" applyFont="1" applyBorder="1">
      <alignment vertical="center"/>
    </xf>
    <xf numFmtId="0" fontId="29" fillId="0" borderId="29" xfId="0" applyFont="1" applyBorder="1">
      <alignment horizontal="left" vertical="center"/>
    </xf>
    <xf numFmtId="49" fontId="19" fillId="0" borderId="0" xfId="0" applyFont="1" applyNumberFormat="1">
      <alignment vertical="center" wrapText="1"/>
    </xf>
    <xf numFmtId="0" fontId="19" fillId="0" borderId="0" xfId="0" applyFont="1">
      <alignment horizontal="center" vertical="center" wrapText="1"/>
    </xf>
    <xf numFmtId="0" fontId="37" fillId="0" borderId="0" xfId="0" applyFont="1">
      <alignment horizontal="center" vertical="center" wrapText="1"/>
    </xf>
    <xf numFmtId="49" fontId="19" fillId="0" borderId="12" xfId="0" applyFont="1" applyBorder="1" applyNumberFormat="1">
      <alignment horizontal="left" vertical="center" wrapText="1"/>
    </xf>
    <xf numFmtId="0" fontId="34" fillId="0" borderId="17" xfId="0" applyFont="1" applyBorder="1">
      <alignment vertical="top" wrapText="1"/>
    </xf>
    <xf numFmtId="0" fontId="0" fillId="0" borderId="0" xfId="0" applyFont="1">
      <alignment vertical="center"/>
    </xf>
    <xf numFmtId="0" fontId="19" fillId="34" borderId="12" xfId="0" applyFont="1" applyFill="1" applyBorder="1">
      <alignment horizontal="left" vertical="center" wrapText="1"/>
    </xf>
    <xf numFmtId="0" fontId="19" fillId="0" borderId="0" xfId="0" applyFont="1">
      <alignment horizontal="center" vertical="center"/>
    </xf>
    <xf numFmtId="49" fontId="19" fillId="0" borderId="0" xfId="0" applyFont="1" applyNumberFormat="1">
      <alignment vertical="center" wrapText="1"/>
    </xf>
    <xf numFmtId="0" fontId="70" fillId="34" borderId="19" xfId="0" applyFont="1" applyFill="1" applyBorder="1">
      <alignment horizontal="center" vertical="center" wrapText="1"/>
    </xf>
    <xf numFmtId="0" fontId="0" fillId="0" borderId="12" xfId="0" applyFont="1" applyBorder="1">
      <alignment horizontal="center" vertical="center" wrapText="1"/>
    </xf>
    <xf numFmtId="0" fontId="37" fillId="0" borderId="0" xfId="0" applyFont="1">
      <alignment horizontal="left" vertical="center" indent="1"/>
    </xf>
    <xf numFmtId="0" fontId="37" fillId="0" borderId="0" xfId="0" applyFon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lignment vertical="center"/>
    </xf>
    <xf numFmtId="0" fontId="19" fillId="0" borderId="0" xfId="0" applyFont="1">
      <alignment horizontal="center"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0" fontId="19" fillId="0" borderId="0" xfId="0" applyFont="1">
      <alignment horizontal="left" vertical="top"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19" fillId="34" borderId="12" xfId="0" applyFont="1" applyFill="1" applyBorder="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lignment horizontal="center" vertical="center" wrapText="1"/>
    </xf>
    <xf numFmtId="0" fontId="37" fillId="0" borderId="0" xfId="0" applyFont="1">
      <alignment horizontal="center" vertical="center"/>
    </xf>
    <xf numFmtId="0" fontId="19" fillId="0" borderId="0" xfId="0" applyFont="1">
      <alignment horizontal="right" vertical="center" wrapText="1"/>
    </xf>
    <xf numFmtId="0" fontId="70" fillId="34" borderId="0" xfId="0" applyFont="1" applyFill="1">
      <alignment horizontal="center" vertical="center" wrapText="1"/>
    </xf>
    <xf numFmtId="49" fontId="19" fillId="0" borderId="12" xfId="0" applyFont="1" applyBorder="1" applyNumberFormat="1">
      <alignment horizontal="left" vertical="center" wrapText="1"/>
    </xf>
    <xf numFmtId="0" fontId="37" fillId="0" borderId="0" xfId="0" applyFon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lignment horizontal="center" vertical="center"/>
    </xf>
    <xf numFmtId="0" fontId="19" fillId="39" borderId="12" xfId="0" applyFont="1" applyFill="1" applyBorder="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lignment vertical="center"/>
    </xf>
    <xf numFmtId="49" fontId="19" fillId="0" borderId="0" xfId="0" applyFont="1" applyNumberFormat="1">
      <alignment vertical="center" wrapText="1"/>
    </xf>
    <xf numFmtId="0" fontId="19" fillId="0" borderId="17" xfId="0" applyFont="1" applyBorder="1">
      <alignment horizontal="center" vertical="center" wrapText="1"/>
    </xf>
    <xf numFmtId="0" fontId="70" fillId="34" borderId="19" xfId="0" applyFont="1" applyFill="1" applyBorder="1">
      <alignment horizontal="center" vertical="center" wrapText="1"/>
    </xf>
    <xf numFmtId="0" fontId="37" fillId="0" borderId="0" xfId="0" applyFont="1">
      <alignment horizontal="center" vertical="center" wrapText="1"/>
    </xf>
    <xf numFmtId="0" fontId="19" fillId="0" borderId="0" xfId="0" applyFont="1">
      <alignment horizontal="right" vertical="center" wrapText="1"/>
    </xf>
    <xf numFmtId="0" fontId="19" fillId="0" borderId="0" xfId="0" applyFont="1">
      <alignment horizontal="center" vertical="center" wrapText="1"/>
    </xf>
    <xf numFmtId="0" fontId="0" fillId="0" borderId="12" xfId="0" applyFont="1" applyBorder="1">
      <alignment horizontal="center" vertical="center" wrapText="1"/>
    </xf>
    <xf numFmtId="0" fontId="19" fillId="34" borderId="12" xfId="0" applyFont="1" applyFill="1" applyBorder="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lignment horizontal="left" vertical="center" indent="1"/>
    </xf>
    <xf numFmtId="0" fontId="36" fillId="0" borderId="0" xfId="0" applyFont="1">
      <alignment horizontal="center" vertical="center"/>
    </xf>
    <xf numFmtId="0" fontId="36" fillId="0" borderId="0" xfId="0" applyFont="1">
      <alignment horizontal="left" vertical="center" wrapText="1"/>
    </xf>
    <xf numFmtId="0" fontId="36" fillId="0" borderId="0" xfId="0" applyFont="1">
      <alignment vertical="center" wrapText="1"/>
    </xf>
    <xf numFmtId="49" fontId="36" fillId="0" borderId="12" xfId="0" applyFont="1" applyBorder="1" applyNumberFormat="1">
      <alignment vertical="center" wrapText="1"/>
    </xf>
    <xf numFmtId="0" fontId="36" fillId="0" borderId="0" xfId="0" applyFont="1">
      <alignment vertical="center"/>
    </xf>
    <xf numFmtId="0" fontId="36" fillId="0" borderId="0" xfId="0" applyFont="1">
      <alignment horizontal="center" vertical="center"/>
    </xf>
    <xf numFmtId="0" fontId="36" fillId="0" borderId="0" xfId="0" applyFont="1">
      <alignment vertical="center"/>
    </xf>
    <xf numFmtId="0" fontId="59" fillId="0" borderId="0" xfId="0" applyFont="1">
      <alignment vertical="center" wrapText="1"/>
    </xf>
    <xf numFmtId="0" fontId="0" fillId="0" borderId="15" xfId="0" applyFont="1" applyBorder="1">
      <alignment vertical="center"/>
    </xf>
    <xf numFmtId="0" fontId="37" fillId="0" borderId="12" xfId="0" applyFont="1" applyBorder="1">
      <alignment horizontal="center" vertical="center" wrapText="1"/>
    </xf>
    <xf numFmtId="0" fontId="63" fillId="0" borderId="0" xfId="0" applyFont="1">
      <alignment horizontal="left" vertical="center" indent="1"/>
    </xf>
    <xf numFmtId="0" fontId="63" fillId="0" borderId="0" xfId="0" applyFont="1">
      <alignment horizontal="left" vertical="center" indent="1"/>
    </xf>
    <xf numFmtId="0" fontId="37" fillId="0" borderId="12" xfId="0" applyFont="1" applyBorder="1">
      <alignment vertical="center" wrapText="1"/>
    </xf>
    <xf numFmtId="0" fontId="63" fillId="0" borderId="0" xfId="0" applyFont="1">
      <alignment horizontal="center" vertical="center"/>
    </xf>
    <xf numFmtId="0" fontId="63" fillId="0" borderId="0" xfId="0" applyFont="1">
      <alignment horizontal="left" vertical="center" wrapText="1"/>
    </xf>
    <xf numFmtId="49" fontId="63" fillId="0" borderId="0" xfId="0" applyFont="1" applyNumberFormat="1">
      <alignment horizontal="left" vertical="center"/>
    </xf>
    <xf numFmtId="0" fontId="19" fillId="0" borderId="0" xfId="0" applyFont="1">
      <alignment horizontal="center" vertical="center"/>
    </xf>
    <xf numFmtId="0" fontId="63" fillId="0" borderId="0" xfId="0" applyFont="1">
      <alignment horizontal="center" vertical="center"/>
    </xf>
    <xf numFmtId="4" fontId="19" fillId="0" borderId="13" xfId="0" applyFont="1" applyBorder="1" applyNumberFormat="1">
      <alignment horizontal="right" vertical="center" wrapText="1"/>
    </xf>
    <xf numFmtId="0" fontId="37" fillId="0" borderId="12" xfId="0" applyFont="1" applyBorder="1">
      <alignment horizontal="left" vertical="center" wrapText="1" indent="4"/>
    </xf>
    <xf numFmtId="0" fontId="37" fillId="0" borderId="12" xfId="0" applyFont="1" applyBorder="1">
      <alignment horizontal="left" vertical="center" wrapText="1" indent="6"/>
    </xf>
    <xf numFmtId="0" fontId="37" fillId="0" borderId="12" xfId="0" applyFont="1" applyBorder="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lignment horizontal="left" vertical="center" wrapText="1" indent="7"/>
      <protection locked="0"/>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lignment horizontal="left" vertical="center" wrapText="1" indent="1"/>
    </xf>
    <xf numFmtId="0" fontId="37" fillId="0" borderId="12" xfId="0" applyFont="1" applyBorder="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lignment horizontal="center" vertical="center" wrapText="1"/>
    </xf>
    <xf numFmtId="0" fontId="46" fillId="34" borderId="0" xfId="0" applyFont="1" applyFill="1">
      <alignment horizontal="center" vertical="center" wrapText="1"/>
    </xf>
    <xf numFmtId="0" fontId="46" fillId="0" borderId="0" xfId="0" applyFont="1">
      <alignment vertical="center" wrapText="1"/>
    </xf>
    <xf numFmtId="0" fontId="37" fillId="0" borderId="0" xfId="0" applyFont="1">
      <alignment vertical="center"/>
    </xf>
    <xf numFmtId="0" fontId="38" fillId="0" borderId="0" xfId="0" applyFont="1">
      <alignment vertical="center"/>
    </xf>
    <xf numFmtId="0" fontId="37" fillId="0" borderId="0" xfId="0" applyFont="1">
      <alignment vertical="center"/>
    </xf>
    <xf numFmtId="0" fontId="37" fillId="0" borderId="0" xfId="0" applyFont="1">
      <alignment vertical="center"/>
    </xf>
    <xf numFmtId="0" fontId="0" fillId="0" borderId="0" xfId="0" applyFon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0" fontId="19" fillId="0" borderId="0" xfId="0" applyFon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lignment horizontal="left" vertical="center"/>
    </xf>
    <xf numFmtId="0" fontId="4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29" fillId="36" borderId="29" xfId="0" applyFont="1" applyFill="1" applyBorder="1">
      <alignment horizontal="left" vertical="center"/>
    </xf>
    <xf numFmtId="49" fontId="37" fillId="0" borderId="14" xfId="0" applyFont="1" applyBorder="1" applyNumberFormat="1">
      <alignment horizontal="left" vertical="center" wrapText="1"/>
    </xf>
    <xf numFmtId="0" fontId="37" fillId="0" borderId="14" xfId="0" applyFont="1" applyBorder="1">
      <alignment horizontal="left" vertical="center"/>
    </xf>
    <xf numFmtId="0" fontId="37" fillId="0" borderId="15" xfId="0" applyFont="1" applyBorder="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lignment vertical="center"/>
    </xf>
    <xf numFmtId="0" fontId="100" fillId="0" borderId="0" xfId="0" applyFon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lignment horizontal="left" vertical="center" wrapText="1"/>
    </xf>
    <xf numFmtId="0" fontId="37" fillId="0" borderId="0" xfId="0" applyFon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lignment horizontal="center" vertical="center" wrapText="1"/>
    </xf>
    <xf numFmtId="0" fontId="37" fillId="0" borderId="0" xfId="0" applyFont="1">
      <alignment horizontal="center" vertical="center" wrapText="1"/>
    </xf>
    <xf numFmtId="49" fontId="19" fillId="34" borderId="12" xfId="0" applyFont="1" applyFill="1" applyBorder="1" applyNumberFormat="1">
      <alignment horizontal="center" vertical="center" wrapText="1"/>
    </xf>
    <xf numFmtId="0" fontId="37" fillId="0" borderId="0" xfId="0" applyFont="1">
      <alignment horizontal="center" vertical="center"/>
    </xf>
    <xf numFmtId="0" fontId="19" fillId="34" borderId="12" xfId="0" applyFont="1" applyFill="1" applyBorder="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lignment vertical="center"/>
    </xf>
    <xf numFmtId="0" fontId="19" fillId="0" borderId="0" xfId="0" applyFon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lignment horizontal="center" vertical="center" wrapText="1"/>
    </xf>
    <xf numFmtId="0" fontId="0" fillId="34" borderId="12" xfId="0" applyFont="1" applyFill="1" applyBorder="1">
      <alignment horizontal="center" vertical="center" wrapText="1"/>
    </xf>
    <xf numFmtId="0" fontId="19" fillId="34" borderId="24" xfId="0" applyFont="1" applyFill="1" applyBorder="1">
      <alignment horizontal="center" vertical="center" wrapText="1"/>
    </xf>
    <xf numFmtId="0" fontId="36" fillId="0" borderId="0" xfId="0" applyFont="1">
      <alignment horizontal="center" vertical="center" wrapText="1"/>
    </xf>
    <xf numFmtId="0" fontId="19" fillId="34" borderId="12" xfId="0" applyFont="1" applyFill="1" applyBorder="1">
      <alignment horizontal="center" vertical="center" wrapText="1"/>
    </xf>
    <xf numFmtId="0" fontId="19" fillId="0" borderId="0" xfId="0" applyFont="1">
      <alignment horizontal="left" vertical="top" wrapText="1"/>
    </xf>
    <xf numFmtId="0" fontId="37" fillId="0" borderId="0" xfId="0" applyFont="1">
      <alignment horizontal="center" vertical="center" wrapText="1"/>
    </xf>
    <xf numFmtId="0" fontId="70" fillId="34" borderId="19" xfId="0" applyFont="1" applyFill="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lignment horizontal="center" vertical="center" wrapText="1"/>
    </xf>
    <xf numFmtId="0" fontId="19" fillId="0" borderId="0" xfId="0" applyFont="1">
      <alignment horizontal="right" vertical="center" wrapText="1"/>
    </xf>
    <xf numFmtId="0" fontId="0" fillId="0" borderId="12" xfId="0" applyFont="1" applyBorder="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lignment horizontal="left" vertical="center" wrapText="1"/>
    </xf>
    <xf numFmtId="0" fontId="37" fillId="0" borderId="0" xfId="0" applyFont="1">
      <alignment horizontal="center" vertical="center"/>
    </xf>
    <xf numFmtId="0" fontId="25" fillId="0" borderId="0" xfId="0" applyFont="1">
      <alignment horizontal="center" vertical="center" wrapText="1"/>
    </xf>
    <xf numFmtId="172" fontId="19" fillId="36" borderId="15" xfId="0" applyFont="1" applyFill="1" applyBorder="1" applyNumberFormat="1">
      <alignment horizontal="right" vertical="center" wrapText="1"/>
    </xf>
    <xf numFmtId="0" fontId="101" fillId="0" borderId="0" xfId="0" applyFont="1">
      <alignment vertical="center" wrapText="1"/>
    </xf>
    <xf numFmtId="0" fontId="101" fillId="34" borderId="0" xfId="0" applyFont="1" applyFill="1">
      <alignment horizontal="center" vertical="center" wrapText="1"/>
    </xf>
    <xf numFmtId="0" fontId="37" fillId="34" borderId="12" xfId="0" applyFont="1" applyFill="1" applyBorder="1">
      <alignment horizontal="left" vertical="center" wrapText="1" indent="3"/>
    </xf>
    <xf numFmtId="49" fontId="29" fillId="36" borderId="27" xfId="0" applyFont="1" applyFill="1" applyBorder="1" applyNumberFormat="1">
      <alignment horizontal="left" vertical="center"/>
    </xf>
    <xf numFmtId="0" fontId="101" fillId="0" borderId="0" xfId="0" applyFont="1">
      <alignment horizontal="center" vertical="center" wrapText="1"/>
    </xf>
    <xf numFmtId="49" fontId="37" fillId="0" borderId="0" xfId="0" applyFont="1" applyNumberFormat="1">
      <alignment horizontal="left" vertical="center" wrapText="1" indent="1"/>
    </xf>
    <xf numFmtId="0" fontId="37" fillId="0" borderId="0" xfId="0" applyFont="1">
      <alignment horizontal="left" vertical="center" wrapText="1" indent="4"/>
    </xf>
    <xf numFmtId="0" fontId="37" fillId="0" borderId="0" xfId="0" applyFon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lignment horizontal="left" vertical="center" wrapText="1" indent="1"/>
    </xf>
    <xf numFmtId="0" fontId="36" fillId="0" borderId="0" xfId="0" applyFont="1">
      <alignment horizontal="left" vertical="center"/>
    </xf>
    <xf numFmtId="49" fontId="36" fillId="0" borderId="0" xfId="0" applyFont="1" applyNumberFormat="1">
      <alignment horizontal="left" vertical="center"/>
    </xf>
    <xf numFmtId="0" fontId="36" fillId="0" borderId="0" xfId="0" applyFont="1">
      <alignment horizontal="left" vertical="center"/>
    </xf>
    <xf numFmtId="0" fontId="59" fillId="0" borderId="0" xfId="0" applyFont="1">
      <alignment horizontal="left" vertical="center"/>
    </xf>
    <xf numFmtId="0" fontId="37" fillId="0" borderId="0" xfId="0" applyFon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lignment horizontal="center" vertical="center" wrapText="1"/>
    </xf>
    <xf numFmtId="0" fontId="25" fillId="34" borderId="0" xfId="0" applyFont="1" applyFill="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lignment horizontal="center" vertical="center" wrapText="1"/>
    </xf>
    <xf numFmtId="0" fontId="19" fillId="34" borderId="12" xfId="0" applyFont="1" applyFill="1" applyBorder="1">
      <alignment horizontal="left" vertical="center" wrapText="1" indent="1"/>
    </xf>
    <xf numFmtId="49" fontId="19" fillId="0" borderId="12" xfId="0" applyFont="1" applyBorder="1" applyNumberFormat="1">
      <alignment horizontal="center" vertical="center"/>
    </xf>
    <xf numFmtId="0" fontId="19" fillId="0" borderId="12" xfId="0" applyFont="1" applyBorder="1">
      <alignment horizontal="left" vertical="center" wrapText="1" indent="1"/>
    </xf>
    <xf numFmtId="0" fontId="19" fillId="0" borderId="12" xfId="0" applyFont="1" applyBorder="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lignment horizontal="left" vertical="center" wrapText="1"/>
    </xf>
    <xf numFmtId="0" fontId="37" fillId="34" borderId="12" xfId="0" applyFont="1" applyFill="1" applyBorder="1">
      <alignment horizontal="center" vertical="center"/>
    </xf>
    <xf numFmtId="0" fontId="63" fillId="34" borderId="0" xfId="0" applyFont="1" applyFill="1">
      <alignment vertical="center" wrapText="1"/>
    </xf>
    <xf numFmtId="0" fontId="57" fillId="34" borderId="0" xfId="0" applyFont="1" applyFill="1"/>
    <xf numFmtId="49" fontId="19" fillId="35" borderId="12" xfId="0" applyFont="1" applyFill="1" applyBorder="1" applyNumberFormat="1">
      <alignment horizontal="left" vertical="center" wrapText="1"/>
      <protection locked="0"/>
    </xf>
    <xf numFmtId="0" fontId="74" fillId="34" borderId="0" xfId="0" applyFont="1" applyFill="1"/>
    <xf numFmtId="0" fontId="58" fillId="34" borderId="0" xfId="0" applyFont="1" applyFill="1"/>
    <xf numFmtId="14" fontId="19" fillId="38" borderId="23" xfId="0" applyFont="1" applyFill="1" applyBorder="1" applyNumberFormat="1">
      <alignment horizontal="left" vertical="center" wrapText="1" indent="1"/>
      <protection locked="0"/>
    </xf>
    <xf numFmtId="0" fontId="102" fillId="0" borderId="0" xfId="0" applyFont="1">
      <alignment vertical="center"/>
    </xf>
    <xf numFmtId="0" fontId="102" fillId="0" borderId="0" xfId="0" applyFon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lignment horizontal="center" vertical="center" wrapText="1"/>
    </xf>
    <xf numFmtId="0" fontId="37" fillId="0" borderId="0" xfId="0" applyFont="1">
      <alignment horizontal="center" vertical="center"/>
    </xf>
    <xf numFmtId="0" fontId="37" fillId="0" borderId="0" xfId="0" applyFont="1">
      <alignment horizontal="center" vertical="center"/>
    </xf>
    <xf numFmtId="0" fontId="45" fillId="0" borderId="0" xfId="0" applyFont="1">
      <alignment horizontal="center" vertical="center"/>
    </xf>
    <xf numFmtId="0" fontId="31" fillId="0" borderId="0" xfId="0" applyFon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lignment horizontal="center" vertical="center" wrapText="1"/>
      <protection locked="0"/>
    </xf>
    <xf numFmtId="0" fontId="36" fillId="34" borderId="0" xfId="0" applyFont="1" applyFill="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lignment horizontal="right" vertical="center" wrapText="1" indent="1"/>
    </xf>
    <xf numFmtId="0" fontId="19" fillId="33" borderId="14" xfId="0" applyFont="1" applyFill="1" applyBorder="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lignment vertical="center"/>
    </xf>
    <xf numFmtId="0" fontId="19" fillId="0" borderId="36" xfId="0" applyFont="1" applyBorder="1">
      <alignment horizontal="center" vertical="center" wrapText="1"/>
    </xf>
    <xf numFmtId="0" fontId="19" fillId="0" borderId="37" xfId="0" applyFont="1" applyBorder="1">
      <alignment horizontal="center" vertical="center" wrapText="1"/>
    </xf>
    <xf numFmtId="0" fontId="19" fillId="0" borderId="17" xfId="0" applyFont="1" applyBorder="1">
      <alignment horizontal="center" vertical="center" wrapText="1"/>
    </xf>
    <xf numFmtId="0" fontId="19" fillId="0" borderId="22" xfId="0" applyFont="1" applyBorder="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lignment horizontal="left" vertical="center" wrapText="1"/>
    </xf>
    <xf numFmtId="49" fontId="19" fillId="0" borderId="36" xfId="0" applyFont="1" applyBorder="1" applyNumberFormat="1">
      <alignment vertical="center" wrapText="1"/>
    </xf>
    <xf numFmtId="0" fontId="19" fillId="0" borderId="23" xfId="0" applyFont="1" applyBorder="1">
      <alignment horizontal="left" vertical="center" wrapText="1"/>
    </xf>
    <xf numFmtId="0" fontId="29" fillId="0" borderId="23" xfId="0" applyFont="1" applyBorder="1">
      <alignment horizontal="left" vertical="center"/>
    </xf>
    <xf numFmtId="0" fontId="29" fillId="36" borderId="14" xfId="0" applyFont="1" applyFill="1" applyBorder="1">
      <alignment horizontal="left" vertical="center"/>
    </xf>
    <xf numFmtId="0" fontId="29" fillId="0" borderId="36" xfId="0" applyFont="1" applyBorder="1">
      <alignment horizontal="left" vertical="center"/>
    </xf>
    <xf numFmtId="0" fontId="29" fillId="36" borderId="37" xfId="0" applyFont="1" applyFill="1" applyBorder="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lignment horizontal="center" vertical="center" wrapText="1"/>
    </xf>
    <xf numFmtId="49" fontId="36" fillId="0" borderId="0" xfId="0" applyFont="1" applyNumberFormat="1">
      <alignment horizontal="center" vertical="center"/>
    </xf>
    <xf numFmtId="0" fontId="103" fillId="0" borderId="0" xfId="0" applyFont="1">
      <alignment vertical="center" wrapText="1"/>
    </xf>
    <xf numFmtId="0" fontId="104" fillId="0" borderId="0" xfId="0" applyFont="1">
      <alignment vertical="center" wrapText="1"/>
    </xf>
    <xf numFmtId="0" fontId="19" fillId="0" borderId="17" xfId="0" applyFont="1" applyBorder="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lignment horizontal="left" vertical="center" wrapText="1"/>
    </xf>
    <xf numFmtId="0" fontId="19" fillId="0" borderId="0" xfId="0" applyFon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lignment horizontal="left" vertical="center" wrapText="1"/>
    </xf>
    <xf numFmtId="0" fontId="29" fillId="0" borderId="0" xfId="0" applyFont="1">
      <alignment horizontal="left" vertical="center"/>
    </xf>
    <xf numFmtId="49" fontId="25" fillId="0" borderId="0" xfId="0" applyFont="1" applyNumberFormat="1">
      <alignment horizontal="center" vertical="center" wrapText="1"/>
    </xf>
    <xf numFmtId="0" fontId="29" fillId="0" borderId="0" xfId="0" applyFon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lignment vertical="center"/>
    </xf>
    <xf numFmtId="49" fontId="0" fillId="0" borderId="12" xfId="0" applyFont="1" applyBorder="1" applyNumberFormat="1">
      <alignment horizontal="left" vertical="center" wrapText="1" indent="1"/>
    </xf>
    <xf numFmtId="0" fontId="19" fillId="0" borderId="0" xfId="0" applyFont="1">
      <alignment vertical="center" wrapText="1"/>
    </xf>
    <xf numFmtId="0" fontId="20" fillId="0" borderId="0" xfId="0" applyFont="1">
      <alignment vertical="center" wrapText="1"/>
    </xf>
    <xf numFmtId="0" fontId="31" fillId="0" borderId="0" xfId="0" applyFont="1">
      <alignment vertical="center" wrapText="1"/>
    </xf>
    <xf numFmtId="0" fontId="19" fillId="0" borderId="0" xfId="0" applyFont="1">
      <alignment horizontal="left" vertical="center" wrapText="1"/>
    </xf>
    <xf numFmtId="0" fontId="48" fillId="0" borderId="0" xfId="0" applyFont="1">
      <alignment vertical="center" wrapText="1"/>
    </xf>
    <xf numFmtId="0" fontId="50" fillId="0" borderId="0" xfId="0" applyFont="1">
      <alignment vertical="center" wrapText="1"/>
    </xf>
    <xf numFmtId="0" fontId="78" fillId="0" borderId="0" xfId="0" applyFont="1">
      <alignment vertical="center" wrapText="1"/>
    </xf>
    <xf numFmtId="0" fontId="37" fillId="0" borderId="0" xfId="0" applyFont="1">
      <alignment vertical="center" wrapText="1"/>
    </xf>
    <xf numFmtId="0" fontId="54" fillId="0" borderId="0" xfId="0" applyFont="1">
      <alignment vertical="center" wrapText="1"/>
    </xf>
    <xf numFmtId="49" fontId="19" fillId="0" borderId="12" xfId="0" applyFont="1" applyBorder="1" applyNumberFormat="1">
      <alignment horizontal="center" vertical="center" wrapText="1"/>
    </xf>
    <xf numFmtId="0" fontId="25" fillId="34" borderId="12" xfId="0" applyFont="1" applyFill="1" applyBorder="1">
      <alignment horizontal="center" vertical="center" wrapText="1"/>
    </xf>
    <xf numFmtId="0" fontId="19" fillId="0" borderId="0" xfId="0" applyFont="1">
      <alignment vertical="center" wrapText="1"/>
    </xf>
    <xf numFmtId="0" fontId="25" fillId="34" borderId="0" xfId="0" applyFont="1" applyFill="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lignment vertical="center" wrapText="1"/>
    </xf>
    <xf numFmtId="49" fontId="19" fillId="38" borderId="12" xfId="0" applyFont="1" applyFill="1" applyBorder="1" applyNumberFormat="1">
      <alignment horizontal="left" vertical="center" wrapText="1"/>
      <protection locked="0"/>
    </xf>
    <xf numFmtId="0" fontId="37" fillId="0" borderId="0" xfId="0" applyFont="1">
      <alignment vertical="center"/>
    </xf>
    <xf numFmtId="0" fontId="25" fillId="34" borderId="12" xfId="0" applyFont="1" applyFill="1" applyBorder="1">
      <alignment horizontal="center" vertical="center" wrapText="1"/>
    </xf>
    <xf numFmtId="0" fontId="36" fillId="0" borderId="22" xfId="0" applyFont="1" applyBorder="1">
      <alignment vertical="center"/>
    </xf>
    <xf numFmtId="0" fontId="36" fillId="0" borderId="22" xfId="0" applyFont="1" applyBorder="1">
      <alignment vertical="center"/>
    </xf>
    <xf numFmtId="0" fontId="19" fillId="0" borderId="17" xfId="0" applyFont="1" applyBorder="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lignment vertical="center" wrapText="1"/>
    </xf>
    <xf numFmtId="0" fontId="20" fillId="0" borderId="0" xfId="0" applyFont="1">
      <alignment vertical="center" wrapText="1"/>
    </xf>
    <xf numFmtId="0" fontId="25" fillId="0" borderId="0" xfId="0" applyFont="1">
      <alignment horizontal="center" vertical="center" wrapText="1"/>
    </xf>
    <xf numFmtId="0" fontId="19" fillId="0" borderId="12" xfId="0" applyFont="1" applyBorder="1">
      <alignment horizontal="center" vertical="center" wrapText="1"/>
    </xf>
    <xf numFmtId="0" fontId="19" fillId="0" borderId="0" xfId="0" applyFont="1">
      <alignment vertical="center" wrapText="1"/>
    </xf>
    <xf numFmtId="0" fontId="37" fillId="0" borderId="0" xfId="0" applyFont="1">
      <alignment vertical="center" wrapText="1"/>
    </xf>
    <xf numFmtId="0" fontId="19" fillId="0" borderId="12" xfId="0" applyFont="1" applyBorder="1">
      <alignment horizontal="center" vertical="center" wrapText="1"/>
    </xf>
    <xf numFmtId="49" fontId="19" fillId="0" borderId="0" xfId="0" applyFont="1" applyNumberFormat="1">
      <alignment horizontal="center" vertical="center" wrapText="1"/>
    </xf>
    <xf numFmtId="0" fontId="19" fillId="0" borderId="12" xfId="0" applyFont="1" applyBorder="1">
      <alignment horizontal="center" vertical="center" wrapText="1"/>
    </xf>
    <xf numFmtId="0" fontId="44" fillId="0" borderId="0" xfId="0" applyFont="1">
      <alignment vertical="center"/>
    </xf>
    <xf numFmtId="0" fontId="63" fillId="0" borderId="0" xfId="0" applyFont="1">
      <alignment vertical="center" wrapText="1"/>
    </xf>
    <xf numFmtId="0" fontId="37" fillId="0" borderId="0" xfId="0" applyFont="1">
      <alignment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0" xfId="0" applyFont="1">
      <alignment horizontal="left" vertical="top" wrapText="1"/>
    </xf>
    <xf numFmtId="0" fontId="19" fillId="0" borderId="12" xfId="0" applyFont="1" applyBorder="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lignment horizontal="left" vertical="center" wrapText="1" indent="2"/>
    </xf>
    <xf numFmtId="0" fontId="37" fillId="0" borderId="17"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0" fontId="19" fillId="0" borderId="13"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right" vertical="center" wrapText="1" indent="1"/>
    </xf>
    <xf numFmtId="0" fontId="19" fillId="0" borderId="12" xfId="0" applyFont="1" applyBorder="1">
      <alignment horizontal="center" vertical="center" wrapText="1"/>
    </xf>
    <xf numFmtId="0" fontId="19" fillId="0" borderId="12" xfId="0" applyFont="1" applyBorder="1">
      <alignment horizontal="center" vertical="center" wrapText="1"/>
    </xf>
    <xf numFmtId="0" fontId="19" fillId="33" borderId="14" xfId="0" applyFont="1" applyFill="1" applyBorder="1">
      <alignment horizontal="left" vertical="top" wrapText="1"/>
    </xf>
    <xf numFmtId="0" fontId="19" fillId="0" borderId="12" xfId="0" applyFont="1" applyBorder="1">
      <alignment horizontal="center" vertical="center" wrapText="1"/>
    </xf>
    <xf numFmtId="49" fontId="0" fillId="0" borderId="12" xfId="0" applyFont="1" applyBorder="1" applyNumberFormat="1">
      <alignment vertical="center" wrapText="1"/>
    </xf>
    <xf numFmtId="0" fontId="37" fillId="0" borderId="14" xfId="0" applyFont="1" applyBorder="1">
      <alignment vertical="center" wrapText="1"/>
    </xf>
    <xf numFmtId="0" fontId="37" fillId="0" borderId="14" xfId="0" applyFont="1" applyBorder="1">
      <alignment horizontal="left" vertical="top" wrapText="1"/>
    </xf>
    <xf numFmtId="49" fontId="19" fillId="0" borderId="60" xfId="0" applyFont="1" applyBorder="1" applyNumberFormat="1">
      <alignment horizontal="center" vertical="center" wrapText="1"/>
    </xf>
    <xf numFmtId="0" fontId="19" fillId="0" borderId="17" xfId="0" applyFont="1" applyBorder="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lignment horizontal="left" vertical="top" wrapText="1"/>
    </xf>
    <xf numFmtId="0" fontId="19" fillId="0" borderId="0" xfId="0" applyFon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xf numFmtId="0" fontId="19" fillId="0" borderId="0" xfId="0" applyFont="1">
      <alignment vertical="top" wrapText="1"/>
    </xf>
    <xf numFmtId="0" fontId="25" fillId="34" borderId="0" xfId="0" applyFont="1" applyFill="1">
      <alignment horizontal="center" vertical="center" wrapText="1"/>
    </xf>
    <xf numFmtId="0" fontId="0" fillId="34" borderId="23" xfId="0" applyFont="1" applyFill="1" applyBorder="1">
      <alignment vertical="center" wrapText="1"/>
    </xf>
    <xf numFmtId="0" fontId="0" fillId="0" borderId="0" xfId="0" applyFont="1">
      <alignment vertical="top"/>
    </xf>
    <xf numFmtId="49" fontId="20" fillId="46" borderId="0" xfId="0" applyFont="1" applyFill="1" applyNumberFormat="1">
      <alignment horizontal="center" vertical="center"/>
    </xf>
    <xf numFmtId="0" fontId="0" fillId="47" borderId="0" xfId="0" applyFont="1" applyFill="1">
      <alignment horizontal="left" vertical="center"/>
    </xf>
    <xf numFmtId="49" fontId="0" fillId="0" borderId="0" xfId="0" applyFont="1" applyNumberFormat="1">
      <alignment vertical="center"/>
    </xf>
    <xf numFmtId="0" fontId="0" fillId="47" borderId="0" xfId="0" applyFont="1" applyFill="1">
      <alignment horizontal="right" vertical="center"/>
    </xf>
    <xf numFmtId="0" fontId="44" fillId="47" borderId="0" xfId="0" applyFont="1" applyFill="1">
      <alignment horizontal="left" vertical="center"/>
    </xf>
    <xf numFmtId="0" fontId="0" fillId="0" borderId="0" xfId="0" applyFont="1">
      <alignment horizontal="right" vertical="top"/>
    </xf>
    <xf numFmtId="0" fontId="0" fillId="47" borderId="10" xfId="0" applyFont="1" applyFill="1" applyBorder="1">
      <alignment horizontal="center"/>
    </xf>
    <xf numFmtId="0" fontId="0" fillId="0" borderId="10" xfId="0" applyFont="1" applyBorder="1">
      <alignment horizontal="center"/>
    </xf>
    <xf numFmtId="0" fontId="105" fillId="0" borderId="0" xfId="0" applyFon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xf numFmtId="0" fontId="92" fillId="0" borderId="0" xfId="0" applyFont="1">
      <alignment horizontal="left" vertical="center" wrapText="1"/>
    </xf>
    <xf numFmtId="49" fontId="107" fillId="0" borderId="0" xfId="0" applyFont="1" applyNumberFormat="1">
      <alignment wrapText="1"/>
    </xf>
    <xf numFmtId="0" fontId="35" fillId="0" borderId="0" xfId="0" applyFont="1">
      <alignment horizontal="left" vertical="top" wrapText="1"/>
    </xf>
    <xf numFmtId="49" fontId="19" fillId="0" borderId="0" xfId="0" applyFont="1" applyNumberFormat="1">
      <alignment vertical="top" wrapText="1"/>
    </xf>
    <xf numFmtId="0" fontId="56" fillId="0" borderId="0" xfId="0" applyFont="1">
      <alignment wrapText="1"/>
    </xf>
    <xf numFmtId="0" fontId="108" fillId="0" borderId="0" xfId="0" applyFont="1">
      <alignment horizontal="left" vertical="center" wrapText="1"/>
    </xf>
    <xf numFmtId="0" fontId="109" fillId="0" borderId="0" xfId="0" applyFont="1">
      <alignment vertical="center" wrapText="1"/>
    </xf>
    <xf numFmtId="0" fontId="56" fillId="0" borderId="38" xfId="0" applyFont="1" applyBorder="1">
      <alignment wrapText="1"/>
    </xf>
    <xf numFmtId="0" fontId="56" fillId="0" borderId="0" xfId="0" applyFont="1"/>
    <xf numFmtId="0" fontId="108" fillId="0" borderId="0" xfId="0" applyFont="1"/>
    <xf numFmtId="0" fontId="110" fillId="0" borderId="0" xfId="0" applyFont="1">
      <alignment wrapText="1"/>
    </xf>
    <xf numFmtId="0" fontId="0" fillId="35" borderId="62" xfId="0" applyFont="1" applyFill="1" applyBorder="1">
      <alignment horizontal="center" vertical="center" wrapText="1"/>
    </xf>
    <xf numFmtId="0" fontId="0" fillId="52" borderId="62" xfId="0" applyFont="1" applyFill="1" applyBorder="1">
      <alignment horizontal="center" vertical="center" wrapText="1"/>
    </xf>
    <xf numFmtId="0" fontId="0" fillId="33" borderId="62" xfId="0" applyFont="1" applyFill="1" applyBorder="1">
      <alignment horizontal="center" vertical="center" wrapText="1"/>
    </xf>
    <xf numFmtId="0" fontId="0" fillId="38" borderId="62" xfId="0" applyFont="1" applyFill="1" applyBorder="1">
      <alignment horizontal="center" vertical="center" wrapText="1"/>
    </xf>
    <xf numFmtId="0" fontId="108" fillId="0" borderId="38" xfId="0" applyFont="1" applyBorder="1">
      <alignment horizontal="left" vertical="center" wrapText="1"/>
    </xf>
    <xf numFmtId="0" fontId="108" fillId="0" borderId="63" xfId="0" applyFont="1" applyBorder="1">
      <alignment horizontal="left" vertical="center" wrapText="1"/>
    </xf>
    <xf numFmtId="0" fontId="110" fillId="0" borderId="0" xfId="0" applyFont="1"/>
    <xf numFmtId="0" fontId="110" fillId="0" borderId="38" xfId="0" applyFont="1" applyBorder="1">
      <alignment wrapText="1"/>
    </xf>
    <xf numFmtId="0" fontId="56" fillId="0" borderId="64" xfId="0" applyFont="1" applyBorder="1">
      <alignment wrapText="1"/>
    </xf>
    <xf numFmtId="0" fontId="56" fillId="0" borderId="39" xfId="0" applyFont="1" applyBorder="1">
      <alignment wrapText="1"/>
    </xf>
    <xf numFmtId="0" fontId="56" fillId="0" borderId="39" xfId="0" applyFont="1" applyBorder="1">
      <alignment vertical="center" wrapText="1"/>
    </xf>
    <xf numFmtId="0" fontId="106" fillId="0" borderId="0" xfId="0" applyFont="1"/>
    <xf numFmtId="0" fontId="24" fillId="0" borderId="24" xfId="0" applyFont="1" applyBorder="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lignment horizontal="left" vertical="top" indent="1"/>
    </xf>
    <xf numFmtId="0" fontId="19" fillId="33"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19" fillId="33" borderId="30" xfId="0" applyFont="1" applyFill="1" applyBorder="1">
      <alignment horizontal="left" vertical="top"/>
    </xf>
    <xf numFmtId="0" fontId="19" fillId="0" borderId="12" xfId="0" applyFont="1" applyBorder="1">
      <alignment horizontal="left" vertical="top"/>
    </xf>
    <xf numFmtId="49" fontId="19" fillId="0" borderId="0" xfId="0" applyFont="1" applyNumberFormat="1">
      <alignment horizontal="left" vertical="top"/>
    </xf>
    <xf numFmtId="0" fontId="0" fillId="33" borderId="36" xfId="0" applyFont="1" applyFill="1" applyBorder="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lignment horizontal="center" vertical="top" wrapText="1"/>
    </xf>
    <xf numFmtId="0" fontId="19" fillId="35" borderId="36" xfId="0" applyFont="1" applyFill="1" applyBorder="1">
      <alignment horizontal="left" vertical="top" wrapText="1"/>
      <protection locked="0"/>
    </xf>
    <xf numFmtId="0" fontId="29" fillId="0" borderId="36" xfId="0" applyFont="1" applyBorder="1">
      <alignment horizontal="left" vertical="center"/>
    </xf>
    <xf numFmtId="0" fontId="29" fillId="35" borderId="36" xfId="0" applyFont="1" applyFill="1" applyBorder="1">
      <alignment horizontal="left" vertical="center"/>
      <protection locked="0"/>
    </xf>
    <xf numFmtId="0" fontId="29" fillId="38" borderId="36" xfId="0" applyFont="1" applyFill="1" applyBorder="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lignment horizontal="center" vertical="center" wrapText="1"/>
    </xf>
    <xf numFmtId="0" fontId="0" fillId="34" borderId="12" xfId="0" applyFont="1" applyFill="1" applyBorder="1">
      <alignment vertical="top" wrapText="1"/>
    </xf>
    <xf numFmtId="0" fontId="36" fillId="0" borderId="12" xfId="0" applyFont="1" applyBorder="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lignment horizontal="left" vertical="center" wrapText="1" indent="1"/>
      <protection locked="0"/>
    </xf>
    <xf numFmtId="0" fontId="0" fillId="0" borderId="13" xfId="0" applyFont="1" applyBorder="1">
      <alignment horizontal="center" vertical="center" wrapText="1"/>
    </xf>
    <xf numFmtId="0" fontId="19"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lignment horizontal="center" vertical="center" wrapText="1"/>
    </xf>
    <xf numFmtId="0" fontId="37" fillId="0" borderId="0" xfId="0" applyFont="1">
      <alignment horizontal="center" vertical="center" wrapText="1"/>
    </xf>
    <xf numFmtId="0" fontId="34" fillId="0" borderId="12" xfId="0" applyFont="1" applyBorder="1">
      <alignment horizontal="center" vertical="center"/>
    </xf>
    <xf numFmtId="49" fontId="0" fillId="38" borderId="12" xfId="0" applyFont="1" applyFill="1" applyBorder="1" applyNumberFormat="1">
      <alignment horizontal="left" vertical="center" wrapText="1"/>
      <protection locked="0"/>
    </xf>
    <xf numFmtId="0" fontId="36" fillId="0" borderId="0" xfId="0" applyFont="1">
      <alignment horizontal="center" vertical="top"/>
    </xf>
    <xf numFmtId="49" fontId="19" fillId="0" borderId="36" xfId="0" applyFont="1" applyBorder="1" applyNumberFormat="1">
      <alignment horizontal="center" vertical="top" wrapText="1"/>
    </xf>
    <xf numFmtId="0" fontId="19" fillId="0" borderId="12" xfId="0" applyFont="1" applyBorder="1">
      <alignment horizontal="left" vertical="center" wrapText="1"/>
    </xf>
    <xf numFmtId="0" fontId="24" fillId="0" borderId="12" xfId="0" applyFont="1" applyBorder="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36" fillId="0" borderId="0" xfId="0" applyFont="1">
      <alignment horizontal="center" vertical="center" wrapText="1"/>
    </xf>
    <xf numFmtId="0" fontId="0" fillId="0" borderId="12" xfId="0" applyFont="1" applyBorder="1">
      <alignment horizontal="left" vertical="center" wrapText="1"/>
    </xf>
    <xf numFmtId="0" fontId="19" fillId="0" borderId="36" xfId="0" applyFont="1" applyBorder="1">
      <alignment horizontal="center" vertical="center" wrapText="1"/>
    </xf>
    <xf numFmtId="0" fontId="19" fillId="34" borderId="14" xfId="0" applyFont="1" applyFill="1" applyBorder="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lignment horizontal="center" vertical="center" wrapText="1"/>
    </xf>
    <xf numFmtId="0" fontId="34" fillId="0" borderId="13" xfId="0" applyFont="1" applyBorder="1">
      <alignment horizontal="center" vertical="center"/>
    </xf>
    <xf numFmtId="49" fontId="0" fillId="37" borderId="0" xfId="0" applyFont="1" applyFill="1" applyNumberFormat="1">
      <alignment vertical="top"/>
    </xf>
    <xf numFmtId="0" fontId="25" fillId="34" borderId="0" xfId="0" applyFont="1" applyFill="1">
      <alignment horizontal="center" vertical="center" wrapText="1"/>
    </xf>
    <xf numFmtId="0" fontId="25" fillId="34" borderId="0" xfId="0" applyFont="1" applyFill="1">
      <alignment horizontal="center"/>
    </xf>
    <xf numFmtId="0" fontId="25" fillId="0" borderId="0" xfId="0" applyFont="1">
      <alignment horizontal="center" vertical="center" wrapText="1"/>
    </xf>
    <xf numFmtId="0" fontId="3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25" fillId="0" borderId="0" xfId="0" applyFon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6" borderId="15" xfId="0" applyFont="1" applyFill="1" applyBorder="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lignment horizontal="left" vertical="center" wrapText="1"/>
      <protection locked="0"/>
    </xf>
    <xf numFmtId="0" fontId="19" fillId="34" borderId="23" xfId="0" applyFont="1" applyFill="1" applyBorder="1">
      <alignment horizontal="center" vertical="center" wrapText="1"/>
    </xf>
    <xf numFmtId="0" fontId="19" fillId="0" borderId="36" xfId="0" applyFont="1" applyBorder="1">
      <alignment horizontal="left" vertical="top" wrapText="1"/>
    </xf>
    <xf numFmtId="0" fontId="0" fillId="0" borderId="13" xfId="0" applyFont="1" applyBorder="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19" fillId="39" borderId="12" xfId="0" applyFont="1" applyFill="1" applyBorder="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lignment horizontal="center" vertical="center" wrapText="1"/>
    </xf>
    <xf numFmtId="0" fontId="19" fillId="39" borderId="14" xfId="0" applyFont="1" applyFill="1" applyBorder="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lignment horizontal="center" vertical="center" wrapText="1"/>
    </xf>
    <xf numFmtId="0" fontId="19" fillId="0" borderId="13" xfId="0" applyFont="1" applyBorder="1">
      <alignment horizontal="center" vertical="center" wrapText="1"/>
    </xf>
    <xf numFmtId="0" fontId="19" fillId="0" borderId="13" xfId="0" applyFont="1" applyBorder="1">
      <alignment horizontal="center" vertical="center" wrapText="1"/>
    </xf>
    <xf numFmtId="0" fontId="19" fillId="0" borderId="12" xfId="0" applyFont="1" applyBorder="1">
      <alignment horizontal="center" vertical="center" wrapText="1"/>
    </xf>
    <xf numFmtId="0" fontId="19" fillId="0" borderId="17" xfId="0" applyFont="1" applyBorder="1">
      <alignment horizontal="center" vertical="center" wrapText="1"/>
    </xf>
    <xf numFmtId="0" fontId="19" fillId="0" borderId="12" xfId="0" applyFont="1" applyBorder="1">
      <alignment horizontal="left" vertical="center" wrapText="1"/>
    </xf>
    <xf numFmtId="0" fontId="19" fillId="0" borderId="12" xfId="0" applyFont="1" applyBorder="1">
      <alignment horizontal="center" vertical="center" wrapText="1"/>
    </xf>
    <xf numFmtId="0" fontId="36" fillId="0" borderId="0" xfId="0" applyFont="1">
      <alignment horizontal="center" vertical="center" wrapText="1"/>
    </xf>
    <xf numFmtId="0" fontId="36" fillId="0" borderId="12" xfId="0" applyFont="1" applyBorder="1">
      <alignment horizontal="center" vertical="center" wrapText="1"/>
    </xf>
    <xf numFmtId="0" fontId="19" fillId="38" borderId="12" xfId="0" applyFont="1" applyFill="1" applyBorder="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lignment horizontal="right" vertical="center" wrapText="1" indent="1"/>
    </xf>
    <xf numFmtId="0" fontId="35" fillId="45" borderId="65" xfId="0" applyFont="1" applyFill="1" applyBorder="1">
      <alignment horizontal="right" vertical="center" wrapText="1" indent="1"/>
    </xf>
    <xf numFmtId="0" fontId="35" fillId="45" borderId="38" xfId="0" applyFont="1" applyFill="1" applyBorder="1">
      <alignment horizontal="right" vertical="center" wrapText="1" indent="1"/>
    </xf>
    <xf numFmtId="0" fontId="35" fillId="45" borderId="0" xfId="0" applyFont="1" applyFill="1">
      <alignment horizontal="right" vertical="center" wrapText="1" indent="1"/>
    </xf>
    <xf numFmtId="0" fontId="110" fillId="0" borderId="0" xfId="0" applyFont="1">
      <alignment vertical="center" wrapText="1"/>
    </xf>
    <xf numFmtId="0" fontId="35" fillId="45" borderId="66" xfId="0" applyFont="1" applyFill="1" applyBorder="1">
      <alignment horizontal="right" vertical="center" wrapText="1" indent="1"/>
    </xf>
    <xf numFmtId="0" fontId="35" fillId="45" borderId="64" xfId="0" applyFont="1" applyFill="1" applyBorder="1">
      <alignment horizontal="right" vertical="center" wrapText="1" indent="1"/>
    </xf>
    <xf numFmtId="0" fontId="35" fillId="45" borderId="39" xfId="0" applyFont="1" applyFill="1" applyBorder="1">
      <alignment horizontal="right" vertical="center" wrapText="1" indent="1"/>
    </xf>
    <xf numFmtId="0" fontId="110" fillId="0" borderId="0" xfId="0" applyFont="1">
      <alignment vertical="top" wrapText="1"/>
    </xf>
    <xf numFmtId="49" fontId="56" fillId="0" borderId="0" xfId="0" applyFont="1" applyNumberFormat="1">
      <alignment vertical="top" wrapText="1"/>
    </xf>
    <xf numFmtId="0" fontId="92" fillId="0" borderId="0" xfId="0" applyFont="1">
      <alignment vertical="center" wrapText="1"/>
    </xf>
    <xf numFmtId="0" fontId="92" fillId="0" borderId="0" xfId="0" applyFont="1">
      <alignment vertical="center"/>
    </xf>
    <xf numFmtId="0" fontId="35" fillId="54" borderId="67" xfId="0" applyFont="1" applyFill="1" applyBorder="1">
      <alignment horizontal="center" vertical="center" wrapText="1"/>
    </xf>
    <xf numFmtId="0" fontId="35" fillId="54" borderId="68" xfId="0" applyFont="1" applyFill="1" applyBorder="1">
      <alignment horizontal="center" vertical="center" wrapText="1"/>
    </xf>
    <xf numFmtId="0" fontId="35" fillId="54" borderId="69" xfId="0" applyFont="1" applyFill="1" applyBorder="1">
      <alignment horizontal="center" vertical="center" wrapText="1"/>
    </xf>
    <xf numFmtId="0" fontId="110" fillId="0" borderId="38" xfId="0" applyFont="1" applyBorder="1">
      <alignment vertical="center" wrapText="1"/>
    </xf>
    <xf numFmtId="0" fontId="110" fillId="0" borderId="38" xfId="0" applyFont="1" applyBorder="1">
      <alignment horizontal="left" vertical="center" wrapText="1"/>
    </xf>
    <xf numFmtId="0" fontId="110" fillId="0" borderId="0" xfId="0" applyFont="1">
      <alignment horizontal="left" vertical="center" wrapText="1"/>
    </xf>
    <xf numFmtId="0" fontId="19" fillId="0" borderId="13" xfId="0" applyFont="1" applyBorder="1">
      <alignment horizontal="center" vertical="center" wrapText="1"/>
    </xf>
    <xf numFmtId="0" fontId="19" fillId="0" borderId="14" xfId="0" applyFont="1" applyBorder="1">
      <alignment horizontal="center" vertical="center" wrapText="1"/>
    </xf>
    <xf numFmtId="0" fontId="86" fillId="0" borderId="0" xfId="0" applyFont="1">
      <alignment horizontal="left" vertical="center" wrapText="1"/>
    </xf>
    <xf numFmtId="14" fontId="83" fillId="0" borderId="12" xfId="0" applyFont="1" applyBorder="1" applyNumberFormat="1">
      <alignment horizontal="center" vertical="center" wrapText="1"/>
    </xf>
    <xf numFmtId="0" fontId="19" fillId="0" borderId="0" xfId="0" applyFont="1">
      <alignment horizontal="center" vertical="center" wrapText="1"/>
    </xf>
    <xf numFmtId="0" fontId="19" fillId="0" borderId="15" xfId="0" applyFont="1" applyBorder="1">
      <alignment horizontal="left" vertical="center" wrapText="1" inden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19" fillId="0" borderId="29" xfId="0" applyFont="1" applyBorder="1">
      <alignment horizontal="left" vertical="center" indent="1"/>
    </xf>
    <xf numFmtId="0" fontId="19" fillId="0" borderId="23" xfId="0" applyFont="1" applyBorder="1">
      <alignment horizontal="left" vertical="center" indent="1"/>
    </xf>
    <xf numFmtId="0" fontId="19" fillId="0" borderId="30" xfId="0" applyFont="1" applyBorder="1">
      <alignment horizontal="left" vertical="center" indent="1"/>
    </xf>
    <xf numFmtId="0" fontId="19" fillId="0" borderId="0" xfId="0" applyFont="1">
      <alignment horizontal="center" vertical="center" wrapText="1"/>
    </xf>
    <xf numFmtId="0" fontId="19" fillId="41" borderId="0" xfId="0" applyFont="1" applyFill="1">
      <alignment horizontal="center" vertical="center" wrapText="1"/>
    </xf>
    <xf numFmtId="0" fontId="19" fillId="0" borderId="12" xfId="0" applyFont="1" applyBorder="1">
      <alignment horizontal="center" vertical="center" wrapText="1"/>
    </xf>
    <xf numFmtId="0" fontId="65" fillId="0" borderId="37" xfId="0" applyFont="1" applyBorder="1">
      <alignment horizontal="center" vertical="center" wrapText="1"/>
    </xf>
    <xf numFmtId="0" fontId="6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65" fillId="0" borderId="12" xfId="0" applyFont="1" applyBorder="1">
      <alignment horizontal="center" vertical="center" wrapText="1"/>
    </xf>
    <xf numFmtId="0" fontId="19" fillId="0" borderId="72" xfId="0" applyFont="1" applyBorder="1">
      <alignment horizontal="center" vertical="center" wrapText="1"/>
    </xf>
    <xf numFmtId="0" fontId="19" fillId="0" borderId="73" xfId="0" applyFont="1" applyBorder="1">
      <alignment horizontal="center" vertical="center" wrapText="1"/>
    </xf>
    <xf numFmtId="0" fontId="19" fillId="39" borderId="17" xfId="0" applyFont="1" applyFill="1" applyBorder="1">
      <alignment horizontal="left" vertical="center" wrapText="1" indent="1"/>
      <protection locked="0"/>
    </xf>
    <xf numFmtId="0" fontId="19" fillId="39" borderId="23" xfId="0" applyFont="1" applyFill="1" applyBorder="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lignment horizontal="left" vertical="center" wrapText="1" indent="2"/>
    </xf>
    <xf numFmtId="0" fontId="19" fillId="39" borderId="36" xfId="0" applyFont="1" applyFill="1" applyBorder="1">
      <alignment horizontal="left" vertical="center" wrapText="1" indent="2"/>
    </xf>
    <xf numFmtId="0" fontId="19" fillId="39" borderId="23" xfId="0" applyFont="1" applyFill="1" applyBorder="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0" fontId="19" fillId="0" borderId="12" xfId="0" applyFont="1" applyBorder="1">
      <alignment horizontal="left" vertical="top" wrapText="1"/>
    </xf>
    <xf numFmtId="49" fontId="0" fillId="0" borderId="12" xfId="0" applyFont="1" applyBorder="1" applyNumberFormat="1">
      <alignment horizontal="left" vertical="top"/>
    </xf>
    <xf numFmtId="0" fontId="19" fillId="39" borderId="17" xfId="0" applyFont="1" applyFill="1" applyBorder="1">
      <alignment horizontal="center" vertical="top" wrapText="1"/>
    </xf>
    <xf numFmtId="0" fontId="19" fillId="39" borderId="36" xfId="0" applyFont="1" applyFill="1" applyBorder="1">
      <alignment horizontal="center" vertical="top" wrapText="1"/>
    </xf>
    <xf numFmtId="0" fontId="19" fillId="39"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19" fillId="0" borderId="17" xfId="0" applyFont="1" applyBorder="1">
      <alignment horizontal="left" vertical="top" wrapText="1"/>
    </xf>
    <xf numFmtId="0" fontId="19" fillId="0" borderId="36" xfId="0" applyFont="1" applyBorder="1">
      <alignment horizontal="left" vertical="top" wrapText="1"/>
    </xf>
    <xf numFmtId="0" fontId="19" fillId="0" borderId="23" xfId="0" applyFont="1" applyBorder="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63" fillId="0" borderId="24" xfId="0" applyFont="1" applyBorder="1">
      <alignment horizontal="left" vertical="center" wrapText="1" indent="1"/>
    </xf>
    <xf numFmtId="0" fontId="63" fillId="0" borderId="36" xfId="0" applyFont="1" applyBorder="1">
      <alignment horizontal="left" vertical="center" wrapText="1" indent="1"/>
    </xf>
    <xf numFmtId="0" fontId="63" fillId="0" borderId="22" xfId="0" applyFont="1" applyBorder="1">
      <alignment horizontal="left" vertical="center" wrapText="1" indent="1"/>
    </xf>
    <xf numFmtId="0" fontId="19" fillId="0" borderId="27" xfId="0" applyFont="1" applyBorder="1">
      <alignment horizontal="left" vertical="center" indent="1"/>
    </xf>
    <xf numFmtId="0" fontId="0" fillId="0" borderId="12" xfId="0" applyFont="1" applyBorder="1">
      <alignment horizontal="center" vertical="center" wrapText="1"/>
    </xf>
    <xf numFmtId="0" fontId="19" fillId="0" borderId="19" xfId="0" applyFont="1" applyBorder="1">
      <alignment horizontal="left" vertical="center" wrapText="1" indent="1"/>
    </xf>
    <xf numFmtId="0" fontId="19" fillId="0" borderId="17" xfId="0" applyFont="1" applyBorder="1">
      <alignment horizontal="center" vertical="center" wrapText="1"/>
    </xf>
    <xf numFmtId="0" fontId="19" fillId="0" borderId="37" xfId="0" applyFont="1" applyBorder="1">
      <alignment horizontal="center" vertical="center" wrapText="1"/>
    </xf>
    <xf numFmtId="0" fontId="19" fillId="0" borderId="20" xfId="0" applyFont="1" applyBorder="1">
      <alignment horizontal="center" vertical="center" wrapText="1"/>
    </xf>
    <xf numFmtId="0" fontId="19" fillId="0" borderId="22" xfId="0" applyFont="1" applyBorder="1">
      <alignment horizontal="center" vertical="center" wrapText="1"/>
    </xf>
    <xf numFmtId="0" fontId="19" fillId="0" borderId="24" xfId="0" applyFont="1" applyBorder="1">
      <alignment horizontal="center" vertical="center" wrapText="1"/>
    </xf>
    <xf numFmtId="0" fontId="19" fillId="0" borderId="17" xfId="0" applyFont="1" applyBorder="1">
      <alignment horizontal="center" vertical="center" wrapText="1"/>
    </xf>
    <xf numFmtId="0" fontId="19" fillId="0" borderId="15" xfId="0" applyFont="1" applyBorder="1">
      <alignment horizontal="center" vertical="center" wrapText="1"/>
    </xf>
    <xf numFmtId="0" fontId="19" fillId="0" borderId="12" xfId="0" applyFont="1" applyBorder="1">
      <alignment horizontal="center" vertical="center" wrapText="1"/>
    </xf>
    <xf numFmtId="0" fontId="19" fillId="0" borderId="36" xfId="0" applyFont="1" applyBorder="1">
      <alignment horizontal="center" vertical="center" wrapText="1"/>
    </xf>
    <xf numFmtId="0" fontId="19" fillId="0" borderId="30" xfId="0" applyFont="1" applyBorder="1">
      <alignment horizontal="center" vertical="center" wrapText="1"/>
    </xf>
    <xf numFmtId="0" fontId="19" fillId="0" borderId="29" xfId="0" applyFont="1" applyBorder="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lignment horizontal="left" vertical="center" wrapText="1"/>
    </xf>
    <xf numFmtId="0" fontId="19" fillId="0" borderId="17" xfId="0" applyFont="1" applyBorder="1">
      <alignment horizontal="left" vertical="center" wrapText="1"/>
    </xf>
    <xf numFmtId="0" fontId="19" fillId="0" borderId="37" xfId="0" applyFont="1" applyBorder="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lignment horizontal="center" vertical="center"/>
    </xf>
    <xf numFmtId="0" fontId="19" fillId="0" borderId="0" xfId="0" applyFont="1">
      <alignment horizontal="center" vertical="center"/>
    </xf>
    <xf numFmtId="0" fontId="29" fillId="0" borderId="27" xfId="0" applyFont="1" applyBorder="1">
      <alignment horizontal="left" vertical="center"/>
    </xf>
    <xf numFmtId="0" fontId="29" fillId="0" borderId="29" xfId="0" applyFont="1" applyBorder="1">
      <alignment horizontal="left" vertical="center"/>
    </xf>
    <xf numFmtId="0" fontId="29" fillId="0" borderId="0" xfId="0" applyFont="1">
      <alignment horizontal="left" vertical="center"/>
    </xf>
    <xf numFmtId="0" fontId="29" fillId="0" borderId="24" xfId="0" applyFont="1" applyBorder="1">
      <alignment horizontal="left" vertical="center"/>
    </xf>
    <xf numFmtId="0" fontId="19" fillId="0" borderId="14" xfId="0" applyFont="1" applyBorder="1">
      <alignment horizontal="left" vertical="center" wrapText="1"/>
    </xf>
    <xf numFmtId="0" fontId="19" fillId="0" borderId="27" xfId="0" applyFont="1" applyBorder="1">
      <alignment horizontal="left" vertical="center" wrapText="1" indent="1"/>
    </xf>
    <xf numFmtId="49" fontId="19" fillId="34" borderId="0" xfId="0" applyFont="1" applyFill="1" applyNumberFormat="1">
      <alignment horizontal="center" vertical="center" wrapText="1"/>
    </xf>
    <xf numFmtId="0" fontId="34" fillId="0" borderId="0" xfId="0" applyFon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lignment horizontal="center" vertical="center" wrapText="1"/>
    </xf>
    <xf numFmtId="0" fontId="34" fillId="0" borderId="0" xfId="0" applyFont="1">
      <alignment horizontal="left" vertical="top" wrapText="1" indent="1"/>
    </xf>
    <xf numFmtId="0" fontId="83" fillId="34" borderId="0" xfId="0" applyFont="1" applyFill="1">
      <alignment horizontal="left" vertical="center" wrapText="1"/>
    </xf>
    <xf numFmtId="0" fontId="0" fillId="34" borderId="12" xfId="0" applyFont="1" applyFill="1" applyBorder="1">
      <alignment horizontal="center" vertical="center" wrapText="1"/>
    </xf>
    <xf numFmtId="0" fontId="19" fillId="34" borderId="12" xfId="0" applyFont="1" applyFill="1" applyBorder="1">
      <alignment horizontal="center" vertical="center" wrapText="1"/>
    </xf>
    <xf numFmtId="0" fontId="19" fillId="34" borderId="24" xfId="0" applyFont="1" applyFill="1" applyBorder="1">
      <alignment horizontal="center" vertical="center" wrapText="1"/>
    </xf>
    <xf numFmtId="0" fontId="19" fillId="34" borderId="17" xfId="0" applyFont="1" applyFill="1" applyBorder="1">
      <alignment horizontal="left" vertical="top" wrapText="1"/>
    </xf>
    <xf numFmtId="0" fontId="19" fillId="34" borderId="36" xfId="0" applyFont="1" applyFill="1" applyBorder="1">
      <alignment horizontal="left" vertical="top" wrapText="1"/>
    </xf>
    <xf numFmtId="0" fontId="19" fillId="34" borderId="23" xfId="0" applyFont="1" applyFill="1" applyBorder="1">
      <alignment horizontal="left" vertical="top"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36" fillId="0" borderId="0" xfId="0" applyFont="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19" fillId="0" borderId="19" xfId="0" applyFont="1" applyBorder="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lignment horizontal="left" vertical="center" wrapText="1"/>
    </xf>
    <xf numFmtId="0" fontId="19" fillId="39" borderId="27" xfId="0" applyFont="1" applyFill="1" applyBorder="1">
      <alignment horizontal="left" vertical="center" wrapText="1"/>
    </xf>
    <xf numFmtId="0" fontId="19" fillId="0" borderId="23" xfId="0" applyFont="1" applyBorder="1">
      <alignment horizontal="center" vertical="center" wrapText="1"/>
    </xf>
    <xf numFmtId="0" fontId="19" fillId="0" borderId="20" xfId="0" applyFont="1" applyBorder="1">
      <alignment horizontal="left" vertical="center" wrapText="1" indent="1"/>
    </xf>
    <xf numFmtId="0" fontId="19" fillId="0" borderId="17" xfId="0" applyFont="1" applyBorder="1">
      <alignment horizontal="left" vertical="center" wrapText="1" indent="1"/>
    </xf>
    <xf numFmtId="0" fontId="19" fillId="0" borderId="37" xfId="0" applyFont="1" applyBorder="1">
      <alignment horizontal="left" vertical="center" wrapText="1" indent="1"/>
    </xf>
    <xf numFmtId="0" fontId="0" fillId="0" borderId="36" xfId="0" applyFont="1" applyBorder="1">
      <alignment horizontal="left" vertical="top" wrapText="1"/>
    </xf>
    <xf numFmtId="0" fontId="19" fillId="39" borderId="14" xfId="0" applyFont="1" applyFill="1" applyBorder="1">
      <alignment horizontal="left" vertical="center" wrapText="1"/>
    </xf>
    <xf numFmtId="0" fontId="19" fillId="39" borderId="15" xfId="0" applyFont="1" applyFill="1" applyBorder="1">
      <alignment horizontal="left" vertical="center" wrapText="1"/>
    </xf>
    <xf numFmtId="0" fontId="19" fillId="39" borderId="13" xfId="0" applyFont="1" applyFill="1" applyBorder="1">
      <alignment horizontal="left" vertical="center" wrapText="1"/>
    </xf>
    <xf numFmtId="0" fontId="0" fillId="34" borderId="12" xfId="0" applyFont="1" applyFill="1" applyBorder="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lignment horizontal="left" vertical="center" wrapText="1" indent="1"/>
    </xf>
    <xf numFmtId="0" fontId="19" fillId="33" borderId="14" xfId="0" applyFont="1" applyFill="1" applyBorder="1">
      <alignment horizontal="left" vertical="center" wrapText="1"/>
    </xf>
    <xf numFmtId="0" fontId="19" fillId="33" borderId="15" xfId="0" applyFont="1" applyFill="1" applyBorder="1">
      <alignment horizontal="left" vertical="center" wrapText="1"/>
    </xf>
    <xf numFmtId="0" fontId="19" fillId="33" borderId="13" xfId="0" applyFont="1" applyFill="1" applyBorder="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lignment horizontal="left" vertical="top" wrapText="1"/>
    </xf>
    <xf numFmtId="0" fontId="36" fillId="0" borderId="12" xfId="0" applyFont="1" applyBorder="1">
      <alignment horizontal="center" vertical="center"/>
    </xf>
    <xf numFmtId="0" fontId="36" fillId="0" borderId="14" xfId="0" applyFont="1" applyBorder="1">
      <alignment horizontal="center" vertical="center"/>
    </xf>
    <xf numFmtId="0" fontId="36" fillId="0" borderId="12" xfId="0" applyFont="1" applyBorder="1">
      <alignment horizontal="center" vertical="center" wrapText="1"/>
    </xf>
    <xf numFmtId="0" fontId="36" fillId="0" borderId="14" xfId="0" applyFont="1" applyBorder="1">
      <alignment horizontal="center" vertical="center" wrapText="1"/>
    </xf>
    <xf numFmtId="0" fontId="37" fillId="0" borderId="0" xfId="0" applyFon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lignment horizontal="center" vertical="center" wrapText="1"/>
    </xf>
    <xf numFmtId="0" fontId="36" fillId="0" borderId="23" xfId="0" applyFont="1" applyBorder="1">
      <alignment horizontal="center" vertical="center" wrapText="1"/>
    </xf>
    <xf numFmtId="0" fontId="19" fillId="0" borderId="14" xfId="0" applyFont="1" applyBorder="1">
      <alignment horizontal="center" vertical="center" wrapText="1"/>
    </xf>
    <xf numFmtId="0" fontId="19" fillId="0" borderId="15" xfId="0" applyFont="1" applyBorder="1">
      <alignment horizontal="center" vertical="center" wrapText="1"/>
    </xf>
    <xf numFmtId="0" fontId="19" fillId="0" borderId="13"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70" fillId="34" borderId="19" xfId="0" applyFont="1" applyFill="1" applyBorder="1">
      <alignment horizontal="center" vertical="center" wrapText="1"/>
    </xf>
    <xf numFmtId="0" fontId="25" fillId="0" borderId="27" xfId="0" applyFont="1" applyBorder="1">
      <alignment horizontal="center" vertical="center" wrapText="1"/>
    </xf>
    <xf numFmtId="0" fontId="19" fillId="34" borderId="12" xfId="0" applyFont="1" applyFill="1" applyBorder="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19" fillId="34" borderId="17" xfId="0" applyFont="1" applyFill="1" applyBorder="1">
      <alignment horizontal="center" vertical="center" wrapText="1"/>
    </xf>
    <xf numFmtId="0" fontId="19" fillId="34" borderId="36" xfId="0" applyFont="1" applyFill="1" applyBorder="1">
      <alignment horizontal="center" vertical="center" wrapText="1"/>
    </xf>
    <xf numFmtId="0" fontId="19" fillId="34" borderId="23" xfId="0" applyFont="1" applyFill="1" applyBorder="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lignment horizontal="center" vertical="center" wrapText="1"/>
    </xf>
    <xf numFmtId="0" fontId="19" fillId="0" borderId="23" xfId="0" applyFont="1" applyBorder="1">
      <alignment horizontal="center" vertical="center" wrapText="1"/>
    </xf>
    <xf numFmtId="0" fontId="34" fillId="0" borderId="17" xfId="0" applyFont="1" applyBorder="1">
      <alignment horizontal="left" vertical="top" wrapText="1"/>
    </xf>
    <xf numFmtId="0" fontId="34" fillId="0" borderId="36" xfId="0" applyFont="1" applyBorder="1">
      <alignment horizontal="left" vertical="top" wrapText="1"/>
    </xf>
    <xf numFmtId="0" fontId="34" fillId="0" borderId="23" xfId="0" applyFont="1" applyBorder="1">
      <alignment horizontal="left" vertical="top" wrapText="1"/>
    </xf>
    <xf numFmtId="0" fontId="19" fillId="0" borderId="19" xfId="0" applyFont="1" applyBorder="1">
      <alignment horizontal="left" vertical="top" wrapText="1" indent="1"/>
    </xf>
    <xf numFmtId="0" fontId="19" fillId="0" borderId="27" xfId="0" applyFont="1" applyBorder="1">
      <alignment horizontal="left" vertical="center" wrapText="1" indent="1"/>
    </xf>
    <xf numFmtId="0" fontId="37" fillId="0" borderId="17" xfId="0" applyFont="1" applyBorder="1">
      <alignment horizontal="center" vertical="center" wrapText="1"/>
    </xf>
    <xf numFmtId="0" fontId="37" fillId="0" borderId="23" xfId="0" applyFont="1" applyBorder="1">
      <alignment horizontal="center" vertical="center" wrapText="1"/>
    </xf>
    <xf numFmtId="0" fontId="19" fillId="0" borderId="37" xfId="0" applyFont="1" applyBorder="1">
      <alignment horizontal="center" vertical="center" wrapText="1"/>
    </xf>
    <xf numFmtId="0" fontId="19" fillId="0" borderId="30" xfId="0" applyFont="1" applyBorder="1">
      <alignment horizontal="center" vertical="center" wrapText="1"/>
    </xf>
    <xf numFmtId="0" fontId="0" fillId="34" borderId="19" xfId="0" applyFont="1" applyFill="1" applyBorder="1">
      <alignment horizontal="center" vertical="center" wrapText="1"/>
    </xf>
    <xf numFmtId="0" fontId="37" fillId="0" borderId="14" xfId="0" applyFont="1" applyBorder="1">
      <alignment horizontal="left" vertical="center" wrapText="1"/>
    </xf>
    <xf numFmtId="0" fontId="37" fillId="0" borderId="15" xfId="0" applyFont="1" applyBorder="1">
      <alignment horizontal="left" vertical="center" wrapText="1"/>
    </xf>
    <xf numFmtId="0" fontId="37" fillId="0" borderId="13" xfId="0" applyFont="1" applyBorder="1">
      <alignment horizontal="left" vertical="center" wrapText="1"/>
    </xf>
    <xf numFmtId="0" fontId="0" fillId="0" borderId="0" xfId="0" applyFont="1">
      <alignment horizontal="left" vertical="top" wrapText="1"/>
    </xf>
    <xf numFmtId="0" fontId="19" fillId="0" borderId="19" xfId="0" applyFont="1" applyBorder="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19" fillId="0" borderId="19" xfId="0" applyFont="1" applyBorder="1">
      <alignment horizontal="center" vertical="center" wrapText="1"/>
    </xf>
    <xf numFmtId="0" fontId="19" fillId="0" borderId="20" xfId="0" applyFont="1" applyBorder="1">
      <alignment horizontal="center" vertical="center" wrapText="1"/>
    </xf>
    <xf numFmtId="0" fontId="19" fillId="0" borderId="27" xfId="0" applyFont="1" applyBorder="1">
      <alignment horizontal="center" vertical="center" wrapText="1"/>
    </xf>
    <xf numFmtId="0" fontId="19" fillId="0" borderId="29" xfId="0" applyFont="1" applyBorder="1">
      <alignment horizontal="center" vertical="center" wrapText="1"/>
    </xf>
    <xf numFmtId="0" fontId="19" fillId="0" borderId="22" xfId="0" applyFont="1" applyBorder="1">
      <alignment horizontal="center" vertical="center" wrapText="1"/>
    </xf>
    <xf numFmtId="0" fontId="19" fillId="0" borderId="12" xfId="0" applyFont="1" applyBorder="1">
      <alignment horizontal="center" vertical="center"/>
    </xf>
    <xf numFmtId="0" fontId="19" fillId="0" borderId="14" xfId="0" applyFont="1" applyBorder="1">
      <alignment horizontal="center" vertical="center"/>
    </xf>
    <xf numFmtId="0" fontId="19" fillId="0" borderId="12" xfId="0" applyFont="1" applyBorder="1">
      <alignment horizontal="center" vertical="center"/>
    </xf>
    <xf numFmtId="0" fontId="19" fillId="0" borderId="14" xfId="0" applyFont="1" applyBorder="1">
      <alignment horizontal="center" vertical="center"/>
    </xf>
    <xf numFmtId="0" fontId="19" fillId="39" borderId="20" xfId="0" applyFont="1" applyFill="1" applyBorder="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lignment horizontal="center" vertical="center" wrapText="1"/>
    </xf>
    <xf numFmtId="0" fontId="0" fillId="34" borderId="20" xfId="0" applyFont="1" applyFill="1" applyBorder="1">
      <alignment horizontal="center" vertical="center" wrapText="1"/>
    </xf>
    <xf numFmtId="0" fontId="0" fillId="34" borderId="22" xfId="0" applyFont="1" applyFill="1" applyBorder="1">
      <alignment horizontal="center" vertical="center" wrapText="1"/>
    </xf>
    <xf numFmtId="0" fontId="0" fillId="34" borderId="0" xfId="0" applyFont="1" applyFill="1">
      <alignment horizontal="center" vertical="center" wrapText="1"/>
    </xf>
    <xf numFmtId="0" fontId="0" fillId="34" borderId="30" xfId="0" applyFont="1" applyFill="1" applyBorder="1">
      <alignment horizontal="center" vertical="center" wrapText="1"/>
    </xf>
    <xf numFmtId="0" fontId="0" fillId="34" borderId="27" xfId="0" applyFont="1" applyFill="1" applyBorder="1">
      <alignment horizontal="center" vertical="center" wrapText="1"/>
    </xf>
    <xf numFmtId="0" fontId="0" fillId="34" borderId="29" xfId="0" applyFont="1" applyFill="1" applyBorder="1">
      <alignment horizontal="center" vertical="center" wrapText="1"/>
    </xf>
    <xf numFmtId="0" fontId="25" fillId="0" borderId="12" xfId="0" applyFont="1" applyBorder="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lignment horizontal="left" vertical="center" wrapText="1"/>
    </xf>
    <xf numFmtId="0" fontId="19" fillId="34" borderId="36" xfId="0" applyFont="1" applyFill="1" applyBorder="1">
      <alignment horizontal="left" vertical="center" wrapText="1"/>
    </xf>
    <xf numFmtId="0" fontId="19" fillId="34" borderId="23" xfId="0" applyFont="1" applyFill="1" applyBorder="1">
      <alignment horizontal="left" vertical="center" wrapText="1"/>
    </xf>
    <xf numFmtId="0" fontId="37" fillId="0" borderId="24" xfId="0" applyFont="1" applyBorder="1">
      <alignment horizontal="center" vertical="top" wrapText="1"/>
    </xf>
    <xf numFmtId="0" fontId="0" fillId="34" borderId="24" xfId="0" applyFont="1" applyFill="1" applyBorder="1">
      <alignment horizontal="center" vertical="center" wrapText="1"/>
    </xf>
    <xf numFmtId="0" fontId="19" fillId="34" borderId="37" xfId="0" applyFont="1" applyFill="1" applyBorder="1">
      <alignment horizontal="center" vertical="center" wrapText="1"/>
    </xf>
    <xf numFmtId="0" fontId="19" fillId="34" borderId="22" xfId="0" applyFont="1" applyFill="1" applyBorder="1">
      <alignment horizontal="center" vertical="center" wrapText="1"/>
    </xf>
    <xf numFmtId="0" fontId="19" fillId="34" borderId="30" xfId="0" applyFont="1" applyFill="1" applyBorder="1">
      <alignment horizontal="center" vertical="center" wrapText="1"/>
    </xf>
    <xf numFmtId="0" fontId="19" fillId="38" borderId="12" xfId="0" applyFont="1" applyFill="1" applyBorder="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lignment horizontal="left" vertical="center" wrapText="1"/>
      <protection locked="0"/>
    </xf>
    <xf numFmtId="0" fontId="19" fillId="35" borderId="15" xfId="0" applyFont="1" applyFill="1" applyBorder="1">
      <alignment horizontal="left" vertical="center" wrapText="1"/>
      <protection locked="0"/>
    </xf>
    <xf numFmtId="0" fontId="19" fillId="35" borderId="13" xfId="0" applyFont="1" applyFill="1" applyBorder="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lignment horizontal="left" vertical="center" wrapText="1"/>
    </xf>
    <xf numFmtId="49" fontId="81" fillId="45" borderId="0" xfId="0" applyFont="1" applyFill="1" applyNumberFormat="1">
      <alignment horizontal="center" vertical="center" textRotation="90" wrapText="1"/>
    </xf>
    <xf numFmtId="0" fontId="63" fillId="0" borderId="0" xfId="0" applyFon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lignment horizontal="right" vertical="center" wrapText="1" indent="1"/>
    </xf>
    <xf numFmtId="0" fontId="19" fillId="0" borderId="13" xfId="0" applyFont="1" applyBorder="1">
      <alignment horizontal="right" vertical="center" wrapText="1" indent="1"/>
    </xf>
    <xf numFmtId="0" fontId="19" fillId="0" borderId="14" xfId="0" applyFont="1" applyBorder="1">
      <alignment horizontal="right" vertical="center" wrapText="1"/>
    </xf>
    <xf numFmtId="0" fontId="19" fillId="0" borderId="15" xfId="0" applyFont="1" applyBorder="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lignment horizontal="left" vertical="center" wrapText="1" indent="1"/>
    </xf>
    <xf numFmtId="0" fontId="34" fillId="0" borderId="0" xfId="0" applyFont="1">
      <alignment horizontal="left" vertical="top" wrapText="1"/>
    </xf>
    <xf numFmtId="0" fontId="19" fillId="0" borderId="23" xfId="0" applyFont="1" applyBorder="1">
      <alignment horizontal="left" vertical="center" wrapText="1"/>
    </xf>
    <xf numFmtId="0" fontId="37" fillId="0" borderId="0" xfId="0" applyFont="1">
      <alignment horizontal="center" vertical="center" wrapText="1"/>
    </xf>
    <xf numFmtId="0" fontId="36" fillId="0" borderId="0" xfId="0" applyFont="1">
      <alignment horizontal="center" vertical="top"/>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37" fillId="0" borderId="15" xfId="0" applyFont="1" applyBorder="1">
      <alignment horizontal="right" vertical="center" wrapText="1" indent="1"/>
    </xf>
    <xf numFmtId="0" fontId="37" fillId="0" borderId="13" xfId="0" applyFont="1" applyBorder="1">
      <alignment horizontal="right" vertical="center" wrapText="1" indent="1"/>
    </xf>
    <xf numFmtId="0" fontId="19" fillId="33" borderId="14" xfId="0" applyFont="1" applyFill="1" applyBorder="1">
      <alignment horizontal="left" vertical="top" wrapText="1"/>
    </xf>
    <xf numFmtId="0" fontId="19" fillId="33" borderId="13" xfId="0" applyFont="1" applyFill="1" applyBorder="1">
      <alignment horizontal="left" vertical="top" wrapText="1"/>
    </xf>
    <xf numFmtId="49" fontId="19" fillId="55" borderId="0" xfId="0" applyFont="1" applyFill="1" applyNumberFormat="1">
      <alignment horizontal="center" vertical="center" textRotation="90" wrapText="1"/>
    </xf>
    <xf numFmtId="0" fontId="19" fillId="0" borderId="0" xfId="0" applyFont="1">
      <alignment horizontal="left" vertical="top" wrapText="1"/>
    </xf>
    <xf numFmtId="49" fontId="19" fillId="0" borderId="0" xfId="0" applyFont="1" applyNumberFormat="1">
      <alignment vertical="center" wrapText="1"/>
    </xf>
    <xf numFmtId="0" fontId="25" fillId="0" borderId="24" xfId="0" applyFont="1" applyBorder="1">
      <alignment horizontal="center" vertical="center" wrapText="1"/>
    </xf>
    <xf numFmtId="0" fontId="19" fillId="33" borderId="14" xfId="0" applyFont="1" applyFill="1" applyBorder="1">
      <alignment horizontal="left" vertical="top" wrapText="1" indent="1"/>
    </xf>
    <xf numFmtId="0" fontId="19" fillId="33" borderId="13" xfId="0" applyFont="1" applyFill="1" applyBorder="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lignment horizontal="center" vertical="center" wrapText="1"/>
    </xf>
    <xf numFmtId="0" fontId="0" fillId="34" borderId="15" xfId="0" applyFont="1" applyFill="1" applyBorder="1">
      <alignment horizontal="center" vertical="center" wrapText="1"/>
    </xf>
    <xf numFmtId="0" fontId="0" fillId="34" borderId="13" xfId="0" applyFont="1" applyFill="1" applyBorder="1">
      <alignment horizontal="center" vertical="center" wrapText="1"/>
    </xf>
    <xf numFmtId="0" fontId="0" fillId="0" borderId="12" xfId="0" applyFont="1" applyBorder="1">
      <alignment horizontal="left" vertical="center" wrapText="1" indent="1"/>
    </xf>
    <xf numFmtId="0" fontId="0" fillId="0" borderId="12" xfId="0" applyFont="1" applyBorder="1">
      <alignment horizontal="center" vertical="center" wrapText="1"/>
    </xf>
    <xf numFmtId="0" fontId="19" fillId="0" borderId="0" xfId="0" applyFont="1">
      <alignment horizontal="left" vertical="center" wrapText="1"/>
    </xf>
    <xf numFmtId="0" fontId="19" fillId="34" borderId="12" xfId="0" applyFont="1" applyFill="1" applyBorder="1">
      <alignment horizontal="center" vertical="center" wrapText="1"/>
    </xf>
    <xf numFmtId="0" fontId="19" fillId="34" borderId="37" xfId="0" applyFont="1" applyFill="1" applyBorder="1">
      <alignment horizontal="center" vertical="center" wrapText="1"/>
    </xf>
    <xf numFmtId="0" fontId="19" fillId="34" borderId="20" xfId="0" applyFont="1" applyFill="1" applyBorder="1">
      <alignment horizontal="center" vertical="center" wrapText="1"/>
    </xf>
    <xf numFmtId="0" fontId="19" fillId="34" borderId="22" xfId="0" applyFont="1" applyFill="1" applyBorder="1">
      <alignment horizontal="center" vertical="center" wrapText="1"/>
    </xf>
    <xf numFmtId="0" fontId="19" fillId="34" borderId="24" xfId="0" applyFont="1" applyFill="1" applyBorder="1">
      <alignment horizontal="center" vertical="center" wrapText="1"/>
    </xf>
    <xf numFmtId="0" fontId="19" fillId="34" borderId="30" xfId="0" applyFont="1" applyFill="1" applyBorder="1">
      <alignment horizontal="center" vertical="center" wrapText="1"/>
    </xf>
    <xf numFmtId="0" fontId="19" fillId="34" borderId="29" xfId="0" applyFont="1" applyFill="1" applyBorder="1">
      <alignment horizontal="center" vertical="center" wrapText="1"/>
    </xf>
    <xf numFmtId="0" fontId="19" fillId="0" borderId="62" xfId="0" applyFont="1" applyBorder="1">
      <alignment horizontal="center" vertical="center"/>
    </xf>
    <xf numFmtId="0" fontId="19" fillId="0" borderId="63" xfId="0" applyFont="1" applyBorder="1">
      <alignment horizontal="center" vertical="center"/>
    </xf>
    <xf numFmtId="0" fontId="19" fillId="0" borderId="65" xfId="0" applyFont="1" applyBorder="1">
      <alignment horizontal="center" vertical="center"/>
    </xf>
    <xf numFmtId="0" fontId="19" fillId="0" borderId="75" xfId="0" applyFont="1" applyBorder="1">
      <alignment horizontal="center" vertical="center"/>
    </xf>
    <xf numFmtId="0" fontId="19"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lignment horizontal="center" vertical="center" wrapText="1"/>
    </xf>
    <xf numFmtId="49" fontId="0" fillId="0" borderId="12" xfId="0" applyFont="1" applyBorder="1" applyNumberFormat="1">
      <alignment horizontal="center" vertical="center"/>
    </xf>
    <xf numFmtId="0" fontId="19" fillId="34" borderId="20" xfId="0" applyFont="1" applyFill="1" applyBorder="1">
      <alignment horizontal="center" vertical="center" wrapText="1"/>
    </xf>
    <xf numFmtId="0" fontId="19" fillId="34" borderId="29" xfId="0" applyFont="1" applyFill="1" applyBorder="1">
      <alignment horizontal="center" vertical="center" wrapText="1"/>
    </xf>
    <xf numFmtId="0" fontId="19" fillId="34" borderId="14" xfId="0" applyFont="1" applyFill="1" applyBorder="1">
      <alignment horizontal="center" vertical="center" wrapText="1"/>
    </xf>
    <xf numFmtId="0" fontId="19" fillId="34" borderId="13" xfId="0" applyFont="1" applyFill="1" applyBorder="1">
      <alignment horizontal="center" vertical="center" wrapText="1"/>
    </xf>
    <xf numFmtId="0" fontId="19" fillId="40" borderId="12" xfId="0" applyFont="1" applyFill="1" applyBorder="1">
      <alignment horizontal="center" vertical="center" wrapText="1"/>
    </xf>
    <xf numFmtId="0" fontId="19" fillId="40" borderId="14" xfId="0" applyFont="1" applyFill="1" applyBorder="1">
      <alignment horizontal="center" vertical="center" wrapText="1"/>
    </xf>
    <xf numFmtId="0" fontId="19" fillId="34" borderId="15" xfId="0" applyFont="1" applyFill="1" applyBorder="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lignment horizontal="center" vertical="center" wrapText="1"/>
    </xf>
    <xf numFmtId="0" fontId="19" fillId="48" borderId="14" xfId="0" applyFont="1" applyFill="1" applyBorder="1">
      <alignment horizontal="center" vertical="center" wrapText="1"/>
    </xf>
    <xf numFmtId="0" fontId="19" fillId="48" borderId="15" xfId="0" applyFont="1" applyFill="1" applyBorder="1">
      <alignment horizontal="center" vertical="center" wrapText="1"/>
    </xf>
    <xf numFmtId="0" fontId="19" fillId="48" borderId="13" xfId="0" applyFont="1" applyFill="1" applyBorder="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lignment horizontal="left" vertical="top" wrapText="1"/>
    </xf>
    <xf numFmtId="0" fontId="19" fillId="0" borderId="20" xfId="0" applyFont="1" applyBorder="1">
      <alignment horizontal="left" vertical="top" wrapText="1" indent="1"/>
    </xf>
    <xf numFmtId="0" fontId="19" fillId="0" borderId="17" xfId="0" applyFont="1" applyBorder="1">
      <alignment horizontal="left" vertical="top" wrapText="1" indent="1"/>
    </xf>
    <xf numFmtId="0" fontId="19" fillId="0" borderId="37" xfId="0" applyFont="1" applyBorder="1">
      <alignment horizontal="left" vertical="top" wrapText="1" indent="1"/>
    </xf>
    <xf numFmtId="0" fontId="19" fillId="0" borderId="29" xfId="0" applyFont="1" applyBorder="1">
      <alignment horizontal="left" vertical="center" wrapText="1" indent="1"/>
    </xf>
    <xf numFmtId="0" fontId="19" fillId="0" borderId="23" xfId="0" applyFont="1" applyBorder="1">
      <alignment horizontal="left" vertical="center" wrapText="1" indent="1"/>
    </xf>
    <xf numFmtId="0" fontId="19" fillId="0" borderId="30" xfId="0" applyFont="1" applyBorder="1">
      <alignment horizontal="left" vertical="center" wrapText="1" indent="1"/>
    </xf>
    <xf numFmtId="0" fontId="19" fillId="34" borderId="12" xfId="0" applyFont="1" applyFill="1" applyBorder="1">
      <alignment horizontal="center" vertical="center"/>
    </xf>
    <xf numFmtId="0" fontId="0" fillId="0" borderId="12" xfId="0" applyFont="1" applyBorder="1">
      <alignment horizontal="left" vertical="center" wrapText="1"/>
    </xf>
    <xf numFmtId="0" fontId="0" fillId="0" borderId="12" xfId="0" applyFont="1" applyBorder="1">
      <alignment horizontal="left" vertical="center" wrapText="1"/>
    </xf>
    <xf numFmtId="0" fontId="19" fillId="0" borderId="15" xfId="0" applyFont="1" applyBorder="1">
      <alignment horizontal="left" vertical="top" wrapText="1" indent="1"/>
    </xf>
    <xf numFmtId="0" fontId="28" fillId="34" borderId="0" xfId="0" applyFont="1" applyFill="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3" borderId="14" xfId="0" applyFont="1" applyFill="1" applyBorder="1">
      <alignment horizontal="left" vertical="center" wrapText="1" indent="1"/>
    </xf>
    <xf numFmtId="0" fontId="28" fillId="34" borderId="24" xfId="0" applyFont="1" applyFill="1" applyBorder="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lignment horizontal="left" vertical="center" wrapText="1" indent="1"/>
    </xf>
    <xf numFmtId="49" fontId="19" fillId="0" borderId="0" xfId="0" applyFont="1" applyNumberFormat="1">
      <alignment horizontal="left" vertical="top" wrapText="1"/>
    </xf>
    <xf numFmtId="0" fontId="19" fillId="0" borderId="13" xfId="0" applyFont="1" applyBorder="1">
      <alignment horizontal="left" vertical="center" wrapText="1" indent="1"/>
    </xf>
    <xf numFmtId="0" fontId="19" fillId="0" borderId="14" xfId="0" applyFont="1" applyBorder="1">
      <alignment horizontal="left" vertical="center" wrapText="1" indent="1"/>
    </xf>
    <xf numFmtId="49" fontId="19" fillId="0" borderId="0" xfId="0" applyFont="1" applyNumberFormat="1">
      <alignment horizontal="left" vertical="top" wrapText="1"/>
    </xf>
    <xf numFmtId="0" fontId="0" fillId="34" borderId="17" xfId="0" applyFont="1" applyFill="1" applyBorder="1">
      <alignment horizontal="left" vertical="top" wrapText="1"/>
    </xf>
    <xf numFmtId="0" fontId="0" fillId="34" borderId="36" xfId="0" applyFont="1" applyFill="1" applyBorder="1">
      <alignment horizontal="left" vertical="top" wrapText="1"/>
    </xf>
    <xf numFmtId="0" fontId="0" fillId="34" borderId="23" xfId="0" applyFont="1" applyFill="1" applyBorder="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lignment horizontal="center" vertical="center"/>
    </xf>
    <xf numFmtId="0" fontId="0" fillId="38" borderId="12" xfId="0" applyFont="1" applyFill="1" applyBorder="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lignment horizontal="left" vertical="center" wrapText="1" indent="1"/>
    </xf>
    <xf numFmtId="0" fontId="65" fillId="0" borderId="12" xfId="0" applyFont="1" applyBorder="1">
      <alignment horizontal="left" vertical="top" indent="1"/>
    </xf>
    <xf numFmtId="0" fontId="24" fillId="0" borderId="12" xfId="0" applyFont="1" applyBorder="1">
      <alignment horizontal="center" vertical="center" wrapText="1"/>
    </xf>
    <xf numFmtId="0" fontId="19" fillId="39" borderId="12" xfId="0" applyFont="1" applyFill="1" applyBorder="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lignment horizontal="left" vertical="center" wrapText="1"/>
    </xf>
    <xf numFmtId="0" fontId="19" fillId="39" borderId="36" xfId="0" applyFont="1" applyFill="1" applyBorder="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9" xfId="0" applyFont="1" applyFill="1" applyBorder="1">
      <alignment horizontal="left" vertical="center"/>
    </xf>
    <xf numFmtId="0" fontId="29" fillId="36" borderId="20" xfId="0" applyFont="1" applyFill="1" applyBorder="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lignment horizontal="center" vertical="center" wrapText="1"/>
    </xf>
    <xf numFmtId="0" fontId="19" fillId="39" borderId="12" xfId="0" applyFont="1" applyFill="1" applyBorder="1">
      <alignment horizontal="left" vertical="center" wrapText="1"/>
      <protection locked="0"/>
    </xf>
    <xf numFmtId="0" fontId="19" fillId="39" borderId="14" xfId="0" applyFont="1" applyFill="1" applyBorder="1">
      <alignment horizontal="left" vertical="center" wrapText="1"/>
      <protection locked="0"/>
    </xf>
    <xf numFmtId="0" fontId="19" fillId="39" borderId="15" xfId="0" applyFont="1" applyFill="1" applyBorder="1">
      <alignment horizontal="left" vertical="center" wrapText="1"/>
      <protection locked="0"/>
    </xf>
    <xf numFmtId="0" fontId="19" fillId="39" borderId="13" xfId="0" applyFont="1" applyFill="1" applyBorder="1">
      <alignment horizontal="left" vertical="center" wrapText="1"/>
      <protection locked="0"/>
    </xf>
    <xf numFmtId="0" fontId="19" fillId="0" borderId="0" xfId="0" applyFont="1">
      <alignment horizontal="right" vertical="center" wrapText="1"/>
    </xf>
    <xf numFmtId="0" fontId="35" fillId="0" borderId="19" xfId="0" applyFont="1" applyBorder="1">
      <alignment horizontal="left" vertical="center" wrapText="1" indent="1"/>
    </xf>
    <xf numFmtId="0" fontId="35" fillId="0" borderId="27" xfId="0" applyFont="1" applyBorder="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lignment horizontal="center" vertical="center" wrapText="1"/>
    </xf>
    <xf numFmtId="0" fontId="24" fillId="34" borderId="0" xfId="0" applyFont="1" applyFill="1">
      <alignment horizontal="center" vertical="center" wrapText="1"/>
    </xf>
    <xf numFmtId="0" fontId="72" fillId="0" borderId="0" xfId="0" applyFon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lignment horizontal="left" vertical="center" wrapText="1" indent="1"/>
    </xf>
    <xf numFmtId="0" fontId="19" fillId="33" borderId="14" xfId="0" applyFont="1" applyFill="1" applyBorder="1">
      <alignment horizontal="left" vertical="center" wrapText="1" indent="1"/>
    </xf>
    <xf numFmtId="0" fontId="19" fillId="33" borderId="15" xfId="0" applyFont="1" applyFill="1" applyBorder="1">
      <alignment horizontal="left" vertical="center" wrapText="1" indent="1"/>
    </xf>
    <xf numFmtId="0" fontId="19" fillId="33" borderId="13" xfId="0" applyFont="1" applyFill="1" applyBorder="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49" fontId="0" fillId="0" borderId="0" xfId="0" applyFont="1" applyNumberFormat="1">
      <alignment vertical="top"/>
    </xf>
    <xf numFmtId="49" fontId="115" fillId="38" borderId="12" xfId="0" applyFont="1" applyFill="1" applyBorder="1" applyNumberFormat="1">
      <alignment horizontal="left" vertical="center" wrapText="1" indent="1"/>
      <protection locked="0"/>
    </xf>
    <xf numFmtId="49" fontId="0" fillId="0" borderId="0" xfId="0" applyFont="1" applyNumberFormat="1">
      <alignment vertical="top"/>
    </xf>
    <xf numFmtId="0" fontId="19" fillId="39" borderId="12" xfId="0" applyFont="1" applyFill="1" applyBorder="1">
      <alignment horizontal="left" vertical="top" wrapText="1"/>
    </xf>
    <xf numFmtId="49" fontId="0" fillId="34" borderId="12" xfId="0" applyFont="1" applyFill="1" applyBorder="1" applyNumberFormat="1">
      <alignment horizontal="left" vertical="center"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0" fillId="34" borderId="12" xfId="0" applyFont="1" applyFill="1" applyBorder="1">
      <alignment horizontal="left" vertical="center" wrapText="1"/>
    </xf>
    <xf numFmtId="49"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0" fillId="39" borderId="12" xfId="0" applyFont="1" applyFill="1" applyBorder="1" applyNumberFormat="1">
      <alignment horizontal="left" vertical="top"/>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19" fillId="39" borderId="17" xfId="0" applyFont="1" applyFill="1" applyBorder="1">
      <alignment horizontal="left" vertical="top" wrapText="1"/>
    </xf>
    <xf numFmtId="0" fontId="19" fillId="39" borderId="36" xfId="0" applyFont="1" applyFill="1" applyBorder="1">
      <alignment horizontal="left" vertical="top"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19" fillId="39" borderId="23" xfId="0" applyFont="1" applyFill="1" applyBorder="1">
      <alignment horizontal="left" vertical="top" wrapText="1"/>
    </xf>
    <xf numFmtId="0" fontId="29" fillId="36" borderId="14"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29" fillId="36" borderId="15" xfId="0" applyFont="1" applyFill="1" applyBorder="1">
      <alignment horizontal="lef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0" fillId="36" borderId="15" xfId="0" applyFont="1" applyFill="1" applyBorder="1">
      <alignment vertical="center"/>
    </xf>
    <xf numFmtId="0" fontId="29" fillId="36" borderId="13" xfId="0" applyFont="1" applyFill="1" applyBorder="1">
      <alignment horizontal="left" vertical="center"/>
    </xf>
    <xf numFmtId="0" fontId="19" fillId="34" borderId="12" xfId="0" applyFont="1" applyFill="1" applyBorder="1">
      <alignment horizontal="left" vertical="top" wrapText="1"/>
    </xf>
    <xf numFmtId="49" fontId="0" fillId="34" borderId="12" xfId="0" applyFont="1" applyFill="1" applyBorder="1" applyNumberFormat="1">
      <alignment horizontal="left" vertical="top"/>
    </xf>
    <xf numFmtId="49" fontId="0" fillId="38" borderId="12" xfId="0" applyFont="1" applyFill="1" applyBorder="1" applyNumberFormat="1">
      <alignment horizontal="left" vertical="center" wrapText="1"/>
      <protection locked="0"/>
    </xf>
    <xf numFmtId="174" fontId="0" fillId="38" borderId="12" xfId="0" applyFont="1" applyFill="1" applyBorder="1" applyNumberFormat="1">
      <alignment horizontal="left" vertical="center" wrapText="1" inden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36" fillId="0" borderId="17"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4"/>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19" xfId="0" applyFont="1" applyBorder="1">
      <alignment horizontal="center" vertical="center" wrapText="1"/>
    </xf>
    <xf numFmtId="0" fontId="19" fillId="0" borderId="27" xfId="0" applyFont="1" applyBorder="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0" fontId="19" fillId="36" borderId="15" xfId="0" applyFont="1" applyFill="1" applyBorder="1">
      <alignment horizontal="left" vertical="center" wrapText="1" indent="6"/>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5"/>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27" xfId="0" applyFont="1" applyFill="1" applyBorder="1" applyNumberFormat="1">
      <alignment horizontal="center" vertical="center" wrapText="1"/>
    </xf>
    <xf numFmtId="49" fontId="19" fillId="36" borderId="13"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15" fillId="38" borderId="12" xfId="0" applyFont="1" applyFill="1" applyBorder="1">
      <alignment horizontal="left" vertical="center" wrapText="1"/>
      <protection locked="0"/>
    </xf>
    <xf numFmtId="49" fontId="115" fillId="38" borderId="12" xfId="0" applyFont="1" applyFill="1" applyBorder="1" applyNumberFormat="1">
      <alignment horizontal="left" vertical="center" wrapText="1"/>
      <protection locked="0"/>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29" fillId="36" borderId="27" xfId="0" applyFont="1" applyFill="1" applyBorder="1" applyNumberFormat="1">
      <alignment horizontal="left" vertical="center"/>
    </xf>
    <xf numFmtId="49" fontId="29" fillId="36" borderId="15" xfId="0" applyFont="1" applyFill="1" applyBorder="1" applyNumberFormat="1">
      <alignment horizontal="left" vertical="center"/>
    </xf>
    <xf numFmtId="49" fontId="29" fillId="36" borderId="15" xfId="0" applyFont="1" applyFill="1" applyBorder="1" applyNumberFormat="1">
      <alignment horizontal="left" vertical="center" indent="2"/>
    </xf>
    <xf numFmtId="49" fontId="29" fillId="36" borderId="27" xfId="0" applyFont="1" applyFill="1" applyBorder="1" applyNumberFormat="1">
      <alignment horizontal="left" vertical="center"/>
    </xf>
    <xf numFmtId="49" fontId="33" fillId="36" borderId="13" xfId="0" applyFont="1" applyFill="1" applyBorder="1" applyNumberFormat="1">
      <alignment horizontal="center" vertical="top"/>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34" borderId="0" xfId="0" applyFont="1" applyFill="1" applyNumberFormat="1">
      <alignment vertical="top"/>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0</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www.gov.spb.ru/static/writable/documents/2023/12/22/%D0%BE%D1%82_20.12.2023__262-%D1%80.pdf" TargetMode="External"/><Relationship Id="rId5" Type="http://schemas.openxmlformats.org/officeDocument/2006/relationships/hyperlink" Target="mailto:Voropaeva.UA@tgc1.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 Id="rId2" Type="http://schemas.openxmlformats.org/officeDocument/2006/relationships/hyperlink" Target="http://www.tgc1.ru/clients/spb/enterprises/connect/" TargetMode="External"/><Relationship Id="rId3" Type="http://schemas.openxmlformats.org/officeDocument/2006/relationships/hyperlink" Target="https://portal.eias.ru/Portal/DownloadPage.aspx?type=12&amp;guid=0281516b-f62e-4360-8f84-a221164a24e0" TargetMode="External"/><Relationship Id="rId4" Type="http://schemas.openxmlformats.org/officeDocument/2006/relationships/hyperlink" Target="https://portal.eias.ru/Portal/DownloadPage.aspx?type=12&amp;guid=0d03c77e-d1b9-40f4-bc05-e71b03037a3f" TargetMode="External"/><Relationship Id="rId5" Type="http://schemas.openxmlformats.org/officeDocument/2006/relationships/hyperlink" Target="https://portal.eias.ru/Portal/DownloadPage.aspx?type=12&amp;guid=08d9c885-587f-4b8a-8dc2-93d0608eec16" TargetMode="Externa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A48A87-279A-C429-DF23-94B7F272049B}"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28" width="5.421875" customWidth="1"/>
    <col min="2" max="2" style="1728" width="9.140625" customWidth="1"/>
    <col min="3" max="3" style="1728" width="16.421875" customWidth="1"/>
    <col min="4" max="25" style="1728" width="6.28125" customWidth="1"/>
    <col min="26" max="28" style="1728" width="11.00390625"/>
  </cols>
  <sheetData>
    <row customHeight="1" ht="15.75">
      <c r="A1" s="1724"/>
      <c r="B1" s="1725"/>
      <c r="C1" s="1725"/>
      <c r="D1" s="1725"/>
      <c r="E1" s="1725"/>
      <c r="F1" s="1725"/>
      <c r="G1" s="1725"/>
      <c r="H1" s="1725"/>
      <c r="I1" s="1725"/>
      <c r="J1" s="1725"/>
      <c r="K1" s="1725"/>
      <c r="L1" s="1725"/>
      <c r="M1" s="1725"/>
      <c r="N1" s="1725"/>
      <c r="O1" s="1725"/>
      <c r="P1" s="1725"/>
      <c r="Q1" s="1725"/>
      <c r="R1" s="1725"/>
      <c r="S1" s="1725"/>
      <c r="T1" s="1725"/>
      <c r="U1" s="1725"/>
      <c r="V1" s="1725"/>
      <c r="W1" s="1725"/>
      <c r="X1" s="1725"/>
      <c r="Y1" s="1726"/>
      <c r="Z1" s="1725"/>
      <c r="AA1" s="1727" t="s">
        <v>0</v>
      </c>
      <c r="AB1" s="1725"/>
    </row>
    <row customHeight="1" ht="17.25">
      <c r="A2" s="1725"/>
      <c r="B2" s="1923" t="s">
        <v>1</v>
      </c>
      <c r="C2" s="1923"/>
      <c r="D2" s="1923"/>
      <c r="E2" s="1923"/>
      <c r="F2" s="1923"/>
      <c r="G2" s="1923"/>
      <c r="H2" s="1923"/>
      <c r="I2" s="1923"/>
      <c r="J2" s="1923"/>
      <c r="K2" s="1923"/>
      <c r="L2" s="1923"/>
      <c r="M2" s="1923"/>
      <c r="N2" s="1923"/>
      <c r="O2" s="1923"/>
      <c r="P2" s="1923"/>
      <c r="Q2" s="1729"/>
      <c r="R2" s="1729"/>
      <c r="S2" s="1729"/>
      <c r="T2" s="1729"/>
      <c r="U2" s="1729"/>
      <c r="V2" s="1730"/>
      <c r="W2" s="1729"/>
      <c r="X2" s="1729"/>
      <c r="Y2" s="1726"/>
      <c r="Z2" s="1725"/>
      <c r="AA2" s="1727"/>
      <c r="AB2" s="1725"/>
    </row>
    <row customHeight="1" ht="15.75">
      <c r="A3" s="1725"/>
      <c r="B3" s="1924" t="s">
        <v>2</v>
      </c>
      <c r="C3" s="1924"/>
      <c r="D3" s="1924"/>
      <c r="E3" s="1924"/>
      <c r="F3" s="1924"/>
      <c r="G3" s="1924"/>
      <c r="H3" s="1924"/>
      <c r="I3" s="1924"/>
      <c r="J3" s="1924"/>
      <c r="K3" s="1924"/>
      <c r="L3" s="1924"/>
      <c r="M3" s="1924"/>
      <c r="N3" s="1924"/>
      <c r="O3" s="1924"/>
      <c r="P3" s="1924"/>
      <c r="Q3" s="1730"/>
      <c r="R3" s="1730"/>
      <c r="S3" s="1729"/>
      <c r="T3" s="1729"/>
      <c r="U3" s="1729"/>
      <c r="V3" s="1730"/>
      <c r="W3" s="1730"/>
      <c r="X3" s="1730"/>
      <c r="Y3" s="1730"/>
      <c r="Z3" s="1725"/>
      <c r="AA3" s="1727"/>
      <c r="AB3" s="1725"/>
    </row>
    <row customHeight="1" ht="17.25">
      <c r="A4" s="1725"/>
      <c r="B4" s="1731"/>
      <c r="C4" s="1725"/>
      <c r="D4" s="1730"/>
      <c r="E4" s="1730"/>
      <c r="F4" s="1730"/>
      <c r="G4" s="1730"/>
      <c r="H4" s="1730"/>
      <c r="I4" s="1730"/>
      <c r="J4" s="1730"/>
      <c r="K4" s="1730"/>
      <c r="L4" s="1730"/>
      <c r="M4" s="1730"/>
      <c r="N4" s="1730"/>
      <c r="O4" s="1730"/>
      <c r="P4" s="1730"/>
      <c r="Q4" s="1730"/>
      <c r="R4" s="1730"/>
      <c r="S4" s="1730"/>
      <c r="T4" s="1730"/>
      <c r="U4" s="1730"/>
      <c r="V4" s="1730"/>
      <c r="W4" s="1730"/>
      <c r="X4" s="1730"/>
      <c r="Y4" s="1730"/>
      <c r="Z4" s="1725"/>
      <c r="AA4" s="1727"/>
      <c r="AB4" s="1725"/>
    </row>
    <row customHeight="1" ht="22.5">
      <c r="A5" s="1732"/>
      <c r="B5" s="1925"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26"/>
      <c r="D5" s="1926"/>
      <c r="E5" s="1926"/>
      <c r="F5" s="1926"/>
      <c r="G5" s="1926"/>
      <c r="H5" s="1926"/>
      <c r="I5" s="1926"/>
      <c r="J5" s="1926"/>
      <c r="K5" s="1926"/>
      <c r="L5" s="1926"/>
      <c r="M5" s="1926"/>
      <c r="N5" s="1926"/>
      <c r="O5" s="1926"/>
      <c r="P5" s="1926"/>
      <c r="Q5" s="1926"/>
      <c r="R5" s="1926"/>
      <c r="S5" s="1926"/>
      <c r="T5" s="1926"/>
      <c r="U5" s="1926"/>
      <c r="V5" s="1926"/>
      <c r="W5" s="1926"/>
      <c r="X5" s="1926"/>
      <c r="Y5" s="1927"/>
      <c r="Z5" s="1732"/>
      <c r="AA5" s="1727"/>
      <c r="AB5" s="1732"/>
    </row>
    <row customHeight="1" ht="15">
      <c r="A6" s="1733"/>
      <c r="B6" s="1915" t="s">
        <v>3</v>
      </c>
      <c r="C6" s="1918"/>
      <c r="D6" s="1734"/>
      <c r="E6" s="1734"/>
      <c r="F6" s="1734"/>
      <c r="G6" s="1734"/>
      <c r="H6" s="1734"/>
      <c r="I6" s="1734"/>
      <c r="J6" s="1734"/>
      <c r="K6" s="1734"/>
      <c r="L6" s="1734"/>
      <c r="M6" s="1734"/>
      <c r="N6" s="1734"/>
      <c r="O6" s="1734"/>
      <c r="P6" s="1734"/>
      <c r="Q6" s="1734"/>
      <c r="R6" s="1734"/>
      <c r="S6" s="1734"/>
      <c r="T6" s="1734"/>
      <c r="U6" s="1734"/>
      <c r="V6" s="1734"/>
      <c r="W6" s="1734"/>
      <c r="X6" s="1734"/>
      <c r="Y6" s="1735"/>
      <c r="Z6" s="1736"/>
      <c r="AA6" s="1737"/>
      <c r="AB6" s="1737"/>
    </row>
    <row customHeight="1" ht="15">
      <c r="A7" s="1733"/>
      <c r="B7" s="1915"/>
      <c r="C7" s="1918"/>
      <c r="D7" s="1734"/>
      <c r="E7" s="1734"/>
      <c r="F7" s="1738"/>
      <c r="G7" s="1738"/>
      <c r="H7" s="1738"/>
      <c r="I7" s="1738"/>
      <c r="J7" s="1738"/>
      <c r="K7" s="1738"/>
      <c r="L7" s="1738"/>
      <c r="M7" s="1738"/>
      <c r="N7" s="1738"/>
      <c r="O7" s="1734"/>
      <c r="P7" s="1738"/>
      <c r="Q7" s="1738"/>
      <c r="R7" s="1738"/>
      <c r="S7" s="1738"/>
      <c r="T7" s="1738"/>
      <c r="U7" s="1738"/>
      <c r="V7" s="1738"/>
      <c r="W7" s="1738"/>
      <c r="X7" s="1738"/>
      <c r="Y7" s="1735"/>
      <c r="Z7" s="1736"/>
      <c r="AA7" s="1737"/>
      <c r="AB7" s="1737"/>
    </row>
    <row customHeight="1" ht="15">
      <c r="A8" s="1733"/>
      <c r="B8" s="1915"/>
      <c r="C8" s="1918"/>
      <c r="D8" s="1739"/>
      <c r="E8" s="1740" t="s">
        <v>4</v>
      </c>
      <c r="F8" s="1928" t="s">
        <v>5</v>
      </c>
      <c r="G8" s="1917"/>
      <c r="H8" s="1917"/>
      <c r="I8" s="1917"/>
      <c r="J8" s="1917"/>
      <c r="K8" s="1917"/>
      <c r="L8" s="1917"/>
      <c r="M8" s="1917"/>
      <c r="N8" s="1739"/>
      <c r="O8" s="1741" t="s">
        <v>4</v>
      </c>
      <c r="P8" s="1929" t="s">
        <v>6</v>
      </c>
      <c r="Q8" s="1930"/>
      <c r="R8" s="1930"/>
      <c r="S8" s="1930"/>
      <c r="T8" s="1930"/>
      <c r="U8" s="1930"/>
      <c r="V8" s="1930"/>
      <c r="W8" s="1930"/>
      <c r="X8" s="1930"/>
      <c r="Y8" s="1735"/>
      <c r="Z8" s="1736"/>
      <c r="AA8" s="1737"/>
      <c r="AB8" s="1737"/>
    </row>
    <row customHeight="1" ht="15">
      <c r="A9" s="1733"/>
      <c r="B9" s="1915"/>
      <c r="C9" s="1918"/>
      <c r="D9" s="1739"/>
      <c r="E9" s="1742" t="s">
        <v>4</v>
      </c>
      <c r="F9" s="1928" t="s">
        <v>7</v>
      </c>
      <c r="G9" s="1917"/>
      <c r="H9" s="1917"/>
      <c r="I9" s="1917"/>
      <c r="J9" s="1917"/>
      <c r="K9" s="1917"/>
      <c r="L9" s="1917"/>
      <c r="M9" s="1917"/>
      <c r="N9" s="1739"/>
      <c r="O9" s="1743" t="s">
        <v>4</v>
      </c>
      <c r="P9" s="1929" t="s">
        <v>8</v>
      </c>
      <c r="Q9" s="1930"/>
      <c r="R9" s="1930"/>
      <c r="S9" s="1930"/>
      <c r="T9" s="1930"/>
      <c r="U9" s="1930"/>
      <c r="V9" s="1930"/>
      <c r="W9" s="1930"/>
      <c r="X9" s="1930"/>
      <c r="Y9" s="1735"/>
      <c r="Z9" s="1736"/>
      <c r="AA9" s="1737"/>
      <c r="AB9" s="1737"/>
    </row>
    <row customHeight="1" ht="30">
      <c r="A10" s="1733"/>
      <c r="B10" s="1915"/>
      <c r="C10" s="1916"/>
      <c r="D10" s="1744"/>
      <c r="E10" s="1745"/>
      <c r="F10" s="1738"/>
      <c r="G10" s="1738"/>
      <c r="H10" s="1738"/>
      <c r="I10" s="1738"/>
      <c r="J10" s="1738"/>
      <c r="K10" s="1738"/>
      <c r="L10" s="1738"/>
      <c r="M10" s="1738"/>
      <c r="N10" s="1738"/>
      <c r="O10" s="1745"/>
      <c r="P10" s="1738"/>
      <c r="Q10" s="1738"/>
      <c r="R10" s="1738"/>
      <c r="S10" s="1738"/>
      <c r="T10" s="1738"/>
      <c r="U10" s="1738"/>
      <c r="V10" s="1738"/>
      <c r="W10" s="1738"/>
      <c r="X10" s="1738"/>
      <c r="Y10" s="1735"/>
      <c r="Z10" s="1736"/>
      <c r="AA10" s="1737"/>
      <c r="AB10" s="1737"/>
    </row>
    <row customHeight="1" ht="19.5">
      <c r="A11" s="1733"/>
      <c r="B11" s="1913" t="s">
        <v>9</v>
      </c>
      <c r="C11" s="1914"/>
      <c r="D11" s="1739"/>
      <c r="E11" s="1746"/>
      <c r="F11" s="1746"/>
      <c r="G11" s="1746"/>
      <c r="H11" s="1746"/>
      <c r="I11" s="1746"/>
      <c r="J11" s="1746"/>
      <c r="K11" s="1746"/>
      <c r="L11" s="1746"/>
      <c r="M11" s="1746"/>
      <c r="N11" s="1746"/>
      <c r="O11" s="1746"/>
      <c r="P11" s="1746"/>
      <c r="Q11" s="1746"/>
      <c r="R11" s="1746"/>
      <c r="S11" s="1746"/>
      <c r="T11" s="1746"/>
      <c r="U11" s="1746"/>
      <c r="V11" s="1746"/>
      <c r="W11" s="1746"/>
      <c r="X11" s="1746"/>
      <c r="Y11" s="1735"/>
      <c r="Z11" s="1736"/>
      <c r="AA11" s="1737"/>
      <c r="AB11" s="1737"/>
    </row>
    <row customHeight="1" ht="69">
      <c r="A12" s="1733"/>
      <c r="B12" s="1915"/>
      <c r="C12" s="1916"/>
      <c r="D12" s="1747"/>
      <c r="E12" s="1917" t="s">
        <v>10</v>
      </c>
      <c r="F12" s="1917"/>
      <c r="G12" s="1917"/>
      <c r="H12" s="1917"/>
      <c r="I12" s="1917"/>
      <c r="J12" s="1917"/>
      <c r="K12" s="1917"/>
      <c r="L12" s="1917"/>
      <c r="M12" s="1917"/>
      <c r="N12" s="1917"/>
      <c r="O12" s="1917"/>
      <c r="P12" s="1917"/>
      <c r="Q12" s="1917"/>
      <c r="R12" s="1917"/>
      <c r="S12" s="1917"/>
      <c r="T12" s="1917"/>
      <c r="U12" s="1917"/>
      <c r="V12" s="1917"/>
      <c r="W12" s="1917"/>
      <c r="X12" s="1917"/>
      <c r="Y12" s="1735"/>
      <c r="Z12" s="1736"/>
      <c r="AA12" s="1737"/>
      <c r="AB12" s="1737"/>
    </row>
    <row customHeight="1" ht="15">
      <c r="A13" s="1733"/>
      <c r="B13" s="1913" t="s">
        <v>11</v>
      </c>
      <c r="C13" s="1914"/>
      <c r="D13" s="1734"/>
      <c r="E13" s="1746"/>
      <c r="F13" s="1746"/>
      <c r="G13" s="1746"/>
      <c r="H13" s="1746"/>
      <c r="I13" s="1746"/>
      <c r="J13" s="1746"/>
      <c r="K13" s="1746"/>
      <c r="L13" s="1746"/>
      <c r="M13" s="1746"/>
      <c r="N13" s="1746"/>
      <c r="O13" s="1746"/>
      <c r="P13" s="1746"/>
      <c r="Q13" s="1746"/>
      <c r="R13" s="1746"/>
      <c r="S13" s="1746"/>
      <c r="T13" s="1746"/>
      <c r="U13" s="1746"/>
      <c r="V13" s="1746"/>
      <c r="W13" s="1746"/>
      <c r="X13" s="1746"/>
      <c r="Y13" s="1735"/>
      <c r="Z13" s="1736"/>
      <c r="AA13" s="1737"/>
      <c r="AB13" s="1737"/>
    </row>
    <row customHeight="1" ht="57">
      <c r="A14" s="1733"/>
      <c r="B14" s="1915"/>
      <c r="C14" s="1918"/>
      <c r="D14" s="1739"/>
      <c r="E14" s="1921" t="s">
        <v>12</v>
      </c>
      <c r="F14" s="1921"/>
      <c r="G14" s="1921"/>
      <c r="H14" s="1921"/>
      <c r="I14" s="1921"/>
      <c r="J14" s="1921"/>
      <c r="K14" s="1921"/>
      <c r="L14" s="1921"/>
      <c r="M14" s="1921"/>
      <c r="N14" s="1921"/>
      <c r="O14" s="1921"/>
      <c r="P14" s="1921"/>
      <c r="Q14" s="1921"/>
      <c r="R14" s="1921"/>
      <c r="S14" s="1921"/>
      <c r="T14" s="1921"/>
      <c r="U14" s="1921"/>
      <c r="V14" s="1921"/>
      <c r="W14" s="1921"/>
      <c r="X14" s="1921"/>
      <c r="Y14" s="1735"/>
      <c r="Z14" s="1736"/>
      <c r="AA14" s="1737"/>
      <c r="AB14" s="1737"/>
    </row>
    <row customHeight="1" ht="16.5">
      <c r="A15" s="1733"/>
      <c r="B15" s="1919"/>
      <c r="C15" s="1920"/>
      <c r="D15" s="1748"/>
      <c r="E15" s="1749"/>
      <c r="F15" s="1749"/>
      <c r="G15" s="1749"/>
      <c r="H15" s="1749"/>
      <c r="I15" s="1749"/>
      <c r="J15" s="1749"/>
      <c r="K15" s="1749"/>
      <c r="L15" s="1749"/>
      <c r="M15" s="1749"/>
      <c r="N15" s="1749"/>
      <c r="O15" s="1749"/>
      <c r="P15" s="1749"/>
      <c r="Q15" s="1749"/>
      <c r="R15" s="1749"/>
      <c r="S15" s="1749"/>
      <c r="T15" s="1749"/>
      <c r="U15" s="1749"/>
      <c r="V15" s="1749"/>
      <c r="W15" s="1749"/>
      <c r="X15" s="1749"/>
      <c r="Y15" s="1750"/>
      <c r="Z15" s="1736"/>
      <c r="AA15" s="1751"/>
      <c r="AB15" s="1737"/>
    </row>
    <row customHeight="1" ht="95.25">
      <c r="A16" s="1725"/>
      <c r="B16" s="1921"/>
      <c r="C16" s="1922"/>
      <c r="D16" s="1922"/>
      <c r="E16" s="1922"/>
      <c r="F16" s="1922"/>
      <c r="G16" s="1922"/>
      <c r="H16" s="1922"/>
      <c r="I16" s="1922"/>
      <c r="J16" s="1922"/>
      <c r="K16" s="1922"/>
      <c r="L16" s="1922"/>
      <c r="M16" s="1922"/>
      <c r="N16" s="1922"/>
      <c r="O16" s="1922"/>
      <c r="P16" s="1922"/>
      <c r="Q16" s="1922"/>
      <c r="R16" s="1922"/>
      <c r="S16" s="1922"/>
      <c r="T16" s="1922"/>
      <c r="U16" s="1922"/>
      <c r="V16" s="1922"/>
      <c r="W16" s="1922"/>
      <c r="X16" s="1922"/>
      <c r="Y16" s="1922"/>
      <c r="Z16" s="1725"/>
      <c r="AA16" s="1727"/>
      <c r="AB16" s="1725"/>
    </row>
    <row customHeight="1" ht="14.25">
      <c r="A17" s="1725"/>
      <c r="B17" s="1725"/>
      <c r="C17" s="1725"/>
      <c r="D17" s="1725"/>
      <c r="E17" s="1725"/>
      <c r="F17" s="1725"/>
      <c r="G17" s="1725"/>
      <c r="H17" s="1725"/>
      <c r="I17" s="1725"/>
      <c r="J17" s="1725"/>
      <c r="K17" s="1725"/>
      <c r="L17" s="1725"/>
      <c r="M17" s="1725"/>
      <c r="N17" s="1725"/>
      <c r="O17" s="1725"/>
      <c r="P17" s="1725"/>
      <c r="Q17" s="1725"/>
      <c r="R17" s="1725"/>
      <c r="S17" s="1725"/>
      <c r="T17" s="1725"/>
      <c r="U17" s="1725"/>
      <c r="V17" s="1725"/>
      <c r="W17" s="1725"/>
      <c r="X17" s="1725"/>
      <c r="Y17" s="1726"/>
      <c r="Z17" s="1725"/>
      <c r="AA17" s="1727"/>
      <c r="AB17" s="1725"/>
    </row>
    <row customHeight="1" ht="14.25">
      <c r="A18" s="1725"/>
      <c r="B18" s="1725"/>
      <c r="C18" s="1725"/>
      <c r="D18" s="1725"/>
      <c r="E18" s="1725"/>
      <c r="F18" s="1725"/>
      <c r="G18" s="1725"/>
      <c r="H18" s="1725"/>
      <c r="I18" s="1725"/>
      <c r="J18" s="1725"/>
      <c r="K18" s="1725"/>
      <c r="L18" s="1725"/>
      <c r="M18" s="1725"/>
      <c r="N18" s="1725"/>
      <c r="O18" s="1725"/>
      <c r="P18" s="1725"/>
      <c r="Q18" s="1725"/>
      <c r="R18" s="1725"/>
      <c r="S18" s="1725"/>
      <c r="T18" s="1725"/>
      <c r="U18" s="1725"/>
      <c r="V18" s="1725"/>
      <c r="W18" s="1725"/>
      <c r="X18" s="1725"/>
      <c r="Y18" s="1726"/>
      <c r="Z18" s="1725"/>
      <c r="AA18" s="1727"/>
      <c r="AB18" s="1725"/>
    </row>
    <row customHeight="1" ht="14.25">
      <c r="A19" s="1725"/>
      <c r="B19" s="1725"/>
      <c r="C19" s="1725"/>
      <c r="D19" s="1725"/>
      <c r="E19" s="1725"/>
      <c r="F19" s="1725"/>
      <c r="G19" s="1725"/>
      <c r="H19" s="1725"/>
      <c r="I19" s="1725"/>
      <c r="J19" s="1725"/>
      <c r="K19" s="1725"/>
      <c r="L19" s="1725"/>
      <c r="M19" s="1725"/>
      <c r="N19" s="1725"/>
      <c r="O19" s="1725"/>
      <c r="P19" s="1725"/>
      <c r="Q19" s="1725"/>
      <c r="R19" s="1725"/>
      <c r="S19" s="1725"/>
      <c r="T19" s="1725"/>
      <c r="U19" s="1725"/>
      <c r="V19" s="1725"/>
      <c r="W19" s="1725"/>
      <c r="X19" s="1725"/>
      <c r="Y19" s="1726"/>
      <c r="Z19" s="1725"/>
      <c r="AA19" s="1727"/>
      <c r="AB19" s="1725"/>
    </row>
    <row customHeight="1" ht="14.25">
      <c r="A20" s="1725"/>
      <c r="B20" s="1725"/>
      <c r="C20" s="1725"/>
      <c r="D20" s="1725"/>
      <c r="E20" s="1725"/>
      <c r="F20" s="1725"/>
      <c r="G20" s="1725"/>
      <c r="H20" s="1725"/>
      <c r="I20" s="1725"/>
      <c r="J20" s="1725"/>
      <c r="K20" s="1725"/>
      <c r="L20" s="1725"/>
      <c r="M20" s="1725"/>
      <c r="N20" s="1725"/>
      <c r="O20" s="1725"/>
      <c r="P20" s="1725"/>
      <c r="Q20" s="1725"/>
      <c r="R20" s="1725"/>
      <c r="S20" s="1725"/>
      <c r="T20" s="1725"/>
      <c r="U20" s="1725"/>
      <c r="V20" s="1725"/>
      <c r="W20" s="1725"/>
      <c r="X20" s="1725"/>
      <c r="Y20" s="1726"/>
      <c r="Z20" s="1725"/>
      <c r="AA20" s="1727"/>
      <c r="AB20" s="1725"/>
    </row>
    <row customHeight="1" ht="14.25">
      <c r="A21" s="1725"/>
      <c r="B21" s="1725"/>
      <c r="C21" s="1725"/>
      <c r="D21" s="1725"/>
      <c r="E21" s="1725"/>
      <c r="F21" s="1725"/>
      <c r="G21" s="1725"/>
      <c r="H21" s="1725"/>
      <c r="I21" s="1725"/>
      <c r="J21" s="1725"/>
      <c r="K21" s="1725"/>
      <c r="L21" s="1725"/>
      <c r="M21" s="1725"/>
      <c r="N21" s="1725"/>
      <c r="O21" s="1725"/>
      <c r="P21" s="1725"/>
      <c r="Q21" s="1725"/>
      <c r="R21" s="1725"/>
      <c r="S21" s="1725"/>
      <c r="T21" s="1725"/>
      <c r="U21" s="1725"/>
      <c r="V21" s="1725"/>
      <c r="W21" s="1725"/>
      <c r="X21" s="1725"/>
      <c r="Y21" s="1726"/>
      <c r="Z21" s="1725"/>
      <c r="AA21" s="1727"/>
      <c r="AB21" s="1725"/>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7D54E8C-12C5-AB3A-C4AA-652FBFEACDB6}" mc:Ignorable="x14ac xr xr2 xr3">
  <sheetPr>
    <tabColor rgb="FFCCCCFF"/>
  </sheetPr>
  <dimension ref="A1:P78"/>
  <sheetViews>
    <sheetView topLeftCell="C1" showGridLines="0" zoomScale="90" workbookViewId="0" tabSelected="1">
      <selection activeCell="L37" sqref="L37"/>
    </sheetView>
  </sheetViews>
  <sheetFormatPr defaultColWidth="9.140625" customHeight="1" defaultRowHeight="11.25"/>
  <cols>
    <col min="1" max="1" style="781" width="10.7109375" hidden="1" customWidth="1"/>
    <col min="2" max="2" style="727" width="10.7109375" hidden="1" customWidth="1"/>
    <col min="3" max="3" style="526" width="3.7109375" customWidth="1"/>
    <col min="4" max="4" style="1660" width="1.7109375" customWidth="1"/>
    <col min="5" max="5" style="1660" width="55.28125" customWidth="1"/>
    <col min="6" max="6" style="1660" width="50.7109375" customWidth="1"/>
    <col min="7" max="7" style="1951" width="1.7109375" customWidth="1"/>
    <col min="8" max="8" style="1660" width="18.00390625" hidden="1" customWidth="1"/>
    <col min="9" max="9" style="527" width="9.57421875" customWidth="1"/>
    <col min="10" max="10" style="1383" width="52.140625" hidden="1" customWidth="1"/>
    <col min="11" max="11" style="1660" width="9.140625"/>
    <col min="12" max="12" style="1660" width="78.00390625" customWidth="1"/>
    <col min="13" max="16" style="1660" width="9.140625"/>
  </cols>
  <sheetData>
    <row s="618" customFormat="1" customHeight="1" ht="3">
      <c r="A1" s="777"/>
      <c r="B1" s="220"/>
      <c r="F1" s="221">
        <v>26354809</v>
      </c>
      <c r="G1" s="408"/>
      <c r="H1" s="52"/>
      <c r="I1" s="408"/>
      <c r="J1" s="865"/>
    </row>
    <row s="1657" customFormat="1" customHeight="1" ht="14.25">
      <c r="A2" s="777"/>
      <c r="B2" s="78"/>
      <c r="E2" s="1764" t="str">
        <f>code</f>
        <v>Код отчёта: PP110.OPEN.INFO.PRICE.HEAT.EIAS</v>
      </c>
      <c r="F2" s="248"/>
      <c r="G2" s="224"/>
      <c r="H2" s="224"/>
      <c r="I2" s="224"/>
      <c r="J2" s="866"/>
      <c r="K2" s="224"/>
    </row>
    <row customHeight="1" ht="14.25">
      <c r="E3" s="225" t="str">
        <f>version</f>
        <v>Версия отчёта: 1.0.5</v>
      </c>
      <c r="F3" s="248"/>
      <c r="G3" s="2437"/>
      <c r="H3" s="0"/>
      <c r="I3" s="0"/>
      <c r="J3" s="867"/>
      <c r="K3" s="0"/>
    </row>
    <row s="1637" customFormat="1" customHeight="1" ht="6">
      <c r="A4" s="778"/>
      <c r="B4" s="211"/>
      <c r="C4" s="212"/>
      <c r="D4" s="213"/>
      <c r="E4" s="222"/>
      <c r="F4" s="223"/>
      <c r="G4" s="765"/>
      <c r="H4" s="406"/>
      <c r="I4" s="408"/>
      <c r="J4" s="868"/>
    </row>
    <row customHeight="1" ht="37.5">
      <c r="D5" s="56"/>
      <c r="E5" s="1931" t="str">
        <f>NameTemplatesInTitle</f>
        <v>Показатели, подлежащие раскрытию в сфере теплоснабжения (цены и тарифы)</v>
      </c>
      <c r="F5" s="1932"/>
      <c r="G5" s="766"/>
      <c r="J5" s="869"/>
    </row>
    <row s="1637" customFormat="1" customHeight="1" ht="6">
      <c r="A6" s="778"/>
      <c r="B6" s="211"/>
      <c r="C6" s="212"/>
      <c r="D6" s="213"/>
      <c r="E6" s="216"/>
      <c r="F6" s="217"/>
      <c r="G6" s="766"/>
      <c r="H6" s="406"/>
      <c r="I6" s="408"/>
      <c r="J6" s="868"/>
    </row>
    <row customHeight="1" ht="19.5">
      <c r="D7" s="56"/>
      <c r="E7" s="388" t="s">
        <v>13</v>
      </c>
      <c r="F7" s="194" t="s">
        <v>14</v>
      </c>
      <c r="G7" s="766"/>
    </row>
    <row s="1637" customFormat="1" customHeight="1" ht="6">
      <c r="A8" s="779"/>
      <c r="B8" s="211"/>
      <c r="C8" s="212"/>
      <c r="D8" s="218"/>
      <c r="E8" s="216"/>
      <c r="F8" s="219"/>
      <c r="G8" s="58"/>
      <c r="H8" s="406"/>
      <c r="I8" s="408"/>
      <c r="J8" s="871"/>
    </row>
    <row s="1660" customFormat="1" customHeight="1" ht="19.5" hidden="1">
      <c r="A9" s="778"/>
      <c r="B9" s="78"/>
      <c r="C9" s="405"/>
      <c r="D9" s="407"/>
      <c r="E9" s="1160" t="s">
        <v>15</v>
      </c>
      <c r="F9" s="1146"/>
      <c r="G9" s="766"/>
      <c r="I9" s="408"/>
      <c r="J9" s="870"/>
    </row>
    <row s="1637" customFormat="1" customHeight="1" ht="6">
      <c r="A10" s="779"/>
      <c r="B10" s="422"/>
      <c r="C10" s="423"/>
      <c r="D10" s="218"/>
      <c r="E10" s="216"/>
      <c r="F10" s="219"/>
      <c r="G10" s="58"/>
      <c r="H10" s="406"/>
      <c r="I10" s="408"/>
      <c r="J10" s="871"/>
    </row>
    <row customHeight="1" ht="22.5">
      <c r="A11" s="1934" t="s">
        <v>16</v>
      </c>
      <c r="D11" s="56"/>
      <c r="E11" s="1160" t="s">
        <v>17</v>
      </c>
      <c r="F11" s="1756">
        <v>45292.49204861111</v>
      </c>
      <c r="G11" s="58"/>
      <c r="H11" s="767" t="s">
        <v>18</v>
      </c>
      <c r="J11" s="870" t="s">
        <v>19</v>
      </c>
    </row>
    <row customHeight="1" ht="22.5">
      <c r="A12" s="1934"/>
      <c r="D12" s="56"/>
      <c r="E12" s="1160" t="s">
        <v>20</v>
      </c>
      <c r="F12" s="1756">
        <v>47118.492164351854</v>
      </c>
      <c r="G12" s="54"/>
      <c r="J12" s="870" t="s">
        <v>21</v>
      </c>
    </row>
    <row s="1660" customFormat="1" customHeight="1" ht="22.5" hidden="1">
      <c r="A13" s="782" t="s">
        <v>22</v>
      </c>
      <c r="B13" s="78"/>
      <c r="C13" s="405"/>
      <c r="D13" s="407"/>
      <c r="E13" s="1800" t="s">
        <v>23</v>
      </c>
      <c r="F13" s="1756" t="s">
        <v>24</v>
      </c>
      <c r="G13" s="58"/>
      <c r="H13" s="0"/>
      <c r="I13" s="408"/>
      <c r="J13" s="1801" t="s">
        <v>25</v>
      </c>
    </row>
    <row s="1660" customFormat="1" customHeight="1" ht="27" hidden="1">
      <c r="A14" s="782" t="s">
        <v>26</v>
      </c>
      <c r="B14" s="78"/>
      <c r="C14" s="405"/>
      <c r="D14" s="407"/>
      <c r="E14" s="1160" t="s">
        <v>27</v>
      </c>
      <c r="F14" s="1792"/>
      <c r="G14" s="58"/>
      <c r="H14" s="0"/>
      <c r="I14" s="408"/>
      <c r="J14" s="870" t="s">
        <v>28</v>
      </c>
    </row>
    <row s="1660" customFormat="1" customHeight="1" ht="19.5" hidden="1">
      <c r="A15" s="782" t="s">
        <v>29</v>
      </c>
      <c r="B15" s="78"/>
      <c r="C15" s="405"/>
      <c r="D15" s="407"/>
      <c r="E15" s="1160" t="s">
        <v>30</v>
      </c>
      <c r="F15" s="1792"/>
      <c r="G15" s="58"/>
      <c r="H15" s="0"/>
      <c r="I15" s="408"/>
      <c r="J15" s="870" t="s">
        <v>31</v>
      </c>
    </row>
    <row s="1637" customFormat="1" customHeight="1" ht="6">
      <c r="A16" s="779"/>
      <c r="B16" s="211"/>
      <c r="C16" s="212"/>
      <c r="D16" s="218"/>
      <c r="E16" s="216"/>
      <c r="F16" s="219"/>
      <c r="G16" s="58"/>
      <c r="H16" s="406"/>
      <c r="I16" s="408"/>
      <c r="J16" s="868"/>
    </row>
    <row customHeight="1" ht="19.5">
      <c r="D17" s="56"/>
      <c r="E17" s="388" t="s">
        <v>32</v>
      </c>
      <c r="F17" s="195" t="s">
        <v>33</v>
      </c>
      <c r="G17" s="54"/>
      <c r="H17" s="767" t="s">
        <v>18</v>
      </c>
    </row>
    <row customHeight="1" ht="25.5" hidden="1">
      <c r="D18" s="56"/>
      <c r="E18" s="1800" t="s">
        <v>34</v>
      </c>
      <c r="F18" s="1757"/>
      <c r="G18" s="54"/>
      <c r="I18" s="768"/>
      <c r="J18" s="1933" t="s">
        <v>35</v>
      </c>
    </row>
    <row customHeight="1" ht="25.5" hidden="1">
      <c r="D19" s="56"/>
      <c r="E19" s="1160"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757"/>
      <c r="G19" s="54"/>
      <c r="I19" s="768"/>
      <c r="J19" s="1933"/>
    </row>
    <row customHeight="1" ht="22.5">
      <c r="D20" s="56"/>
      <c r="E20" s="57"/>
      <c r="F20" s="249" t="str">
        <f>"Первичное "&amp;IF(TEMPLATE_GROUP="P","установление тарифов","предложение по тарифам")</f>
        <v>Первичное установление тарифов</v>
      </c>
      <c r="G20" s="54"/>
      <c r="I20" s="391"/>
      <c r="J20" s="869" t="s">
        <v>36</v>
      </c>
    </row>
    <row customHeight="1" ht="19.5">
      <c r="D21" s="56"/>
      <c r="E21" s="388" t="str">
        <f>"Дата "&amp;IF(TEMPLATE_GROUP="P","документа","подачи заявления")&amp;" об утверждении тарифов"</f>
        <v>Дата документа об утверждении тарифов</v>
      </c>
      <c r="F21" s="1756">
        <v>45280.49324074074</v>
      </c>
      <c r="G21" s="54"/>
      <c r="I21" s="769"/>
    </row>
    <row customHeight="1" ht="19.5">
      <c r="D22" s="56"/>
      <c r="E22" s="388" t="str">
        <f>"Номер "&amp;IF(TEMPLATE_GROUP="P","документа","подачи заявления")&amp;" об утверждении тарифов"</f>
        <v>Номер документа об утверждении тарифов</v>
      </c>
      <c r="F22" s="195" t="s">
        <v>37</v>
      </c>
      <c r="G22" s="54"/>
      <c r="I22" s="769"/>
    </row>
    <row customHeight="1" ht="22.5">
      <c r="D23" s="56"/>
      <c r="E23" s="388" t="s">
        <v>38</v>
      </c>
      <c r="F23" s="195" t="s">
        <v>39</v>
      </c>
      <c r="G23" s="54"/>
    </row>
    <row customHeight="1" ht="19.5">
      <c r="D24" s="56"/>
      <c r="E24" s="388" t="s">
        <v>40</v>
      </c>
      <c r="F24" s="2438" t="s">
        <v>41</v>
      </c>
      <c r="G24" s="54"/>
    </row>
    <row customHeight="1" ht="22.5" hidden="1">
      <c r="D25" s="56"/>
      <c r="E25" s="57"/>
      <c r="F25" s="249" t="str">
        <f>"Изменение "&amp;IF(TEMPLATE_GROUP="P","тарифов","предложения по тарифам")</f>
        <v>Изменение тарифов</v>
      </c>
      <c r="G25" s="54"/>
      <c r="J25" s="869" t="s">
        <v>42</v>
      </c>
    </row>
    <row customHeight="1" ht="19.5" hidden="1">
      <c r="D26" s="56"/>
      <c r="E26" s="388" t="str">
        <f>"Дата "&amp;IF(TEMPLATE_GROUP="P","принятия решения","подачи заявления")&amp;" об изменении тарифов"</f>
        <v>Дата принятия решения об изменении тарифов</v>
      </c>
      <c r="F26" s="1757"/>
      <c r="G26" s="54"/>
    </row>
    <row customHeight="1" ht="19.5" hidden="1">
      <c r="D27" s="56"/>
      <c r="E27" s="1160" t="str">
        <f>"Номер "&amp;IF(TEMPLATE_GROUP="P","принятия решения","заявления")&amp;" об изменении тарифов"</f>
        <v>Номер принятия решения об изменении тарифов</v>
      </c>
      <c r="F27" s="197"/>
      <c r="G27" s="54"/>
    </row>
    <row customHeight="1" ht="24.75" hidden="1">
      <c r="D28" s="56"/>
      <c r="E28" s="388" t="s">
        <v>43</v>
      </c>
      <c r="F28" s="197"/>
      <c r="G28" s="54"/>
    </row>
    <row customHeight="1" ht="19.5" hidden="1">
      <c r="D29" s="56"/>
      <c r="E29" s="388" t="s">
        <v>40</v>
      </c>
      <c r="F29" s="197"/>
      <c r="G29" s="54"/>
    </row>
    <row s="1637" customFormat="1" customHeight="1" ht="6">
      <c r="A30" s="779"/>
      <c r="B30" s="211"/>
      <c r="C30" s="212"/>
      <c r="D30" s="218"/>
      <c r="E30" s="216"/>
      <c r="F30" s="219"/>
      <c r="G30" s="58"/>
      <c r="H30" s="406"/>
      <c r="I30" s="408"/>
      <c r="J30" s="868"/>
    </row>
    <row customHeight="1" ht="19.5">
      <c r="C31" s="59"/>
      <c r="D31" s="60"/>
      <c r="E31" s="388" t="s">
        <v>44</v>
      </c>
      <c r="F31" s="196" t="s">
        <v>45</v>
      </c>
      <c r="G31" s="770"/>
    </row>
    <row customHeight="1" ht="19.5" hidden="1">
      <c r="C32" s="59"/>
      <c r="D32" s="60"/>
      <c r="E32" s="389" t="s">
        <v>46</v>
      </c>
      <c r="F32" s="1791"/>
      <c r="G32" s="770"/>
    </row>
    <row customHeight="1" ht="19.5">
      <c r="C33" s="59"/>
      <c r="D33" s="60"/>
      <c r="E33" s="388" t="s">
        <v>47</v>
      </c>
      <c r="F33" s="196" t="s">
        <v>48</v>
      </c>
      <c r="G33" s="770"/>
    </row>
    <row customHeight="1" ht="19.5">
      <c r="C34" s="59"/>
      <c r="D34" s="60"/>
      <c r="E34" s="388" t="s">
        <v>49</v>
      </c>
      <c r="F34" s="196" t="s">
        <v>50</v>
      </c>
      <c r="G34" s="770"/>
      <c r="H34" s="61"/>
    </row>
    <row s="1637" customFormat="1" customHeight="1" ht="11.25">
      <c r="A35" s="779"/>
      <c r="B35" s="211"/>
      <c r="C35" s="212"/>
      <c r="D35" s="218"/>
      <c r="E35" s="216"/>
      <c r="F35" s="219"/>
      <c r="G35" s="58"/>
      <c r="H35" s="406"/>
      <c r="I35" s="408"/>
      <c r="J35" s="868"/>
    </row>
    <row customHeight="1" ht="19.5">
      <c r="A36" s="873"/>
      <c r="D36" s="60"/>
      <c r="E36" s="388" t="s">
        <v>51</v>
      </c>
      <c r="F36" s="1207" t="s">
        <v>52</v>
      </c>
      <c r="G36" s="58"/>
    </row>
    <row customHeight="1" ht="19.5">
      <c r="A37" s="873"/>
      <c r="D37" s="60"/>
      <c r="E37" s="388" t="s">
        <v>53</v>
      </c>
      <c r="F37" s="1207" t="s">
        <v>54</v>
      </c>
      <c r="G37" s="58"/>
    </row>
    <row s="1637" customFormat="1" customHeight="1" ht="6">
      <c r="A38" s="779"/>
      <c r="B38" s="211"/>
      <c r="C38" s="212"/>
      <c r="D38" s="213"/>
      <c r="E38" s="214"/>
      <c r="F38" s="1048"/>
      <c r="G38" s="54"/>
      <c r="H38" s="406"/>
      <c r="I38" s="408"/>
      <c r="J38" s="870"/>
    </row>
    <row customHeight="1" ht="22.5">
      <c r="A39" s="779"/>
      <c r="D39" s="56"/>
      <c r="E39" s="388" t="s">
        <v>55</v>
      </c>
      <c r="F39" s="705" t="s">
        <v>56</v>
      </c>
      <c r="G39" s="54"/>
      <c r="H39" s="767" t="s">
        <v>18</v>
      </c>
    </row>
    <row s="1637" customFormat="1" customHeight="1" ht="6" hidden="1">
      <c r="A40" s="778"/>
      <c r="B40" s="422"/>
      <c r="C40" s="423"/>
      <c r="D40" s="424"/>
      <c r="E40" s="425"/>
      <c r="F40" s="1048"/>
      <c r="G40" s="54"/>
      <c r="H40" s="406"/>
      <c r="I40" s="408"/>
      <c r="J40" s="870"/>
    </row>
    <row s="1660" customFormat="1" customHeight="1" ht="19.5" hidden="1">
      <c r="A41" s="782" t="s">
        <v>22</v>
      </c>
      <c r="B41" s="410"/>
      <c r="C41" s="405"/>
      <c r="D41" s="407"/>
      <c r="E41" s="388"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05" t="s">
        <v>56</v>
      </c>
      <c r="G41" s="54"/>
      <c r="I41" s="408"/>
      <c r="J41" s="870"/>
    </row>
    <row s="1637" customFormat="1" customHeight="1" ht="6">
      <c r="A42" s="778"/>
      <c r="B42" s="422"/>
      <c r="C42" s="423"/>
      <c r="D42" s="424"/>
      <c r="E42" s="425"/>
      <c r="F42" s="1048"/>
      <c r="G42" s="54"/>
      <c r="H42" s="406"/>
      <c r="I42" s="408"/>
      <c r="J42" s="868"/>
    </row>
    <row s="1660" customFormat="1" customHeight="1" ht="22.5">
      <c r="A43" s="778"/>
      <c r="B43" s="410"/>
      <c r="C43" s="405"/>
      <c r="D43" s="407"/>
      <c r="E43" s="388" t="s">
        <v>57</v>
      </c>
      <c r="F43" s="705" t="s">
        <v>56</v>
      </c>
      <c r="G43" s="54"/>
      <c r="I43" s="408"/>
      <c r="J43" s="870"/>
    </row>
    <row s="1660" customFormat="1" customHeight="1" ht="22.5">
      <c r="A44" s="778"/>
      <c r="B44" s="410"/>
      <c r="C44" s="405"/>
      <c r="D44" s="407"/>
      <c r="E44" s="1160" t="s">
        <v>58</v>
      </c>
      <c r="F44" s="2436"/>
      <c r="G44" s="54"/>
      <c r="I44" s="408"/>
      <c r="J44" s="870"/>
    </row>
    <row s="1637" customFormat="1" customHeight="1" ht="6">
      <c r="A45" s="778"/>
      <c r="B45" s="422"/>
      <c r="C45" s="423"/>
      <c r="D45" s="424"/>
      <c r="E45" s="425"/>
      <c r="F45" s="1048"/>
      <c r="G45" s="54"/>
      <c r="H45" s="406"/>
      <c r="I45" s="408"/>
      <c r="J45" s="870"/>
    </row>
    <row s="1637" customFormat="1" customHeight="1" ht="22.5">
      <c r="A46" s="778"/>
      <c r="B46" s="422"/>
      <c r="C46" s="423"/>
      <c r="D46" s="424"/>
      <c r="E46" s="1160" t="s">
        <v>59</v>
      </c>
      <c r="F46" s="705" t="s">
        <v>56</v>
      </c>
      <c r="G46" s="54"/>
      <c r="H46" s="406"/>
      <c r="I46" s="408"/>
      <c r="J46" s="870"/>
    </row>
    <row s="1660" customFormat="1" customHeight="1" ht="22.5">
      <c r="A47" s="778"/>
      <c r="B47" s="410"/>
      <c r="C47" s="405"/>
      <c r="D47" s="407"/>
      <c r="E47" s="1160" t="s">
        <v>60</v>
      </c>
      <c r="F47" s="705" t="s">
        <v>56</v>
      </c>
      <c r="G47" s="54"/>
      <c r="I47" s="408"/>
      <c r="J47" s="870"/>
    </row>
    <row s="1637" customFormat="1" customHeight="1" ht="6">
      <c r="A48" s="778"/>
      <c r="B48" s="211"/>
      <c r="C48" s="212"/>
      <c r="D48" s="213"/>
      <c r="E48" s="214"/>
      <c r="F48" s="1048"/>
      <c r="G48" s="54"/>
      <c r="H48" s="406"/>
      <c r="I48" s="408"/>
      <c r="J48" s="870"/>
    </row>
    <row customHeight="1" ht="19.5">
      <c r="B49" s="128"/>
      <c r="D49" s="56"/>
      <c r="E49" s="388"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05" t="s">
        <v>61</v>
      </c>
      <c r="G49" s="54"/>
    </row>
    <row s="1637" customFormat="1" customHeight="1" ht="6" hidden="1">
      <c r="A50" s="779"/>
      <c r="B50" s="422"/>
      <c r="C50" s="423"/>
      <c r="D50" s="218"/>
      <c r="E50" s="216"/>
      <c r="F50" s="219"/>
      <c r="G50" s="58"/>
      <c r="H50" s="406"/>
      <c r="I50" s="408"/>
      <c r="J50" s="870"/>
    </row>
    <row s="1660" customFormat="1" customHeight="1" ht="22.5" hidden="1">
      <c r="A51" s="780"/>
      <c r="B51" s="410"/>
      <c r="C51" s="526"/>
      <c r="D51" s="527"/>
      <c r="E51" s="388" t="s">
        <v>62</v>
      </c>
      <c r="F51" s="705" t="s">
        <v>56</v>
      </c>
      <c r="G51" s="528"/>
      <c r="I51" s="530"/>
      <c r="J51" s="872"/>
      <c r="P51" s="531"/>
    </row>
    <row s="1637" customFormat="1" customHeight="1" ht="6" hidden="1">
      <c r="A52" s="779"/>
      <c r="B52" s="422"/>
      <c r="C52" s="423"/>
      <c r="D52" s="218"/>
      <c r="E52" s="216"/>
      <c r="F52" s="219"/>
      <c r="G52" s="58"/>
      <c r="H52" s="406"/>
      <c r="I52" s="408"/>
      <c r="J52" s="868"/>
    </row>
    <row s="1660" customFormat="1" customHeight="1" ht="22.5" hidden="1">
      <c r="A53" s="780"/>
      <c r="B53" s="410"/>
      <c r="C53" s="526"/>
      <c r="D53" s="527"/>
      <c r="E53" s="388" t="s">
        <v>63</v>
      </c>
      <c r="F53" s="1043" t="s">
        <v>56</v>
      </c>
      <c r="G53" s="528"/>
      <c r="I53" s="530"/>
      <c r="J53" s="872"/>
      <c r="P53" s="531"/>
    </row>
    <row s="1660" customFormat="1" customHeight="1" ht="22.5" hidden="1">
      <c r="A54" s="780"/>
      <c r="B54" s="410"/>
      <c r="C54" s="526"/>
      <c r="D54" s="527"/>
      <c r="E54" s="388" t="s">
        <v>64</v>
      </c>
      <c r="F54" s="1799"/>
      <c r="G54" s="528"/>
      <c r="I54" s="530"/>
      <c r="J54" s="872"/>
      <c r="P54" s="531"/>
    </row>
    <row s="1637" customFormat="1" customHeight="1" ht="6" hidden="1">
      <c r="A55" s="779"/>
      <c r="B55" s="422"/>
      <c r="C55" s="423"/>
      <c r="D55" s="218"/>
      <c r="E55" s="216"/>
      <c r="F55" s="219"/>
      <c r="G55" s="58"/>
      <c r="H55" s="406"/>
      <c r="I55" s="408"/>
      <c r="J55" s="868"/>
    </row>
    <row s="1660" customFormat="1" customHeight="1" ht="22.5" hidden="1">
      <c r="A56" s="780"/>
      <c r="B56" s="410"/>
      <c r="C56" s="526"/>
      <c r="D56" s="527"/>
      <c r="E56" s="388" t="s">
        <v>65</v>
      </c>
      <c r="F56" s="1043" t="s">
        <v>56</v>
      </c>
      <c r="G56" s="528"/>
      <c r="I56" s="530"/>
      <c r="J56" s="872"/>
      <c r="P56" s="531"/>
    </row>
    <row s="1637" customFormat="1" customHeight="1" ht="6" hidden="1">
      <c r="A57" s="779"/>
      <c r="B57" s="422"/>
      <c r="C57" s="423"/>
      <c r="D57" s="218"/>
      <c r="E57" s="216"/>
      <c r="F57" s="219"/>
      <c r="G57" s="58"/>
      <c r="H57" s="406"/>
      <c r="I57" s="408"/>
      <c r="J57" s="868"/>
    </row>
    <row s="1660" customFormat="1" customHeight="1" ht="15" hidden="1">
      <c r="A58" s="780"/>
      <c r="B58" s="410"/>
      <c r="C58" s="526"/>
      <c r="D58" s="527"/>
      <c r="E58" s="388" t="s">
        <v>66</v>
      </c>
      <c r="F58" s="1043" t="s">
        <v>61</v>
      </c>
      <c r="G58" s="528"/>
      <c r="I58" s="530"/>
      <c r="J58" s="872"/>
      <c r="P58" s="531"/>
    </row>
    <row s="1660" customFormat="1" customHeight="1" ht="15" hidden="1">
      <c r="A59" s="780"/>
      <c r="B59" s="410"/>
      <c r="C59" s="526"/>
      <c r="D59" s="527"/>
      <c r="E59" s="388"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86"/>
      <c r="G59" s="528"/>
      <c r="I59" s="530"/>
      <c r="J59" s="872"/>
      <c r="P59" s="531"/>
    </row>
    <row s="1660" customFormat="1" customHeight="1" ht="15" hidden="1">
      <c r="A60" s="780"/>
      <c r="B60" s="410"/>
      <c r="C60" s="526"/>
      <c r="D60" s="527"/>
      <c r="E60" s="1160" t="s">
        <v>67</v>
      </c>
      <c r="F60" s="1146"/>
      <c r="G60" s="528"/>
      <c r="I60" s="530"/>
      <c r="J60" s="872"/>
      <c r="P60" s="531"/>
    </row>
    <row s="1637" customFormat="1" customHeight="1" ht="6" hidden="1">
      <c r="A61" s="779"/>
      <c r="B61" s="422"/>
      <c r="C61" s="423"/>
      <c r="D61" s="424"/>
      <c r="E61" s="425"/>
      <c r="F61" s="1048"/>
      <c r="G61" s="54"/>
      <c r="H61" s="406"/>
      <c r="I61" s="408"/>
      <c r="J61" s="870"/>
    </row>
    <row s="1660" customFormat="1" customHeight="1" ht="33.75" hidden="1">
      <c r="A62" s="779"/>
      <c r="B62" s="78"/>
      <c r="C62" s="405"/>
      <c r="D62" s="407"/>
      <c r="E62" s="1160" t="s">
        <v>68</v>
      </c>
      <c r="F62" s="1696" t="s">
        <v>61</v>
      </c>
      <c r="G62" s="54"/>
      <c r="H62" s="767" t="s">
        <v>18</v>
      </c>
      <c r="I62" s="408"/>
      <c r="J62" s="870"/>
    </row>
    <row s="1637" customFormat="1" customHeight="1" ht="6">
      <c r="A63" s="779"/>
      <c r="B63" s="211"/>
      <c r="C63" s="212"/>
      <c r="D63" s="218"/>
      <c r="E63" s="216"/>
      <c r="F63" s="219"/>
      <c r="G63" s="58"/>
      <c r="H63" s="406"/>
      <c r="I63" s="408"/>
      <c r="J63" s="868"/>
    </row>
    <row customHeight="1" ht="19.5">
      <c r="A64" s="781"/>
      <c r="B64" s="79"/>
      <c r="D64" s="63"/>
      <c r="E64" s="388" t="s">
        <v>69</v>
      </c>
      <c r="F64" s="195" t="s">
        <v>70</v>
      </c>
      <c r="G64" s="58"/>
    </row>
    <row customHeight="1" ht="19.5">
      <c r="A65" s="781"/>
      <c r="B65" s="79"/>
      <c r="D65" s="63"/>
      <c r="E65" s="388" t="s">
        <v>71</v>
      </c>
      <c r="F65" s="195" t="s">
        <v>72</v>
      </c>
      <c r="G65" s="58"/>
    </row>
    <row customHeight="1" ht="35.25">
      <c r="D66" s="56"/>
      <c r="E66" s="390" t="s">
        <v>73</v>
      </c>
      <c r="F66" s="1049"/>
      <c r="G66" s="54"/>
    </row>
    <row customHeight="1" ht="19.5">
      <c r="A67" s="781"/>
      <c r="D67" s="407"/>
      <c r="E67" s="388" t="s">
        <v>74</v>
      </c>
      <c r="F67" s="250" t="s">
        <v>75</v>
      </c>
      <c r="G67" s="58"/>
    </row>
    <row customHeight="1" ht="19.5">
      <c r="A68" s="781"/>
      <c r="B68" s="79"/>
      <c r="D68" s="63"/>
      <c r="E68" s="388" t="s">
        <v>76</v>
      </c>
      <c r="F68" s="250" t="s">
        <v>77</v>
      </c>
      <c r="G68" s="58"/>
    </row>
    <row customHeight="1" ht="19.5">
      <c r="A69" s="781"/>
      <c r="B69" s="79"/>
      <c r="D69" s="63"/>
      <c r="E69" s="388" t="s">
        <v>78</v>
      </c>
      <c r="F69" s="250" t="s">
        <v>79</v>
      </c>
      <c r="G69" s="58"/>
    </row>
    <row customHeight="1" ht="19.5">
      <c r="D70" s="407"/>
      <c r="E70" s="388" t="s">
        <v>80</v>
      </c>
      <c r="F70" s="2438" t="s">
        <v>81</v>
      </c>
      <c r="G70" s="54"/>
    </row>
    <row customHeight="1" ht="20.25">
      <c r="A71" s="781"/>
      <c r="D71" s="54"/>
      <c r="F71" s="113"/>
      <c r="G71" s="58"/>
    </row>
    <row customHeight="1" ht="19.5">
      <c r="A72" s="781"/>
      <c r="B72" s="79"/>
      <c r="D72" s="63"/>
      <c r="E72" s="62"/>
      <c r="F72" s="114"/>
      <c r="G72" s="58"/>
    </row>
    <row customHeight="1" ht="19.5">
      <c r="A73" s="781"/>
      <c r="B73" s="79"/>
      <c r="D73" s="63"/>
      <c r="E73" s="62"/>
      <c r="F73" s="114"/>
      <c r="G73" s="58"/>
    </row>
    <row customHeight="1" ht="19.5">
      <c r="A74" s="781"/>
      <c r="B74" s="79"/>
      <c r="D74" s="63"/>
      <c r="E74" s="67"/>
      <c r="F74" s="114"/>
      <c r="G74" s="58"/>
    </row>
    <row customHeight="1" ht="19.5">
      <c r="A75" s="781"/>
      <c r="B75" s="79"/>
      <c r="D75" s="63"/>
      <c r="E75" s="62"/>
      <c r="F75" s="114"/>
      <c r="G75" s="58"/>
    </row>
    <row r="78" customHeight="1" ht="11.25">
      <c r="E78" s="387"/>
      <c r="F78" s="387"/>
      <c r="G78" s="387"/>
      <c r="H78" s="387"/>
      <c r="I78" s="387"/>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923F53BB-E94D-3796-5468-228B5534770D}"/>
    <hyperlink ref="H17" location="Титульный!H9" display="Как заполнить?" tooltip="Помощь по работе с полями отчётной формы" xr:uid="{B2C1D003-335B-10AE-977E-BC8AAA5C0A74}"/>
    <hyperlink ref="F24" r:id="rId4" xr:uid="{AAE25633-5B6E-BF57-BC1C-2145B86CD668}"/>
    <hyperlink ref="H39" location="Титульный!H9" display="Как заполнить?" tooltip="Помощь по работе с полями отчётной формы" xr:uid="{67464188-8979-7977-B5BF-C0F5C4795BD7}"/>
    <hyperlink ref="H62" location="Титульный!H9" display="Как заполнить?" tooltip="Помощь по работе с полями отчётной формы" xr:uid="{1C81D768-74DB-C1CD-86A5-B2C9815972E9}"/>
    <hyperlink ref="F70" r:id="rId5" xr:uid="{BB475363-6A54-C15D-5D4F-681EBEE5EBF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B71C59-E43E-569F-5567-318E85B5F846}"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1660" width="8.00390625" hidden="1" customWidth="1"/>
    <col min="2" max="2" style="1383" width="6.00390625" hidden="1" customWidth="1"/>
    <col min="3" max="3" style="1660" width="3.7109375" customWidth="1"/>
    <col min="4" max="4" style="1866" width="3.7109375" customWidth="1"/>
    <col min="5" max="5" style="1660" width="6.28125" customWidth="1"/>
    <col min="6" max="6" style="1660" width="2.7109375" hidden="1" customWidth="1"/>
    <col min="7" max="7" style="1660" width="46.7109375" customWidth="1"/>
    <col min="8" max="8" style="1660" width="43.140625" customWidth="1"/>
    <col min="9" max="9" style="1660" width="14.8515625" customWidth="1"/>
    <col min="10" max="10" style="1649" width="3.7109375" customWidth="1"/>
    <col min="11" max="13" style="1649" width="9.140625" hidden="1"/>
    <col min="14" max="14" style="1649" width="25.7109375" hidden="1" customWidth="1"/>
    <col min="15" max="15" style="1649" width="14.421875" hidden="1" customWidth="1"/>
    <col min="16" max="19" style="204" width="9.140625" hidden="1"/>
    <col min="20" max="27" style="1660" width="9.140625" hidden="1"/>
    <col min="28" max="28" style="1660" width="9.140625"/>
  </cols>
  <sheetData>
    <row s="1667" customFormat="1" customHeight="1" ht="5.25" hidden="1">
      <c r="A1" s="492"/>
      <c r="B1" s="507"/>
      <c r="C1" s="507"/>
      <c r="D1" s="200"/>
      <c r="F1" s="507"/>
      <c r="G1" s="226" t="s">
        <v>82</v>
      </c>
      <c r="H1" s="490" t="s">
        <v>83</v>
      </c>
      <c r="I1" s="206" t="s">
        <v>84</v>
      </c>
      <c r="J1" s="226" t="s">
        <v>82</v>
      </c>
      <c r="K1" s="226"/>
      <c r="L1" s="226"/>
      <c r="M1" s="226"/>
      <c r="N1" s="227"/>
      <c r="O1" s="226"/>
      <c r="P1" s="226"/>
      <c r="Q1" s="226"/>
      <c r="R1" s="226"/>
      <c r="S1" s="226"/>
      <c r="T1" s="206"/>
      <c r="U1" s="206"/>
      <c r="V1" s="206"/>
      <c r="W1" s="206"/>
      <c r="X1" s="206"/>
      <c r="Y1" s="206"/>
      <c r="Z1" s="206"/>
      <c r="AA1" s="206"/>
      <c r="AB1" s="206"/>
    </row>
    <row s="1429" customFormat="1" customHeight="1" ht="11.25">
      <c r="A2" s="825"/>
      <c r="B2" s="207"/>
      <c r="C2" s="207"/>
      <c r="D2" s="208"/>
      <c r="E2" s="207"/>
      <c r="F2" s="207"/>
      <c r="G2" s="207"/>
      <c r="H2" s="207"/>
      <c r="I2" s="207"/>
      <c r="J2" s="226"/>
      <c r="K2" s="226"/>
      <c r="L2" s="226"/>
      <c r="M2" s="226"/>
      <c r="N2" s="227"/>
      <c r="O2" s="226"/>
      <c r="P2" s="209"/>
      <c r="Q2" s="209"/>
      <c r="R2" s="209"/>
      <c r="S2" s="209"/>
      <c r="T2" s="208"/>
      <c r="U2" s="208"/>
      <c r="V2" s="208"/>
      <c r="W2" s="208"/>
      <c r="X2" s="208"/>
      <c r="Y2" s="208"/>
      <c r="Z2" s="208"/>
      <c r="AA2" s="208"/>
      <c r="AB2" s="208"/>
    </row>
    <row s="1844" customFormat="1" customHeight="1" ht="3">
      <c r="A3" s="753"/>
      <c r="B3" s="414"/>
      <c r="C3" s="753"/>
      <c r="D3" s="144"/>
      <c r="E3" s="83"/>
      <c r="F3" s="505"/>
      <c r="G3" s="83"/>
      <c r="H3" s="83"/>
      <c r="I3" s="146"/>
      <c r="J3" s="226"/>
      <c r="K3" s="135"/>
      <c r="L3" s="135"/>
      <c r="M3" s="135"/>
      <c r="N3" s="205"/>
      <c r="O3" s="135"/>
      <c r="P3" s="204"/>
      <c r="Q3" s="204"/>
      <c r="R3" s="204"/>
      <c r="S3" s="204"/>
    </row>
    <row s="1844" customFormat="1" customHeight="1" ht="25.5">
      <c r="A4" s="753"/>
      <c r="B4" s="414"/>
      <c r="C4" s="753"/>
      <c r="D4" s="144"/>
      <c r="E4" s="1936" t="str">
        <f>NameTemplatesInListMO</f>
        <v>Перечень муниципальных районов и муниципальных образований (территорий действия тарифа)</v>
      </c>
      <c r="F4" s="1936"/>
      <c r="G4" s="1936"/>
      <c r="H4" s="1936"/>
      <c r="I4" s="1936"/>
      <c r="J4" s="226"/>
      <c r="K4" s="135"/>
      <c r="L4" s="135"/>
      <c r="M4" s="135"/>
      <c r="N4" s="205"/>
      <c r="O4" s="135"/>
      <c r="P4" s="204"/>
      <c r="Q4" s="204"/>
      <c r="R4" s="204"/>
      <c r="S4" s="204"/>
    </row>
    <row s="1844" customFormat="1" customHeight="1" ht="3">
      <c r="A5" s="753"/>
      <c r="B5" s="414"/>
      <c r="C5" s="753"/>
      <c r="D5" s="144"/>
      <c r="E5" s="83"/>
      <c r="F5" s="505"/>
      <c r="G5" s="147"/>
      <c r="H5" s="147"/>
      <c r="I5" s="148"/>
      <c r="J5" s="135"/>
      <c r="K5" s="135"/>
      <c r="L5" s="135"/>
      <c r="M5" s="135"/>
      <c r="N5" s="205"/>
      <c r="O5" s="135"/>
      <c r="P5" s="204"/>
      <c r="Q5" s="204"/>
      <c r="R5" s="204"/>
      <c r="S5" s="204"/>
    </row>
    <row s="1844" customFormat="1" customHeight="1" ht="20.25" hidden="1">
      <c r="A6" s="831"/>
      <c r="B6" s="827"/>
      <c r="C6" s="149"/>
      <c r="D6" s="144"/>
      <c r="E6" s="773"/>
      <c r="F6" s="773"/>
      <c r="G6" s="147"/>
      <c r="H6" s="150"/>
      <c r="I6" s="150"/>
      <c r="J6" s="135"/>
      <c r="K6" s="135"/>
      <c r="L6" s="135"/>
      <c r="M6" s="135"/>
      <c r="N6" s="205"/>
      <c r="O6" s="135"/>
      <c r="P6" s="204"/>
      <c r="Q6" s="204"/>
      <c r="R6" s="204"/>
      <c r="S6" s="204"/>
    </row>
    <row customHeight="1" ht="25.5" hidden="1"/>
    <row s="1844" customFormat="1" customHeight="1" ht="14.25">
      <c r="A8" s="753"/>
      <c r="B8" s="414"/>
      <c r="C8" s="753"/>
      <c r="D8" s="144"/>
      <c r="E8" s="1937" t="s">
        <v>85</v>
      </c>
      <c r="F8" s="1938"/>
      <c r="G8" s="1939"/>
      <c r="H8" s="1940" t="s">
        <v>86</v>
      </c>
      <c r="I8" s="1940"/>
      <c r="J8" s="135"/>
      <c r="K8" s="135"/>
      <c r="L8" s="135"/>
      <c r="M8" s="135"/>
      <c r="N8" s="205"/>
      <c r="O8" s="135"/>
      <c r="P8" s="204"/>
      <c r="Q8" s="204"/>
      <c r="R8" s="204"/>
      <c r="S8" s="204"/>
    </row>
    <row s="1844" customFormat="1" customHeight="1" ht="20.25">
      <c r="A9" s="753"/>
      <c r="B9" s="414"/>
      <c r="C9" s="753"/>
      <c r="D9" s="144"/>
      <c r="E9" s="771" t="s">
        <v>87</v>
      </c>
      <c r="F9" s="771"/>
      <c r="G9" s="152" t="s">
        <v>88</v>
      </c>
      <c r="H9" s="152" t="s">
        <v>88</v>
      </c>
      <c r="I9" s="152" t="s">
        <v>84</v>
      </c>
      <c r="J9" s="135"/>
      <c r="K9" s="135"/>
      <c r="L9" s="135"/>
      <c r="M9" s="135"/>
      <c r="N9" s="205"/>
      <c r="O9" s="135"/>
      <c r="P9" s="204"/>
      <c r="Q9" s="204"/>
      <c r="R9" s="204"/>
      <c r="S9" s="204"/>
    </row>
    <row customHeight="1" ht="11.25">
      <c r="D10" s="156"/>
      <c r="E10" s="772" t="s">
        <v>89</v>
      </c>
      <c r="F10" s="772"/>
      <c r="G10" s="202" t="s">
        <v>90</v>
      </c>
      <c r="H10" s="202" t="s">
        <v>91</v>
      </c>
      <c r="I10" s="202" t="s">
        <v>92</v>
      </c>
      <c r="J10" s="166"/>
      <c r="K10" s="166"/>
      <c r="L10" s="166"/>
      <c r="M10" s="166"/>
      <c r="N10" s="151"/>
      <c r="O10" s="166"/>
      <c r="P10" s="203"/>
      <c r="Q10" s="203"/>
      <c r="R10" s="203"/>
      <c r="S10" s="203"/>
    </row>
    <row s="1844" customFormat="1" customHeight="1" ht="0.75">
      <c r="A11" s="753"/>
      <c r="B11" s="414"/>
      <c r="C11" s="753"/>
      <c r="D11" s="144"/>
      <c r="E11" s="784"/>
      <c r="F11" s="784"/>
      <c r="G11" s="153"/>
      <c r="H11" s="153"/>
      <c r="I11" s="155"/>
      <c r="J11" s="228" t="s">
        <v>93</v>
      </c>
      <c r="K11" s="135"/>
      <c r="L11" s="135"/>
      <c r="M11" s="135" t="s">
        <v>94</v>
      </c>
      <c r="N11" s="205" t="s">
        <v>95</v>
      </c>
      <c r="O11" s="135" t="s">
        <v>96</v>
      </c>
      <c r="P11" s="204"/>
      <c r="Q11" s="204"/>
      <c r="R11" s="204"/>
      <c r="S11" s="204"/>
    </row>
    <row s="1844" customFormat="1" customHeight="1" ht="14.25">
      <c r="A12" s="1935">
        <v>1</v>
      </c>
      <c r="B12" s="414"/>
      <c r="C12" s="753"/>
      <c r="D12" s="776"/>
      <c r="E12" s="198">
        <f>A12</f>
        <v>1</v>
      </c>
      <c r="F12" s="796" t="s">
        <v>97</v>
      </c>
      <c r="G12" s="536" t="str">
        <f>"Территория "&amp;E12</f>
        <v>Территория 1</v>
      </c>
      <c r="H12" s="786"/>
      <c r="I12" s="786"/>
      <c r="J12" s="783"/>
      <c r="K12" s="496"/>
      <c r="L12" s="496"/>
      <c r="M12" s="496"/>
      <c r="N12" s="205"/>
      <c r="O12" s="496"/>
      <c r="P12" s="204"/>
      <c r="Q12" s="204"/>
      <c r="R12" s="204"/>
      <c r="S12" s="204"/>
    </row>
    <row s="2437" customFormat="1" customHeight="1" ht="15">
      <c r="A13" s="1935"/>
      <c r="B13" s="414">
        <v>1</v>
      </c>
      <c r="C13" s="414"/>
      <c r="D13" s="794"/>
      <c r="E13" s="774" t="str">
        <f>A12&amp;"."&amp;B13</f>
        <v>1.1</v>
      </c>
      <c r="F13" s="789" t="s">
        <v>98</v>
      </c>
      <c r="G13" s="787" t="s">
        <v>99</v>
      </c>
      <c r="H13" s="787" t="s">
        <v>99</v>
      </c>
      <c r="I13" s="785" t="s">
        <v>100</v>
      </c>
      <c r="J13" s="496">
        <f>MERGEVALUE(G13)</f>
      </c>
      <c r="K13" s="507"/>
      <c r="L13" s="507"/>
      <c r="M13" s="496" t="str">
        <f t="array" ref="M13:M13">IF(ISERROR(MATCH(MID(N13,1,250),MID(note_ter,1,250),0)),"n","y")</f>
        <v>n</v>
      </c>
      <c r="N13" s="507"/>
      <c r="O13" s="496" t="str">
        <f>H13&amp;"("&amp;I13&amp;")"</f>
        <v>город Санкт-Петербург(40000000)</v>
      </c>
      <c r="P13" s="414"/>
      <c r="Q13" s="414"/>
      <c r="R13" s="417"/>
      <c r="S13" s="414"/>
      <c r="T13" s="414"/>
      <c r="U13" s="414"/>
      <c r="V13" s="419"/>
      <c r="W13" s="419"/>
      <c r="X13" s="416"/>
      <c r="Y13" s="416"/>
      <c r="Z13" s="416"/>
      <c r="AA13" s="416"/>
      <c r="AB13" s="416"/>
    </row>
    <row s="2437" customFormat="1" customHeight="1" ht="15">
      <c r="A14" s="1935"/>
      <c r="B14" s="414"/>
      <c r="C14" s="409"/>
      <c r="D14" s="795"/>
      <c r="E14" s="418"/>
      <c r="F14" s="157"/>
      <c r="G14" s="412" t="s">
        <v>101</v>
      </c>
      <c r="H14" s="167"/>
      <c r="I14" s="420"/>
      <c r="J14" s="507"/>
      <c r="K14" s="507"/>
      <c r="L14" s="507"/>
      <c r="M14" s="507"/>
      <c r="N14" s="496"/>
      <c r="O14" s="507"/>
      <c r="P14" s="414"/>
      <c r="Q14" s="414"/>
      <c r="R14" s="417"/>
      <c r="S14" s="414"/>
      <c r="T14" s="414"/>
      <c r="U14" s="414"/>
      <c r="V14" s="419"/>
      <c r="W14" s="419"/>
      <c r="X14" s="416"/>
      <c r="Y14" s="416"/>
      <c r="Z14" s="416"/>
      <c r="AA14" s="416"/>
      <c r="AB14" s="416"/>
    </row>
    <row s="1844" customFormat="1" customHeight="1" ht="14.25">
      <c r="A15" s="753"/>
      <c r="B15" s="414"/>
      <c r="C15" s="753"/>
      <c r="D15" s="776"/>
      <c r="E15" s="788"/>
      <c r="F15" s="158"/>
      <c r="G15" s="413" t="s">
        <v>102</v>
      </c>
      <c r="H15" s="158"/>
      <c r="I15" s="159"/>
      <c r="J15" s="228"/>
      <c r="K15" s="135"/>
      <c r="L15" s="135"/>
      <c r="M15" s="135"/>
      <c r="N15" s="205" t="s">
        <v>103</v>
      </c>
      <c r="O15" s="135"/>
      <c r="P15" s="204"/>
      <c r="Q15" s="204"/>
      <c r="R15" s="204"/>
      <c r="S15" s="204"/>
    </row>
    <row s="1844" customFormat="1" customHeight="1" ht="21">
      <c r="A16" s="753"/>
      <c r="B16" s="414"/>
      <c r="C16" s="753"/>
      <c r="D16" s="145"/>
      <c r="E16" s="160"/>
      <c r="F16" s="160"/>
      <c r="G16" s="160"/>
      <c r="H16" s="160"/>
      <c r="I16" s="160"/>
      <c r="J16" s="135"/>
      <c r="K16" s="135"/>
      <c r="L16" s="135"/>
      <c r="M16" s="135"/>
      <c r="N16" s="205"/>
      <c r="O16" s="135"/>
      <c r="P16" s="204"/>
      <c r="Q16" s="204"/>
      <c r="R16" s="204"/>
      <c r="S16" s="204"/>
    </row>
    <row s="1844" customFormat="1" customHeight="1" ht="14.25">
      <c r="A17" s="753"/>
      <c r="B17" s="414"/>
      <c r="C17" s="753"/>
      <c r="D17" s="145"/>
      <c r="E17" s="64"/>
      <c r="F17" s="753"/>
      <c r="G17" s="64"/>
      <c r="H17" s="64"/>
      <c r="I17" s="64"/>
      <c r="J17" s="135"/>
      <c r="K17" s="135"/>
      <c r="L17" s="135"/>
      <c r="M17" s="135"/>
      <c r="N17" s="205"/>
      <c r="O17" s="135"/>
      <c r="P17" s="204"/>
      <c r="Q17" s="204"/>
      <c r="R17" s="204"/>
      <c r="S17" s="204"/>
    </row>
    <row s="1844" customFormat="1" customHeight="1" ht="0.75">
      <c r="A18" s="753"/>
      <c r="B18" s="414"/>
      <c r="C18" s="753"/>
      <c r="D18" s="145"/>
      <c r="E18" s="64"/>
      <c r="F18" s="753"/>
      <c r="G18" s="64"/>
      <c r="H18" s="64"/>
      <c r="I18" s="64"/>
      <c r="J18" s="135"/>
      <c r="K18" s="135"/>
      <c r="L18" s="135"/>
      <c r="M18" s="135"/>
      <c r="N18" s="205"/>
      <c r="O18" s="135"/>
      <c r="P18" s="204"/>
      <c r="Q18" s="204"/>
      <c r="R18" s="204"/>
      <c r="S18" s="204"/>
    </row>
    <row s="1059" customFormat="1" customHeight="1" ht="10.5">
      <c r="B19" s="828"/>
      <c r="D19" s="162"/>
      <c r="J19" s="135"/>
      <c r="K19" s="135"/>
      <c r="L19" s="135"/>
      <c r="M19" s="135"/>
      <c r="N19" s="205"/>
      <c r="O19" s="135"/>
      <c r="P19" s="204"/>
      <c r="Q19" s="204"/>
      <c r="R19" s="204"/>
      <c r="S19" s="204"/>
    </row>
    <row s="1059" customFormat="1" customHeight="1" ht="10.5">
      <c r="B20" s="828"/>
      <c r="D20" s="162"/>
      <c r="J20" s="135"/>
      <c r="K20" s="135"/>
      <c r="L20" s="135"/>
      <c r="M20" s="135"/>
      <c r="N20" s="205"/>
      <c r="O20" s="135"/>
      <c r="P20" s="204"/>
      <c r="Q20" s="204"/>
      <c r="R20" s="204"/>
      <c r="S20" s="204"/>
    </row>
    <row r="24" customHeight="1" ht="14.25">
      <c r="H24" s="0"/>
    </row>
    <row r="28" customHeight="1" ht="14.25">
      <c r="J28" s="64"/>
      <c r="K28" s="64"/>
      <c r="L28" s="64"/>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767C6D-7C69-D234-6393-71FE28D7A493}"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1877" width="6.421875" hidden="1" customWidth="1"/>
    <col min="2" max="2" style="1877" width="2.00390625" hidden="1" customWidth="1"/>
    <col min="3" max="3" style="1877" width="3.7109375" customWidth="1"/>
    <col min="4" max="4" style="1877" width="4.28125" customWidth="1"/>
    <col min="5" max="5" style="1877" width="45.00390625" customWidth="1"/>
    <col min="6" max="6" style="1877" width="6.421875" customWidth="1"/>
    <col min="7" max="7" style="1877" width="4.421875" customWidth="1"/>
    <col min="8" max="8" style="1877" width="5.57421875" customWidth="1"/>
    <col min="9" max="9" style="1877" width="52.8515625" customWidth="1"/>
    <col min="10" max="10" style="1877" width="7.00390625" customWidth="1"/>
    <col min="11" max="11" style="1877" width="3.7109375" customWidth="1"/>
    <col min="12" max="12" style="1877" width="6.28125" customWidth="1"/>
    <col min="13" max="13" style="1877" width="56.28125" customWidth="1"/>
    <col min="14" max="14" style="1387" width="9.140625"/>
    <col min="15" max="20" style="1649" width="9.140625" hidden="1"/>
    <col min="21" max="24" style="1282" width="9.140625" hidden="1"/>
    <col min="25" max="37" style="1387" width="9.140625" hidden="1"/>
    <col min="38" max="38" style="1387" width="9.140625"/>
  </cols>
  <sheetData>
    <row customHeight="1" ht="11.25" hidden="1"/>
    <row customHeight="1" ht="11.25" hidden="1"/>
    <row r="4" customHeight="1" ht="34.5">
      <c r="A4" s="581"/>
      <c r="B4" s="581"/>
      <c r="D4" s="1945" t="str">
        <f>Титульный!E5</f>
        <v>Показатели, подлежащие раскрытию в сфере теплоснабжения (цены и тарифы)</v>
      </c>
      <c r="E4" s="1946"/>
      <c r="F4" s="1946"/>
      <c r="G4" s="1946"/>
      <c r="H4" s="1946"/>
      <c r="I4" s="1947"/>
      <c r="J4" s="580"/>
      <c r="K4" s="580"/>
      <c r="L4" s="580"/>
      <c r="M4" s="580"/>
    </row>
    <row s="585" customFormat="1" customHeight="1" ht="15">
      <c r="A5" s="581"/>
      <c r="B5" s="581"/>
      <c r="C5" s="581"/>
      <c r="D5" s="1948" t="str">
        <f>IF(org=0,"Не определено",org)</f>
        <v>ПАО "ТГК-1" филиал "Невский"</v>
      </c>
      <c r="E5" s="1949"/>
      <c r="F5" s="1949"/>
      <c r="G5" s="1949"/>
      <c r="H5" s="1949"/>
      <c r="I5" s="1950"/>
      <c r="J5" s="582"/>
      <c r="K5" s="582"/>
      <c r="L5" s="582"/>
      <c r="M5" s="582"/>
      <c r="N5" s="582"/>
      <c r="O5" s="864"/>
      <c r="P5" s="864"/>
      <c r="Q5" s="864"/>
      <c r="R5" s="864"/>
      <c r="S5" s="864"/>
      <c r="T5" s="864"/>
      <c r="U5" s="1277"/>
      <c r="V5" s="1277"/>
      <c r="W5" s="1277"/>
      <c r="X5" s="1277"/>
      <c r="Y5" s="582"/>
      <c r="Z5" s="582"/>
      <c r="AA5" s="582"/>
      <c r="AB5" s="582"/>
      <c r="AC5" s="582"/>
      <c r="AD5" s="582"/>
      <c r="AE5" s="582"/>
      <c r="AF5" s="582"/>
      <c r="AG5" s="582"/>
      <c r="AH5" s="582"/>
      <c r="AI5" s="582"/>
      <c r="AJ5" s="582"/>
      <c r="AK5" s="582"/>
      <c r="AL5" s="582"/>
    </row>
    <row s="585" customFormat="1" customHeight="1" ht="6">
      <c r="A6" s="1951"/>
      <c r="B6" s="1951"/>
      <c r="C6" s="1951"/>
      <c r="D6" s="1951"/>
      <c r="E6" s="1951"/>
      <c r="F6" s="1951"/>
      <c r="G6" s="584"/>
      <c r="H6" s="584"/>
      <c r="I6" s="584"/>
      <c r="J6" s="584"/>
      <c r="K6" s="584"/>
      <c r="N6" s="586"/>
      <c r="O6" s="1431"/>
      <c r="P6" s="1431"/>
      <c r="Q6" s="1431"/>
      <c r="R6" s="1431"/>
      <c r="S6" s="1431"/>
      <c r="T6" s="1431"/>
      <c r="U6" s="1280"/>
      <c r="V6" s="1280"/>
      <c r="W6" s="1280"/>
      <c r="X6" s="1280"/>
      <c r="Y6" s="586"/>
      <c r="Z6" s="586"/>
      <c r="AA6" s="586"/>
      <c r="AB6" s="586"/>
      <c r="AC6" s="586"/>
      <c r="AD6" s="586"/>
      <c r="AE6" s="586"/>
      <c r="AF6" s="586"/>
      <c r="AG6" s="586"/>
      <c r="AH6" s="586"/>
      <c r="AI6" s="586"/>
      <c r="AJ6" s="586"/>
      <c r="AK6" s="586"/>
      <c r="AL6" s="586"/>
    </row>
    <row customHeight="1" ht="45.75" hidden="1">
      <c r="E7" s="1956"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57"/>
      <c r="G7" s="1957"/>
      <c r="H7" s="1957"/>
      <c r="I7" s="1957"/>
      <c r="J7" s="1957"/>
      <c r="K7" s="1957"/>
      <c r="L7" s="1957"/>
      <c r="M7" s="1957"/>
    </row>
    <row s="585" customFormat="1" customHeight="1" ht="6">
      <c r="A8" s="587"/>
      <c r="B8" s="587"/>
      <c r="C8" s="587"/>
      <c r="D8" s="587"/>
      <c r="E8" s="587"/>
      <c r="F8" s="587"/>
      <c r="G8" s="587"/>
      <c r="H8" s="587"/>
      <c r="I8" s="587"/>
      <c r="J8" s="587"/>
      <c r="K8" s="587"/>
      <c r="L8" s="587"/>
      <c r="M8" s="585"/>
      <c r="N8" s="582"/>
      <c r="O8" s="864"/>
      <c r="P8" s="864"/>
      <c r="Q8" s="864"/>
      <c r="R8" s="864"/>
      <c r="S8" s="864"/>
      <c r="T8" s="864"/>
      <c r="U8" s="1277"/>
      <c r="V8" s="1277"/>
      <c r="W8" s="1277"/>
      <c r="X8" s="1277"/>
      <c r="Y8" s="582"/>
      <c r="Z8" s="582"/>
      <c r="AA8" s="582"/>
      <c r="AB8" s="582"/>
      <c r="AC8" s="582"/>
      <c r="AD8" s="582"/>
      <c r="AE8" s="582"/>
      <c r="AF8" s="582"/>
      <c r="AG8" s="582"/>
      <c r="AH8" s="582"/>
      <c r="AI8" s="582"/>
      <c r="AJ8" s="582"/>
      <c r="AK8" s="582"/>
      <c r="AL8" s="582"/>
    </row>
    <row customHeight="1" ht="18">
      <c r="A9" s="1952"/>
      <c r="B9" s="310"/>
      <c r="C9" s="310"/>
      <c r="D9" s="1953" t="s">
        <v>104</v>
      </c>
      <c r="E9" s="1953"/>
      <c r="F9" s="1954" t="s">
        <v>105</v>
      </c>
      <c r="G9" s="1955"/>
      <c r="H9" s="1955"/>
      <c r="I9" s="1955"/>
      <c r="J9" s="1958" t="s">
        <v>106</v>
      </c>
      <c r="K9" s="1958"/>
      <c r="L9" s="1958"/>
      <c r="M9" s="1958"/>
    </row>
    <row customHeight="1" ht="22.5">
      <c r="A10" s="1952"/>
      <c r="B10" s="588"/>
      <c r="C10" s="521"/>
      <c r="D10" s="519" t="s">
        <v>87</v>
      </c>
      <c r="E10" s="519" t="s">
        <v>88</v>
      </c>
      <c r="F10" s="519" t="s">
        <v>107</v>
      </c>
      <c r="G10" s="1959" t="s">
        <v>87</v>
      </c>
      <c r="H10" s="1960"/>
      <c r="I10" s="519" t="s">
        <v>88</v>
      </c>
      <c r="J10" s="519" t="s">
        <v>107</v>
      </c>
      <c r="K10" s="1959" t="s">
        <v>87</v>
      </c>
      <c r="L10" s="1960"/>
      <c r="M10" s="519" t="s">
        <v>88</v>
      </c>
      <c r="N10" s="1652"/>
    </row>
    <row s="1877" customFormat="1" customHeight="1" ht="11.25" hidden="1">
      <c r="A11" s="589"/>
      <c r="B11" s="589"/>
      <c r="C11" s="589"/>
      <c r="D11" s="590" t="s">
        <v>108</v>
      </c>
      <c r="E11" s="590" t="s">
        <v>109</v>
      </c>
      <c r="F11" s="590" t="s">
        <v>89</v>
      </c>
      <c r="G11" s="1941" t="s">
        <v>90</v>
      </c>
      <c r="H11" s="1942"/>
      <c r="I11" s="590" t="s">
        <v>110</v>
      </c>
      <c r="J11" s="590" t="s">
        <v>91</v>
      </c>
      <c r="K11" s="1943" t="s">
        <v>92</v>
      </c>
      <c r="L11" s="1944"/>
      <c r="M11" s="590" t="s">
        <v>111</v>
      </c>
      <c r="N11" s="1651"/>
      <c r="O11" s="1430"/>
      <c r="P11" s="1432"/>
      <c r="Q11" s="1432"/>
      <c r="R11" s="1432"/>
      <c r="S11" s="1432"/>
      <c r="T11" s="1432"/>
      <c r="U11" s="1281"/>
      <c r="V11" s="1281"/>
      <c r="W11" s="1281"/>
      <c r="X11" s="1281"/>
      <c r="Y11" s="591"/>
      <c r="Z11" s="591"/>
      <c r="AA11" s="591"/>
      <c r="AB11" s="591"/>
      <c r="AC11" s="591"/>
      <c r="AD11" s="591"/>
      <c r="AE11" s="591"/>
      <c r="AF11" s="591"/>
      <c r="AG11" s="591"/>
      <c r="AH11" s="591"/>
      <c r="AI11" s="591"/>
      <c r="AJ11" s="591"/>
      <c r="AK11" s="591"/>
      <c r="AL11" s="591"/>
    </row>
    <row customHeight="1" ht="0.75">
      <c r="A12" s="593"/>
      <c r="B12" s="594"/>
      <c r="C12" s="594"/>
      <c r="D12" s="595"/>
      <c r="E12" s="359"/>
      <c r="F12" s="596"/>
      <c r="G12" s="1054"/>
      <c r="H12" s="1054"/>
      <c r="I12" s="596"/>
      <c r="J12" s="596"/>
      <c r="K12" s="154"/>
      <c r="L12" s="359"/>
      <c r="M12" s="597"/>
      <c r="N12" s="1652"/>
      <c r="O12" s="1430" t="s">
        <v>112</v>
      </c>
      <c r="P12" s="1430" t="s">
        <v>113</v>
      </c>
      <c r="Q12" s="1430" t="s">
        <v>114</v>
      </c>
      <c r="R12" s="1430" t="s">
        <v>115</v>
      </c>
    </row>
    <row s="1877" customFormat="1" customHeight="1" ht="15">
      <c r="A13" s="0"/>
      <c r="B13" s="0"/>
      <c r="C13" s="522"/>
      <c r="D13" s="1964" t="s">
        <v>108</v>
      </c>
      <c r="E13" s="1965"/>
      <c r="F13" s="1968" t="s">
        <v>61</v>
      </c>
      <c r="G13" s="1969"/>
      <c r="H13" s="1970">
        <v>1</v>
      </c>
      <c r="I13" s="1961" t="str">
        <f>IF(U13="","",INDEX(TERRITORY_MR_LIST,MATCH(U13,TERRITORY_LIST_ID,0)))</f>
        <v/>
      </c>
      <c r="J13" s="1963" t="s">
        <v>56</v>
      </c>
      <c r="K13" s="598"/>
      <c r="L13" s="523" t="s">
        <v>108</v>
      </c>
      <c r="M13" s="599" t="s">
        <v>24</v>
      </c>
      <c r="N13" s="806"/>
      <c r="O13" s="1433" t="s">
        <v>116</v>
      </c>
      <c r="P13" s="1430">
        <f>$E$13</f>
        <v>0</v>
      </c>
      <c r="Q13" s="1430" t="str">
        <f>IF($F$13="нет","без дифференциации",$I$13)</f>
        <v/>
      </c>
      <c r="R13" s="1430" t="str">
        <f>IF($J$13="нет","без дифференциации",M13)</f>
        <v>без дифференциации</v>
      </c>
      <c r="S13" s="1433"/>
      <c r="T13" s="1433"/>
      <c r="U13" s="1282"/>
      <c r="V13" s="1282"/>
      <c r="W13" s="1282"/>
      <c r="X13" s="1282"/>
      <c r="Y13" s="600" t="s">
        <v>117</v>
      </c>
      <c r="Z13" s="600">
        <v>1705000</v>
      </c>
      <c r="AA13" s="600"/>
      <c r="AB13" s="600"/>
      <c r="AC13" s="600"/>
      <c r="AD13" s="600"/>
      <c r="AE13" s="600"/>
      <c r="AF13" s="600"/>
      <c r="AG13" s="600"/>
      <c r="AH13" s="600"/>
      <c r="AI13" s="600"/>
      <c r="AJ13" s="600"/>
      <c r="AK13" s="600"/>
      <c r="AL13" s="600"/>
    </row>
    <row s="1877" customFormat="1" customHeight="1" ht="15">
      <c r="A14" s="0"/>
      <c r="B14" s="0"/>
      <c r="C14" s="156"/>
      <c r="D14" s="1964"/>
      <c r="E14" s="1966"/>
      <c r="F14" s="1963"/>
      <c r="G14" s="1969"/>
      <c r="H14" s="1970"/>
      <c r="I14" s="1962"/>
      <c r="J14" s="1963"/>
      <c r="K14" s="418"/>
      <c r="L14" s="157"/>
      <c r="M14" s="603" t="s">
        <v>118</v>
      </c>
      <c r="N14" s="806"/>
      <c r="O14" s="1433"/>
      <c r="P14" s="1430"/>
      <c r="Q14" s="1430"/>
      <c r="R14" s="1430"/>
      <c r="S14" s="1433"/>
      <c r="T14" s="1433"/>
      <c r="U14" s="1282"/>
      <c r="V14" s="1282"/>
      <c r="W14" s="1282"/>
      <c r="X14" s="1282"/>
      <c r="Y14" s="600"/>
      <c r="Z14" s="600"/>
      <c r="AA14" s="600"/>
      <c r="AB14" s="600"/>
      <c r="AC14" s="600"/>
      <c r="AD14" s="600"/>
      <c r="AE14" s="600"/>
      <c r="AF14" s="600"/>
      <c r="AG14" s="600"/>
      <c r="AH14" s="600"/>
      <c r="AI14" s="600"/>
      <c r="AJ14" s="600"/>
      <c r="AK14" s="600"/>
      <c r="AL14" s="600"/>
    </row>
    <row s="1877" customFormat="1" customHeight="1" ht="15">
      <c r="A15" s="0"/>
      <c r="B15" s="0"/>
      <c r="C15" s="156"/>
      <c r="D15" s="1964"/>
      <c r="E15" s="1967"/>
      <c r="F15" s="1963"/>
      <c r="G15" s="1055"/>
      <c r="H15" s="1056"/>
      <c r="I15" s="576" t="s">
        <v>119</v>
      </c>
      <c r="J15" s="157"/>
      <c r="K15" s="157"/>
      <c r="L15" s="157"/>
      <c r="M15" s="604"/>
      <c r="N15" s="806"/>
      <c r="O15" s="1433"/>
      <c r="P15" s="1430"/>
      <c r="Q15" s="1430"/>
      <c r="R15" s="1430"/>
      <c r="S15" s="1433"/>
      <c r="T15" s="1433"/>
      <c r="U15" s="1282"/>
      <c r="V15" s="1282"/>
      <c r="W15" s="1282"/>
      <c r="X15" s="1282"/>
      <c r="Y15" s="600"/>
      <c r="Z15" s="600"/>
      <c r="AA15" s="600"/>
      <c r="AB15" s="600"/>
      <c r="AC15" s="600"/>
      <c r="AD15" s="600"/>
      <c r="AE15" s="600"/>
      <c r="AF15" s="600"/>
      <c r="AG15" s="600"/>
      <c r="AH15" s="600"/>
      <c r="AI15" s="600"/>
      <c r="AJ15" s="600"/>
      <c r="AK15" s="600"/>
      <c r="AL15" s="600"/>
    </row>
    <row customHeight="1" ht="15">
      <c r="A16" s="605"/>
      <c r="B16" s="115"/>
      <c r="C16" s="800"/>
      <c r="D16" s="418"/>
      <c r="E16" s="567" t="s">
        <v>120</v>
      </c>
      <c r="F16" s="157"/>
      <c r="G16" s="157"/>
      <c r="H16" s="157"/>
      <c r="I16" s="157"/>
      <c r="J16" s="157"/>
      <c r="K16" s="157" t="s">
        <v>24</v>
      </c>
      <c r="L16" s="157"/>
      <c r="M16" s="604"/>
      <c r="N16" s="1652"/>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A22BF2-9A5B-919A-6707-2081C529321E}" mc:Ignorable="x14ac xr xr2 xr3">
  <sheetPr>
    <tabColor rgb="FFCCCCFF"/>
  </sheetPr>
  <dimension ref="A1:AR142"/>
  <sheetViews>
    <sheetView topLeftCell="C16" showGridLines="0" zoomScale="90" workbookViewId="0">
      <selection activeCell="E45" sqref="E45:E49"/>
    </sheetView>
  </sheetViews>
  <sheetFormatPr defaultColWidth="9.140625" customHeight="1" defaultRowHeight="11.25"/>
  <cols>
    <col min="1" max="2" style="1649" width="3.7109375" hidden="1" customWidth="1"/>
    <col min="3" max="3" style="1877" width="3.7109375" customWidth="1"/>
    <col min="4" max="4" style="1877" width="6.140625" customWidth="1"/>
    <col min="5" max="5" style="1877" width="43.140625" customWidth="1"/>
    <col min="6" max="6" style="1877" width="15.00390625" customWidth="1"/>
    <col min="7" max="7" style="1877" width="43.140625" customWidth="1"/>
    <col min="8" max="8" style="1877" width="3.7109375" customWidth="1"/>
    <col min="9" max="9" style="1877" width="5.421875" customWidth="1"/>
    <col min="10" max="10" style="1877" width="47.8515625" customWidth="1"/>
    <col min="11" max="12" style="1877" width="3.7109375" customWidth="1"/>
    <col min="13" max="13" style="1877" width="5.7109375" customWidth="1"/>
    <col min="14" max="14" style="1877" width="28.140625" customWidth="1"/>
    <col min="15" max="16" style="1877" width="3.7109375" customWidth="1"/>
    <col min="17" max="17" style="1877" width="5.7109375" customWidth="1"/>
    <col min="18" max="18" style="1877" width="34.421875" customWidth="1"/>
    <col min="19" max="20" style="1877" width="3.7109375" customWidth="1"/>
    <col min="21" max="21" style="1877" width="5.7109375" customWidth="1"/>
    <col min="22" max="22" style="1877" width="34.421875" customWidth="1"/>
    <col min="23" max="23" style="1877" width="30.7109375" customWidth="1"/>
    <col min="24" max="24" style="1877" width="3.7109375" customWidth="1"/>
    <col min="25" max="28" style="1282" width="9.8515625" hidden="1" customWidth="1"/>
    <col min="29" max="29" style="1282" width="27.00390625" hidden="1" customWidth="1"/>
    <col min="30" max="30" style="1282" width="10.57421875" hidden="1" customWidth="1"/>
    <col min="31" max="31" style="1282" width="10.7109375" hidden="1" customWidth="1"/>
    <col min="32" max="32" style="1282" width="10.00390625" hidden="1" customWidth="1"/>
    <col min="33" max="33" style="1282" width="12.8515625" hidden="1" customWidth="1"/>
    <col min="34" max="34" style="1282" width="10.28125" hidden="1" customWidth="1"/>
    <col min="35" max="35" style="1282" width="15.8515625" hidden="1" customWidth="1"/>
    <col min="36" max="36" style="1282" width="19.421875" hidden="1" customWidth="1"/>
    <col min="37" max="37" style="1282" width="11.00390625" hidden="1" customWidth="1"/>
    <col min="38" max="38" style="1282" width="23.57421875" hidden="1" customWidth="1"/>
    <col min="39" max="39" style="1282" width="23.8515625" hidden="1" customWidth="1"/>
    <col min="40" max="40" style="1282" width="25.28125" hidden="1" customWidth="1"/>
    <col min="41" max="41" style="1282" width="16.8515625" hidden="1" customWidth="1"/>
    <col min="42" max="42" style="1282" width="29.57421875" hidden="1" customWidth="1"/>
    <col min="43" max="43" style="1282" width="29.8515625" hidden="1" customWidth="1"/>
    <col min="44" max="44" style="1877" width="9.140625" hidden="1"/>
  </cols>
  <sheetData>
    <row customHeight="1" ht="11.25" hidden="1">
      <c r="A1" s="136"/>
    </row>
    <row customHeight="1" ht="11.25" hidden="1"/>
    <row customHeight="1" ht="11.25" hidden="1"/>
    <row customHeight="1" ht="3"/>
    <row s="585" customFormat="1" customHeight="1" ht="29.25">
      <c r="A5" s="134"/>
      <c r="B5" s="134"/>
      <c r="D5" s="2001"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02"/>
      <c r="F5" s="2002"/>
      <c r="G5" s="2002"/>
      <c r="H5" s="2002"/>
      <c r="I5" s="2002"/>
      <c r="J5" s="2003"/>
      <c r="K5" s="244"/>
      <c r="L5" s="122"/>
      <c r="M5" s="122"/>
      <c r="N5" s="122"/>
      <c r="O5" s="122"/>
      <c r="P5" s="122"/>
      <c r="Q5" s="122"/>
      <c r="R5" s="122"/>
      <c r="S5" s="271"/>
      <c r="T5" s="271"/>
      <c r="U5" s="271"/>
      <c r="V5" s="271"/>
      <c r="W5" s="122"/>
      <c r="Y5" s="1276"/>
      <c r="Z5" s="1276"/>
      <c r="AA5" s="1276"/>
      <c r="AB5" s="1276"/>
      <c r="AC5" s="1276"/>
      <c r="AD5" s="1276"/>
      <c r="AE5" s="1276"/>
      <c r="AF5" s="1276"/>
      <c r="AG5" s="1276"/>
      <c r="AH5" s="1276"/>
      <c r="AI5" s="1276"/>
      <c r="AJ5" s="1276"/>
      <c r="AK5" s="1276"/>
      <c r="AL5" s="1276"/>
      <c r="AM5" s="1276"/>
      <c r="AN5" s="1276"/>
      <c r="AO5" s="1276"/>
      <c r="AP5" s="1276"/>
      <c r="AQ5" s="1276"/>
    </row>
    <row s="585" customFormat="1" customHeight="1" ht="15">
      <c r="A6" s="581"/>
      <c r="B6" s="581"/>
      <c r="C6" s="581"/>
      <c r="D6" s="2007" t="str">
        <f>IF(org=0,"Не определено",org)</f>
        <v>ПАО "ТГК-1" филиал "Невский"</v>
      </c>
      <c r="E6" s="2007"/>
      <c r="F6" s="2007"/>
      <c r="G6" s="2007"/>
      <c r="H6" s="2007"/>
      <c r="I6" s="2007"/>
      <c r="J6" s="2007"/>
      <c r="K6" s="582"/>
      <c r="L6" s="582"/>
      <c r="M6" s="582"/>
      <c r="N6" s="582"/>
      <c r="O6" s="864"/>
      <c r="P6" s="864"/>
      <c r="Q6" s="864"/>
      <c r="R6" s="864"/>
      <c r="S6" s="864"/>
      <c r="T6" s="864"/>
      <c r="U6" s="864"/>
      <c r="V6" s="864"/>
      <c r="W6" s="864"/>
      <c r="X6" s="582"/>
      <c r="Y6" s="1277"/>
      <c r="Z6" s="1277"/>
      <c r="AA6" s="1277"/>
      <c r="AB6" s="1277"/>
      <c r="AC6" s="1277"/>
      <c r="AD6" s="1277"/>
      <c r="AE6" s="1277"/>
      <c r="AF6" s="1277"/>
      <c r="AG6" s="1277"/>
      <c r="AH6" s="1277"/>
      <c r="AI6" s="1277"/>
      <c r="AJ6" s="1277"/>
      <c r="AK6" s="1277"/>
      <c r="AL6" s="1277"/>
      <c r="AM6" s="1277"/>
      <c r="AN6" s="1277"/>
      <c r="AO6" s="1277"/>
      <c r="AP6" s="1277"/>
      <c r="AQ6" s="1277"/>
    </row>
    <row s="279" customFormat="1" customHeight="1" ht="11.25">
      <c r="A7" s="190"/>
      <c r="B7" s="190"/>
      <c r="D7" s="2004"/>
      <c r="E7" s="2005"/>
      <c r="F7" s="2005"/>
      <c r="G7" s="2005"/>
      <c r="H7" s="2005"/>
      <c r="I7" s="2005"/>
      <c r="J7" s="2006"/>
      <c r="S7" s="279"/>
      <c r="T7" s="279"/>
      <c r="U7" s="279"/>
      <c r="V7" s="279"/>
      <c r="Y7" s="1278"/>
      <c r="Z7" s="1278"/>
      <c r="AA7" s="1278"/>
      <c r="AB7" s="1278"/>
      <c r="AC7" s="1278"/>
      <c r="AD7" s="1278"/>
      <c r="AE7" s="1278"/>
      <c r="AF7" s="1278"/>
      <c r="AG7" s="1278"/>
      <c r="AH7" s="1278"/>
      <c r="AI7" s="1278"/>
      <c r="AJ7" s="1278"/>
      <c r="AK7" s="1278"/>
      <c r="AL7" s="1278"/>
      <c r="AM7" s="1278"/>
      <c r="AN7" s="1278"/>
      <c r="AO7" s="1278"/>
      <c r="AP7" s="1278"/>
      <c r="AQ7" s="1278"/>
    </row>
    <row s="585" customFormat="1" customHeight="1" ht="0.75">
      <c r="A8" s="134"/>
      <c r="B8" s="134"/>
      <c r="D8" s="191"/>
      <c r="E8" s="191"/>
      <c r="F8" s="191"/>
      <c r="G8" s="191"/>
      <c r="H8" s="191"/>
      <c r="I8" s="191"/>
      <c r="J8" s="191"/>
      <c r="K8" s="191"/>
      <c r="L8" s="191"/>
      <c r="M8" s="191"/>
      <c r="N8" s="191"/>
      <c r="O8" s="191"/>
      <c r="P8" s="191"/>
      <c r="Q8" s="191"/>
      <c r="R8" s="191"/>
      <c r="S8" s="191"/>
      <c r="T8" s="191"/>
      <c r="U8" s="191"/>
      <c r="V8" s="191"/>
      <c r="W8" s="191"/>
      <c r="X8" s="112"/>
      <c r="Y8" s="1276"/>
      <c r="Z8" s="1276"/>
      <c r="AA8" s="1276"/>
      <c r="AB8" s="1276"/>
      <c r="AC8" s="1276"/>
      <c r="AD8" s="1276"/>
      <c r="AE8" s="1276"/>
      <c r="AF8" s="1276"/>
      <c r="AG8" s="1276"/>
      <c r="AH8" s="1276"/>
      <c r="AI8" s="1276"/>
      <c r="AJ8" s="1276"/>
      <c r="AK8" s="1276"/>
      <c r="AL8" s="1276"/>
      <c r="AM8" s="1276"/>
      <c r="AN8" s="1276"/>
      <c r="AO8" s="1276"/>
      <c r="AP8" s="1276"/>
      <c r="AQ8" s="1276"/>
    </row>
    <row customHeight="1" ht="27">
      <c r="D9" s="1953" t="s">
        <v>87</v>
      </c>
      <c r="E9" s="1937" t="s">
        <v>121</v>
      </c>
      <c r="F9" s="1939"/>
      <c r="G9" s="1953" t="s">
        <v>104</v>
      </c>
      <c r="H9" s="1953" t="s">
        <v>87</v>
      </c>
      <c r="I9" s="1953"/>
      <c r="J9" s="1953" t="s">
        <v>122</v>
      </c>
      <c r="K9" s="2008" t="s">
        <v>123</v>
      </c>
      <c r="L9" s="2008"/>
      <c r="M9" s="2008"/>
      <c r="N9" s="2008"/>
      <c r="O9" s="2008" t="s">
        <v>124</v>
      </c>
      <c r="P9" s="2008"/>
      <c r="Q9" s="2008"/>
      <c r="R9" s="2008"/>
      <c r="S9" s="2008" t="s">
        <v>125</v>
      </c>
      <c r="T9" s="2008"/>
      <c r="U9" s="2008"/>
      <c r="V9" s="2008"/>
      <c r="W9" s="1953" t="s">
        <v>126</v>
      </c>
    </row>
    <row customHeight="1" ht="30">
      <c r="D10" s="1953"/>
      <c r="E10" s="1301" t="s">
        <v>88</v>
      </c>
      <c r="F10" s="1301" t="s">
        <v>127</v>
      </c>
      <c r="G10" s="1953"/>
      <c r="H10" s="1953"/>
      <c r="I10" s="1953"/>
      <c r="J10" s="1953"/>
      <c r="K10" s="90" t="s">
        <v>107</v>
      </c>
      <c r="L10" s="1953" t="s">
        <v>87</v>
      </c>
      <c r="M10" s="1953"/>
      <c r="N10" s="90" t="s">
        <v>128</v>
      </c>
      <c r="O10" s="90" t="s">
        <v>107</v>
      </c>
      <c r="P10" s="1953" t="s">
        <v>87</v>
      </c>
      <c r="Q10" s="1953"/>
      <c r="R10" s="90" t="s">
        <v>128</v>
      </c>
      <c r="S10" s="264" t="s">
        <v>107</v>
      </c>
      <c r="T10" s="1953" t="s">
        <v>87</v>
      </c>
      <c r="U10" s="1953"/>
      <c r="V10" s="264" t="s">
        <v>88</v>
      </c>
      <c r="W10" s="1953"/>
      <c r="Z10" s="1275" t="s">
        <v>129</v>
      </c>
      <c r="AA10" s="1275" t="s">
        <v>130</v>
      </c>
      <c r="AB10" s="1275" t="s">
        <v>131</v>
      </c>
      <c r="AC10" s="1275" t="s">
        <v>132</v>
      </c>
      <c r="AD10" s="1275" t="s">
        <v>133</v>
      </c>
      <c r="AE10" s="1275" t="s">
        <v>134</v>
      </c>
      <c r="AF10" s="1275" t="s">
        <v>135</v>
      </c>
      <c r="AG10" s="1275" t="s">
        <v>136</v>
      </c>
      <c r="AH10" s="1275" t="s">
        <v>137</v>
      </c>
      <c r="AI10" s="1275" t="s">
        <v>138</v>
      </c>
      <c r="AJ10" s="1275" t="s">
        <v>139</v>
      </c>
      <c r="AK10" s="1275" t="s">
        <v>140</v>
      </c>
      <c r="AL10" s="1275" t="s">
        <v>141</v>
      </c>
      <c r="AM10" s="1275" t="s">
        <v>142</v>
      </c>
      <c r="AN10" s="1275" t="s">
        <v>143</v>
      </c>
      <c r="AO10" s="1275" t="s">
        <v>144</v>
      </c>
      <c r="AP10" s="1275" t="s">
        <v>145</v>
      </c>
      <c r="AQ10" s="1275" t="s">
        <v>146</v>
      </c>
    </row>
    <row s="1649" customFormat="1" customHeight="1" ht="12" hidden="1">
      <c r="D11" s="1255" t="s">
        <v>108</v>
      </c>
      <c r="E11" s="1255" t="s">
        <v>109</v>
      </c>
      <c r="F11" s="1255"/>
      <c r="G11" s="1255" t="s">
        <v>89</v>
      </c>
      <c r="H11" s="2000" t="s">
        <v>110</v>
      </c>
      <c r="I11" s="2000"/>
      <c r="J11" s="1255" t="s">
        <v>91</v>
      </c>
      <c r="K11" s="1255" t="s">
        <v>92</v>
      </c>
      <c r="L11" s="2000" t="s">
        <v>111</v>
      </c>
      <c r="M11" s="2000"/>
      <c r="N11" s="1255" t="s">
        <v>98</v>
      </c>
      <c r="O11" s="1255" t="s">
        <v>147</v>
      </c>
      <c r="P11" s="2000" t="s">
        <v>148</v>
      </c>
      <c r="Q11" s="2000"/>
      <c r="R11" s="1255" t="s">
        <v>149</v>
      </c>
      <c r="S11" s="1255" t="s">
        <v>148</v>
      </c>
      <c r="T11" s="2000" t="s">
        <v>149</v>
      </c>
      <c r="U11" s="2000"/>
      <c r="V11" s="1255" t="s">
        <v>150</v>
      </c>
      <c r="W11" s="1255" t="s">
        <v>151</v>
      </c>
      <c r="Y11" s="1275"/>
      <c r="Z11" s="1275"/>
      <c r="AA11" s="1275"/>
      <c r="AB11" s="1275"/>
      <c r="AC11" s="1275"/>
      <c r="AD11" s="1275"/>
      <c r="AE11" s="1275"/>
      <c r="AF11" s="1275"/>
      <c r="AG11" s="1275"/>
      <c r="AH11" s="1275"/>
      <c r="AI11" s="1275"/>
      <c r="AJ11" s="1275"/>
      <c r="AK11" s="1275"/>
      <c r="AL11" s="1275"/>
      <c r="AM11" s="1275"/>
      <c r="AN11" s="1275"/>
      <c r="AO11" s="1275"/>
      <c r="AP11" s="1275"/>
      <c r="AQ11" s="1275"/>
    </row>
    <row customHeight="1" ht="14.25" hidden="1">
      <c r="C12" s="188"/>
      <c r="D12" s="1299">
        <v>0</v>
      </c>
      <c r="E12" s="229"/>
      <c r="F12" s="229"/>
      <c r="G12" s="229"/>
      <c r="H12" s="230"/>
      <c r="I12" s="230"/>
      <c r="J12" s="138"/>
      <c r="K12" s="92"/>
      <c r="L12" s="138"/>
      <c r="M12" s="138"/>
      <c r="N12" s="231"/>
      <c r="O12" s="92"/>
      <c r="P12" s="138"/>
      <c r="Q12" s="138"/>
      <c r="R12" s="232"/>
      <c r="S12" s="265"/>
      <c r="T12" s="273"/>
      <c r="U12" s="273"/>
      <c r="V12" s="276"/>
      <c r="W12" s="92"/>
      <c r="X12" s="121"/>
    </row>
    <row s="1877" customFormat="1" customHeight="1" ht="17.25">
      <c r="A13" s="306"/>
      <c r="C13" s="188"/>
      <c r="D13" s="1973">
        <v>1</v>
      </c>
      <c r="E13" s="1975" t="s">
        <v>152</v>
      </c>
      <c r="F13" s="1977" t="s">
        <v>61</v>
      </c>
      <c r="G13" s="2440" t="str">
        <f>"Производство тепловой энергии. Комбинированная выработка с уст. мощностью производства электрической энергии 25 МВт и более"&amp;", "&amp;INDEX(HEAT_PT_VED_NAME,MATCH(4190070,HEAT_PT_VED_ID,0))</f>
        <v>Производство тепловой энергии. Комбинированная выработка с уст. мощностью производства электрической энергии 25 МВт и более, Сбыт. Тепловая энергия</v>
      </c>
      <c r="H13" s="2361"/>
      <c r="I13" s="2361">
        <v>1</v>
      </c>
      <c r="J13" s="2371" t="s">
        <v>153</v>
      </c>
      <c r="K13" s="2026" t="s">
        <v>56</v>
      </c>
      <c r="L13" s="1964"/>
      <c r="M13" s="1964" t="s">
        <v>108</v>
      </c>
      <c r="N13" s="434" t="s">
        <v>24</v>
      </c>
      <c r="O13" s="2026" t="s">
        <v>56</v>
      </c>
      <c r="P13" s="1964"/>
      <c r="Q13" s="1964" t="s">
        <v>108</v>
      </c>
      <c r="R13" s="2441" t="s">
        <v>24</v>
      </c>
      <c r="S13" s="1963" t="s">
        <v>56</v>
      </c>
      <c r="T13" s="1964"/>
      <c r="U13" s="1964" t="s">
        <v>108</v>
      </c>
      <c r="V13" s="2441" t="s">
        <v>24</v>
      </c>
      <c r="W13" s="2371"/>
      <c r="Y13" s="1283"/>
      <c r="Z13" s="1283"/>
      <c r="AA13" s="1283"/>
      <c r="AB13" s="1283" t="s">
        <v>154</v>
      </c>
      <c r="AC13" s="1283" t="s">
        <v>155</v>
      </c>
      <c r="AD13" s="1283" t="s">
        <v>156</v>
      </c>
      <c r="AE13" s="1283" t="s">
        <v>157</v>
      </c>
      <c r="AF13" s="1283" t="s">
        <v>158</v>
      </c>
      <c r="AG13" s="1283" t="s">
        <v>159</v>
      </c>
      <c r="AH13"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83" t="str">
        <f>IF($G$13=0,"",$G$13)</f>
        <v>Производство тепловой энергии. Комбинированная выработка с уст. мощностью производства электрической энергии 25 МВт и более, Сбыт. Тепловая энергия</v>
      </c>
      <c r="AJ13" s="1283" t="str">
        <f>IF($J$13=0,"",$J$13)</f>
        <v>Тариф на тепловую энергию, поставляемую ПАО "ТГК-1" потребителям, расположенным на территории Санкт-Петербурга</v>
      </c>
      <c r="AK13" s="1283" t="str">
        <f>IF($K$13="нет","без дифференциации",IF($N$13=0,"",$N$13))</f>
        <v>без дифференциации</v>
      </c>
      <c r="AL13" s="1283" t="str">
        <f>IF($O$13="нет","без дифференциации",IF($R$13=0,"",$R$13))</f>
        <v>без дифференциации</v>
      </c>
      <c r="AM13" s="1283" t="str">
        <f>IF($S$13="нет","без дифференциации",IF($V$13=0,"",$V$13))</f>
        <v>без дифференциации</v>
      </c>
      <c r="AN13" s="1283">
        <f>$I$13</f>
        <v>1</v>
      </c>
      <c r="AO13" s="1283" t="str">
        <f>$I$13&amp;"."&amp;$M$13</f>
        <v>1.1</v>
      </c>
      <c r="AP13" s="1283" t="str">
        <f>$I$13&amp;"."&amp;$M$13&amp;"."&amp;$Q$13</f>
        <v>1.1.1</v>
      </c>
      <c r="AQ13" s="1283" t="str">
        <f>$I$13&amp;"."&amp;$M$13&amp;"."&amp;$Q$13&amp;"."&amp;$U$13</f>
        <v>1.1.1.1</v>
      </c>
    </row>
    <row s="1877" customFormat="1" customHeight="1" ht="17.25">
      <c r="A14" s="306"/>
      <c r="C14" s="305"/>
      <c r="D14" s="1973"/>
      <c r="E14" s="1975"/>
      <c r="F14" s="1978"/>
      <c r="G14" s="2440"/>
      <c r="H14" s="2361"/>
      <c r="I14" s="2361"/>
      <c r="J14" s="2371"/>
      <c r="K14" s="2027"/>
      <c r="L14" s="1964"/>
      <c r="M14" s="1964"/>
      <c r="N14" s="434" t="s">
        <v>24</v>
      </c>
      <c r="O14" s="2027"/>
      <c r="P14" s="1964"/>
      <c r="Q14" s="1964"/>
      <c r="R14" s="2441" t="s">
        <v>24</v>
      </c>
      <c r="S14" s="1963"/>
      <c r="T14" s="2442"/>
      <c r="U14" s="2443"/>
      <c r="V14" s="2444" t="s">
        <v>160</v>
      </c>
      <c r="W14" s="2445"/>
      <c r="Y14" s="1275"/>
      <c r="Z14" s="1275"/>
      <c r="AA14" s="1275"/>
      <c r="AB14" s="1275"/>
      <c r="AC14" s="1275"/>
      <c r="AD14" s="1275"/>
      <c r="AE14" s="1275"/>
      <c r="AF14" s="1275"/>
      <c r="AG14" s="1275"/>
      <c r="AH14" s="1275"/>
      <c r="AI14" s="1275"/>
      <c r="AJ14" s="1275"/>
      <c r="AK14" s="1275"/>
      <c r="AL14" s="1275"/>
      <c r="AM14" s="1275"/>
      <c r="AN14" s="1275"/>
      <c r="AO14" s="1275"/>
      <c r="AP14" s="1275"/>
      <c r="AQ14" s="1275"/>
    </row>
    <row s="1877" customFormat="1" customHeight="1" ht="17.25">
      <c r="A15" s="306"/>
      <c r="C15" s="188"/>
      <c r="D15" s="1973"/>
      <c r="E15" s="1975"/>
      <c r="F15" s="1978"/>
      <c r="G15" s="2440"/>
      <c r="H15" s="2336"/>
      <c r="I15" s="2336"/>
      <c r="J15" s="2372"/>
      <c r="K15" s="2027"/>
      <c r="L15" s="2336"/>
      <c r="M15" s="2336"/>
      <c r="N15" s="2441" t="s">
        <v>24</v>
      </c>
      <c r="O15" s="1968"/>
      <c r="P15" s="2446"/>
      <c r="Q15" s="2447"/>
      <c r="R15" s="2448" t="s">
        <v>161</v>
      </c>
      <c r="S15" s="2449"/>
      <c r="T15" s="2450"/>
      <c r="U15" s="2451"/>
      <c r="V15" s="2452"/>
      <c r="W15" s="2453"/>
      <c r="Y15" s="1283"/>
      <c r="Z15" s="1283"/>
      <c r="AA15" s="1283"/>
      <c r="AB15" s="1283"/>
      <c r="AC15" s="1283"/>
      <c r="AD15" s="1283"/>
      <c r="AE15" s="1283"/>
      <c r="AF15" s="1283"/>
      <c r="AG15" s="1283"/>
      <c r="AH15" s="1283"/>
      <c r="AI15" s="1283"/>
      <c r="AJ15" s="1283"/>
      <c r="AK15" s="1283"/>
      <c r="AL15" s="1283"/>
      <c r="AM15" s="1283"/>
      <c r="AN15" s="1283"/>
      <c r="AO15" s="1283"/>
      <c r="AP15" s="1283"/>
      <c r="AQ15" s="1283"/>
    </row>
    <row s="1877" customFormat="1" customHeight="1" ht="17.25">
      <c r="A16" s="306"/>
      <c r="C16" s="305"/>
      <c r="D16" s="1973"/>
      <c r="E16" s="1975"/>
      <c r="F16" s="1978"/>
      <c r="G16" s="2440"/>
      <c r="H16" s="2336"/>
      <c r="I16" s="2336"/>
      <c r="J16" s="2372"/>
      <c r="K16" s="1968"/>
      <c r="L16" s="2454"/>
      <c r="M16" s="2455"/>
      <c r="N16" s="2456" t="s">
        <v>162</v>
      </c>
      <c r="O16" s="2457"/>
      <c r="P16" s="2458"/>
      <c r="Q16" s="2459"/>
      <c r="R16" s="2460"/>
      <c r="S16" s="2461"/>
      <c r="T16" s="2462"/>
      <c r="U16" s="2463"/>
      <c r="V16" s="2464"/>
      <c r="W16" s="2465"/>
      <c r="Y16" s="1275"/>
      <c r="Z16" s="1275"/>
      <c r="AA16" s="1275"/>
      <c r="AB16" s="1275"/>
      <c r="AC16" s="1275"/>
      <c r="AD16" s="1275"/>
      <c r="AE16" s="1275"/>
      <c r="AF16" s="1275"/>
      <c r="AG16" s="1275"/>
      <c r="AH16" s="1275"/>
      <c r="AI16" s="1275"/>
      <c r="AJ16" s="1275"/>
      <c r="AK16" s="1275"/>
      <c r="AL16" s="1275"/>
      <c r="AM16" s="1275"/>
      <c r="AN16" s="1275"/>
      <c r="AO16" s="1275"/>
      <c r="AP16" s="1275"/>
      <c r="AQ16" s="1275"/>
    </row>
    <row customHeight="1" ht="17.25">
      <c r="A17" s="1864"/>
      <c r="B17" s="1877"/>
      <c r="C17" s="1866"/>
      <c r="D17" s="1855"/>
      <c r="E17" s="1871"/>
      <c r="F17" s="1809"/>
      <c r="G17" s="1872"/>
      <c r="H17" s="2335" t="s">
        <v>163</v>
      </c>
      <c r="I17" s="2335" t="s">
        <v>109</v>
      </c>
      <c r="J17" s="2371" t="s">
        <v>164</v>
      </c>
      <c r="K17" s="2026" t="s">
        <v>56</v>
      </c>
      <c r="L17" s="1964"/>
      <c r="M17" s="1964" t="s">
        <v>108</v>
      </c>
      <c r="N17" s="2466" t="s">
        <v>24</v>
      </c>
      <c r="O17" s="2026" t="s">
        <v>56</v>
      </c>
      <c r="P17" s="1964"/>
      <c r="Q17" s="1964" t="s">
        <v>108</v>
      </c>
      <c r="R17" s="2467" t="s">
        <v>24</v>
      </c>
      <c r="S17" s="1963" t="s">
        <v>56</v>
      </c>
      <c r="T17" s="1836"/>
      <c r="U17" s="1836" t="s">
        <v>108</v>
      </c>
      <c r="V17" s="2468" t="s">
        <v>24</v>
      </c>
      <c r="W17" s="1826"/>
      <c r="X17" s="1877"/>
      <c r="Y17" s="1283"/>
      <c r="Z17" s="1283"/>
      <c r="AA17" s="1283"/>
      <c r="AB17" s="1283"/>
      <c r="AC17" s="1283" t="s">
        <v>155</v>
      </c>
      <c r="AD17" s="1283" t="s">
        <v>165</v>
      </c>
      <c r="AE17" s="1283" t="s">
        <v>166</v>
      </c>
      <c r="AF17" s="1283" t="s">
        <v>167</v>
      </c>
      <c r="AG17" s="1283" t="s">
        <v>168</v>
      </c>
      <c r="AH17"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7" s="1283" t="str">
        <f>IF($G$13=0,"",$G$13)</f>
        <v>Производство тепловой энергии. Комбинированная выработка с уст. мощностью производства электрической энергии 25 МВт и более, Сбыт. Тепловая энергия</v>
      </c>
      <c r="AJ17" s="1283" t="str">
        <f>IF($J$17=0,"",$J$17)</f>
        <v>Тариф на тепловую энергию, поставляемую ПАО "ТГК-1" на коллекторах источников тепловой энергии потребителям, расположенным на территории Санкт-Петербурга</v>
      </c>
      <c r="AK17" s="1283" t="str">
        <f>IF($K$17="нет","без дифференциации",IF($N$17=0,"",$N$17))</f>
        <v>без дифференциации</v>
      </c>
      <c r="AL17" s="1868" t="str">
        <f>IF($O$17="нет","без дифференциации",IF($R$17=0,"",$R$17))</f>
        <v>без дифференциации</v>
      </c>
      <c r="AM17" s="1868" t="str">
        <f>IF($S$17="нет","без дифференциации",IF($V$17=0,"",$V$17))</f>
        <v>без дифференциации</v>
      </c>
      <c r="AN17" s="1283" t="str">
        <f>$I$17</f>
        <v>2</v>
      </c>
      <c r="AO17" s="1283" t="str">
        <f>$I$17&amp;"."&amp;$M$17</f>
        <v>2.1</v>
      </c>
      <c r="AP17" s="1283" t="str">
        <f>$I$17&amp;"."&amp;$M$17&amp;"."&amp;$Q$17</f>
        <v>2.1.1</v>
      </c>
      <c r="AQ17" s="1283" t="str">
        <f>$I$17&amp;"."&amp;$M$17&amp;"."&amp;$Q$17&amp;"."&amp;$U$17</f>
        <v>2.1.1.1</v>
      </c>
      <c r="AR17" s="1877"/>
    </row>
    <row customHeight="1" ht="17.25">
      <c r="A18" s="1864"/>
      <c r="B18" s="1877"/>
      <c r="C18" s="1869"/>
      <c r="D18" s="1855"/>
      <c r="E18" s="1871"/>
      <c r="F18" s="1809"/>
      <c r="G18" s="1872"/>
      <c r="H18" s="2335"/>
      <c r="I18" s="2335"/>
      <c r="J18" s="2371"/>
      <c r="K18" s="2027"/>
      <c r="L18" s="1964"/>
      <c r="M18" s="1964"/>
      <c r="N18" s="2466" t="s">
        <v>24</v>
      </c>
      <c r="O18" s="2027"/>
      <c r="P18" s="1964"/>
      <c r="Q18" s="1964"/>
      <c r="R18" s="2467" t="s">
        <v>24</v>
      </c>
      <c r="S18" s="1963"/>
      <c r="T18" s="302"/>
      <c r="U18" s="303"/>
      <c r="V18" s="303" t="s">
        <v>160</v>
      </c>
      <c r="W18" s="304"/>
      <c r="X18" s="1877"/>
      <c r="Y18" s="1275"/>
      <c r="Z18" s="1275"/>
      <c r="AA18" s="1275"/>
      <c r="AB18" s="1275"/>
      <c r="AC18" s="1275"/>
      <c r="AD18" s="1275"/>
      <c r="AE18" s="1275"/>
      <c r="AF18" s="1275"/>
      <c r="AG18" s="1275"/>
      <c r="AH18" s="1275"/>
      <c r="AI18" s="1275"/>
      <c r="AJ18" s="1275"/>
      <c r="AK18" s="1275"/>
      <c r="AL18" s="1877"/>
      <c r="AM18" s="1877"/>
      <c r="AN18" s="1877"/>
      <c r="AO18" s="1877"/>
      <c r="AP18" s="1877"/>
      <c r="AQ18" s="1877"/>
      <c r="AR18" s="1877"/>
    </row>
    <row customHeight="1" ht="17.25">
      <c r="A19" s="1864"/>
      <c r="B19" s="1877"/>
      <c r="C19" s="1869"/>
      <c r="D19" s="1855"/>
      <c r="E19" s="1871"/>
      <c r="F19" s="1809"/>
      <c r="G19" s="1872"/>
      <c r="H19" s="2336"/>
      <c r="I19" s="2336"/>
      <c r="J19" s="2372"/>
      <c r="K19" s="2027"/>
      <c r="L19" s="2336"/>
      <c r="M19" s="2336"/>
      <c r="N19" s="2469" t="s">
        <v>24</v>
      </c>
      <c r="O19" s="1968"/>
      <c r="P19" s="302"/>
      <c r="Q19" s="303"/>
      <c r="R19" s="303" t="s">
        <v>161</v>
      </c>
      <c r="S19" s="1870"/>
      <c r="T19" s="1870"/>
      <c r="U19" s="1870"/>
      <c r="V19" s="1870"/>
      <c r="W19" s="304"/>
      <c r="X19" s="1877"/>
      <c r="Y19" s="1275"/>
      <c r="Z19" s="1275"/>
      <c r="AA19" s="1275"/>
      <c r="AB19" s="1275"/>
      <c r="AC19" s="1275"/>
      <c r="AD19" s="1275"/>
      <c r="AE19" s="1275"/>
      <c r="AF19" s="1275"/>
      <c r="AG19" s="1275"/>
      <c r="AH19" s="1275"/>
      <c r="AI19" s="1275"/>
      <c r="AJ19" s="1275"/>
      <c r="AK19" s="1275"/>
      <c r="AL19" s="1877"/>
      <c r="AM19" s="1877"/>
      <c r="AN19" s="1877"/>
      <c r="AO19" s="1877"/>
      <c r="AP19" s="1877"/>
      <c r="AQ19" s="1877"/>
      <c r="AR19" s="1877"/>
    </row>
    <row customHeight="1" ht="17.25">
      <c r="A20" s="1864"/>
      <c r="B20" s="1877"/>
      <c r="C20" s="1869"/>
      <c r="D20" s="1855"/>
      <c r="E20" s="1871"/>
      <c r="F20" s="1809"/>
      <c r="G20" s="1872"/>
      <c r="H20" s="2336"/>
      <c r="I20" s="2336"/>
      <c r="J20" s="2372"/>
      <c r="K20" s="1968"/>
      <c r="L20" s="302"/>
      <c r="M20" s="303"/>
      <c r="N20" s="303" t="s">
        <v>162</v>
      </c>
      <c r="O20" s="303"/>
      <c r="P20" s="303"/>
      <c r="Q20" s="303"/>
      <c r="R20" s="303"/>
      <c r="S20" s="1870"/>
      <c r="T20" s="1870"/>
      <c r="U20" s="1870"/>
      <c r="V20" s="1870"/>
      <c r="W20" s="304"/>
      <c r="X20" s="1877"/>
      <c r="Y20" s="1275"/>
      <c r="Z20" s="1275"/>
      <c r="AA20" s="1275"/>
      <c r="AB20" s="1275"/>
      <c r="AC20" s="1275"/>
      <c r="AD20" s="1275"/>
      <c r="AE20" s="1275"/>
      <c r="AF20" s="1275"/>
      <c r="AG20" s="1275"/>
      <c r="AH20" s="1275"/>
      <c r="AI20" s="1275"/>
      <c r="AJ20" s="1275"/>
      <c r="AK20" s="1275"/>
      <c r="AL20" s="1877"/>
      <c r="AM20" s="1877"/>
      <c r="AN20" s="1877"/>
      <c r="AO20" s="1877"/>
      <c r="AP20" s="1877"/>
      <c r="AQ20" s="1877"/>
      <c r="AR20" s="1877"/>
    </row>
    <row customHeight="1" ht="17.25">
      <c r="A21" s="1864"/>
      <c r="B21" s="1877"/>
      <c r="C21" s="1866"/>
      <c r="D21" s="1855"/>
      <c r="E21" s="1871"/>
      <c r="F21" s="1809"/>
      <c r="G21" s="1872"/>
      <c r="H21" s="2335" t="s">
        <v>163</v>
      </c>
      <c r="I21" s="2335" t="s">
        <v>89</v>
      </c>
      <c r="J21" s="2371" t="s">
        <v>169</v>
      </c>
      <c r="K21" s="2026" t="s">
        <v>56</v>
      </c>
      <c r="L21" s="1964"/>
      <c r="M21" s="1964" t="s">
        <v>108</v>
      </c>
      <c r="N21" s="2466" t="s">
        <v>24</v>
      </c>
      <c r="O21" s="2026" t="s">
        <v>56</v>
      </c>
      <c r="P21" s="1964"/>
      <c r="Q21" s="1964" t="s">
        <v>108</v>
      </c>
      <c r="R21" s="2467" t="s">
        <v>24</v>
      </c>
      <c r="S21" s="1963" t="s">
        <v>56</v>
      </c>
      <c r="T21" s="1836"/>
      <c r="U21" s="1836" t="s">
        <v>108</v>
      </c>
      <c r="V21" s="2468" t="s">
        <v>24</v>
      </c>
      <c r="W21" s="1826"/>
      <c r="X21" s="1877"/>
      <c r="Y21" s="1283"/>
      <c r="Z21" s="1283"/>
      <c r="AA21" s="1283"/>
      <c r="AB21" s="1283"/>
      <c r="AC21" s="1283" t="s">
        <v>155</v>
      </c>
      <c r="AD21" s="1283" t="s">
        <v>170</v>
      </c>
      <c r="AE21" s="1283" t="s">
        <v>171</v>
      </c>
      <c r="AF21" s="1283" t="s">
        <v>172</v>
      </c>
      <c r="AG21" s="1283" t="s">
        <v>173</v>
      </c>
      <c r="AH21"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21" s="1283" t="str">
        <f>IF($G$13=0,"",$G$13)</f>
        <v>Производство тепловой энергии. Комбинированная выработка с уст. мощностью производства электрической энергии 25 МВт и более, Сбыт. Тепловая энергия</v>
      </c>
      <c r="AJ21" s="1283" t="str">
        <f>IF($J$21=0,"",$J$21)</f>
        <v>Тариф на тепловую энергию (мощность), поставляемую ПАО "ТГК-1" теплоснабжающим, теплосетевым организациям, приобретающим тепловую энергию с целью компенсации потерь тепловой энергии</v>
      </c>
      <c r="AK21" s="1283" t="str">
        <f>IF($K$21="нет","без дифференциации",IF($N$21=0,"",$N$21))</f>
        <v>без дифференциации</v>
      </c>
      <c r="AL21" s="1868" t="str">
        <f>IF($O$21="нет","без дифференциации",IF($R$21=0,"",$R$21))</f>
        <v>без дифференциации</v>
      </c>
      <c r="AM21" s="1868" t="str">
        <f>IF($S$21="нет","без дифференциации",IF($V$21=0,"",$V$21))</f>
        <v>без дифференциации</v>
      </c>
      <c r="AN21" s="1283" t="str">
        <f>$I$21</f>
        <v>3</v>
      </c>
      <c r="AO21" s="1283" t="str">
        <f>$I$21&amp;"."&amp;$M$21</f>
        <v>3.1</v>
      </c>
      <c r="AP21" s="1283" t="str">
        <f>$I$21&amp;"."&amp;$M$21&amp;"."&amp;$Q$21</f>
        <v>3.1.1</v>
      </c>
      <c r="AQ21" s="1283" t="str">
        <f>$I$21&amp;"."&amp;$M$21&amp;"."&amp;$Q$21&amp;"."&amp;$U$21</f>
        <v>3.1.1.1</v>
      </c>
      <c r="AR21" s="1877"/>
    </row>
    <row customHeight="1" ht="17.25">
      <c r="A22" s="1864"/>
      <c r="B22" s="1877"/>
      <c r="C22" s="1869"/>
      <c r="D22" s="1855"/>
      <c r="E22" s="1871"/>
      <c r="F22" s="1809"/>
      <c r="G22" s="1872"/>
      <c r="H22" s="2335"/>
      <c r="I22" s="2335"/>
      <c r="J22" s="2371"/>
      <c r="K22" s="2027"/>
      <c r="L22" s="1964"/>
      <c r="M22" s="1964"/>
      <c r="N22" s="2466" t="s">
        <v>24</v>
      </c>
      <c r="O22" s="2027"/>
      <c r="P22" s="1964"/>
      <c r="Q22" s="1964"/>
      <c r="R22" s="2467" t="s">
        <v>24</v>
      </c>
      <c r="S22" s="1963"/>
      <c r="T22" s="302"/>
      <c r="U22" s="303"/>
      <c r="V22" s="303" t="s">
        <v>160</v>
      </c>
      <c r="W22" s="304"/>
      <c r="X22" s="1877"/>
      <c r="Y22" s="1275"/>
      <c r="Z22" s="1275"/>
      <c r="AA22" s="1275"/>
      <c r="AB22" s="1275"/>
      <c r="AC22" s="1275"/>
      <c r="AD22" s="1275"/>
      <c r="AE22" s="1275"/>
      <c r="AF22" s="1275"/>
      <c r="AG22" s="1275"/>
      <c r="AH22" s="1275"/>
      <c r="AI22" s="1275"/>
      <c r="AJ22" s="1275"/>
      <c r="AK22" s="1275"/>
      <c r="AL22" s="1877"/>
      <c r="AM22" s="1877"/>
      <c r="AN22" s="1877"/>
      <c r="AO22" s="1877"/>
      <c r="AP22" s="1877"/>
      <c r="AQ22" s="1877"/>
      <c r="AR22" s="1877"/>
    </row>
    <row customHeight="1" ht="17.25">
      <c r="A23" s="1864"/>
      <c r="B23" s="1877"/>
      <c r="C23" s="1869"/>
      <c r="D23" s="1855"/>
      <c r="E23" s="1871"/>
      <c r="F23" s="1809"/>
      <c r="G23" s="1872"/>
      <c r="H23" s="2336"/>
      <c r="I23" s="2336"/>
      <c r="J23" s="2372"/>
      <c r="K23" s="2027"/>
      <c r="L23" s="2336"/>
      <c r="M23" s="2336"/>
      <c r="N23" s="2469" t="s">
        <v>24</v>
      </c>
      <c r="O23" s="1968"/>
      <c r="P23" s="302"/>
      <c r="Q23" s="303"/>
      <c r="R23" s="303" t="s">
        <v>161</v>
      </c>
      <c r="S23" s="1870"/>
      <c r="T23" s="1870"/>
      <c r="U23" s="1870"/>
      <c r="V23" s="1870"/>
      <c r="W23" s="304"/>
      <c r="X23" s="1877"/>
      <c r="Y23" s="1275"/>
      <c r="Z23" s="1275"/>
      <c r="AA23" s="1275"/>
      <c r="AB23" s="1275"/>
      <c r="AC23" s="1275"/>
      <c r="AD23" s="1275"/>
      <c r="AE23" s="1275"/>
      <c r="AF23" s="1275"/>
      <c r="AG23" s="1275"/>
      <c r="AH23" s="1275"/>
      <c r="AI23" s="1275"/>
      <c r="AJ23" s="1275"/>
      <c r="AK23" s="1275"/>
      <c r="AL23" s="1877"/>
      <c r="AM23" s="1877"/>
      <c r="AN23" s="1877"/>
      <c r="AO23" s="1877"/>
      <c r="AP23" s="1877"/>
      <c r="AQ23" s="1877"/>
      <c r="AR23" s="1877"/>
    </row>
    <row customHeight="1" ht="17.25">
      <c r="A24" s="1864"/>
      <c r="B24" s="1877"/>
      <c r="C24" s="1869"/>
      <c r="D24" s="1855"/>
      <c r="E24" s="1871"/>
      <c r="F24" s="1809"/>
      <c r="G24" s="1872"/>
      <c r="H24" s="2336"/>
      <c r="I24" s="2336"/>
      <c r="J24" s="2372"/>
      <c r="K24" s="1968"/>
      <c r="L24" s="302"/>
      <c r="M24" s="303"/>
      <c r="N24" s="303" t="s">
        <v>162</v>
      </c>
      <c r="O24" s="303"/>
      <c r="P24" s="303"/>
      <c r="Q24" s="303"/>
      <c r="R24" s="303"/>
      <c r="S24" s="1870"/>
      <c r="T24" s="1870"/>
      <c r="U24" s="1870"/>
      <c r="V24" s="1870"/>
      <c r="W24" s="304"/>
      <c r="X24" s="1877"/>
      <c r="Y24" s="1275"/>
      <c r="Z24" s="1275"/>
      <c r="AA24" s="1275"/>
      <c r="AB24" s="1275"/>
      <c r="AC24" s="1275"/>
      <c r="AD24" s="1275"/>
      <c r="AE24" s="1275"/>
      <c r="AF24" s="1275"/>
      <c r="AG24" s="1275"/>
      <c r="AH24" s="1275"/>
      <c r="AI24" s="1275"/>
      <c r="AJ24" s="1275"/>
      <c r="AK24" s="1275"/>
      <c r="AL24" s="1877"/>
      <c r="AM24" s="1877"/>
      <c r="AN24" s="1877"/>
      <c r="AO24" s="1877"/>
      <c r="AP24" s="1877"/>
      <c r="AQ24" s="1877"/>
      <c r="AR24" s="1877"/>
    </row>
    <row customHeight="1" ht="17.25">
      <c r="A25" s="1864"/>
      <c r="B25" s="1877"/>
      <c r="C25" s="1866"/>
      <c r="D25" s="1855"/>
      <c r="E25" s="1871"/>
      <c r="F25" s="1809"/>
      <c r="G25" s="1872"/>
      <c r="H25" s="2335" t="s">
        <v>163</v>
      </c>
      <c r="I25" s="2335" t="s">
        <v>90</v>
      </c>
      <c r="J25" s="2371" t="s">
        <v>174</v>
      </c>
      <c r="K25" s="2026" t="s">
        <v>56</v>
      </c>
      <c r="L25" s="1964"/>
      <c r="M25" s="1964" t="s">
        <v>108</v>
      </c>
      <c r="N25" s="2466" t="s">
        <v>24</v>
      </c>
      <c r="O25" s="2026" t="s">
        <v>56</v>
      </c>
      <c r="P25" s="1964"/>
      <c r="Q25" s="1964" t="s">
        <v>108</v>
      </c>
      <c r="R25" s="2467" t="s">
        <v>24</v>
      </c>
      <c r="S25" s="1963" t="s">
        <v>56</v>
      </c>
      <c r="T25" s="1836"/>
      <c r="U25" s="1836" t="s">
        <v>108</v>
      </c>
      <c r="V25" s="2468" t="s">
        <v>24</v>
      </c>
      <c r="W25" s="1826"/>
      <c r="X25" s="1877"/>
      <c r="Y25" s="1283"/>
      <c r="Z25" s="1283"/>
      <c r="AA25" s="1283"/>
      <c r="AB25" s="1283"/>
      <c r="AC25" s="1283" t="s">
        <v>155</v>
      </c>
      <c r="AD25" s="1283" t="s">
        <v>175</v>
      </c>
      <c r="AE25" s="1283" t="s">
        <v>176</v>
      </c>
      <c r="AF25" s="1283" t="s">
        <v>177</v>
      </c>
      <c r="AG25" s="1283" t="s">
        <v>178</v>
      </c>
      <c r="AH25" s="1283"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25" s="1283" t="str">
        <f>IF($G$13=0,"",$G$13)</f>
        <v>Производство тепловой энергии. Комбинированная выработка с уст. мощностью производства электрической энергии 25 МВт и более, Сбыт. Тепловая энергия</v>
      </c>
      <c r="AJ25" s="1283" t="str">
        <f>IF($J$25=0,"",$J$25)</f>
        <v>Льготные тарифы на тепловую энергию, поставляемую ПАО "ТГК-1" потребителям, расположенным на территории Санкт-Петербурга</v>
      </c>
      <c r="AK25" s="1283" t="str">
        <f>IF($K$25="нет","без дифференциации",IF($N$25=0,"",$N$25))</f>
        <v>без дифференциации</v>
      </c>
      <c r="AL25" s="1868" t="str">
        <f>IF($O$25="нет","без дифференциации",IF($R$25=0,"",$R$25))</f>
        <v>без дифференциации</v>
      </c>
      <c r="AM25" s="1868" t="str">
        <f>IF($S$25="нет","без дифференциации",IF($V$25=0,"",$V$25))</f>
        <v>без дифференциации</v>
      </c>
      <c r="AN25" s="1283" t="str">
        <f>$I$25</f>
        <v>4</v>
      </c>
      <c r="AO25" s="1283" t="str">
        <f>$I$25&amp;"."&amp;$M$25</f>
        <v>4.1</v>
      </c>
      <c r="AP25" s="1283" t="str">
        <f>$I$25&amp;"."&amp;$M$25&amp;"."&amp;$Q$25</f>
        <v>4.1.1</v>
      </c>
      <c r="AQ25" s="1283" t="str">
        <f>$I$25&amp;"."&amp;$M$25&amp;"."&amp;$Q$25&amp;"."&amp;$U$25</f>
        <v>4.1.1.1</v>
      </c>
      <c r="AR25" s="1877"/>
    </row>
    <row customHeight="1" ht="17.25">
      <c r="A26" s="1864"/>
      <c r="B26" s="1877"/>
      <c r="C26" s="1869"/>
      <c r="D26" s="1855"/>
      <c r="E26" s="1871"/>
      <c r="F26" s="1809"/>
      <c r="G26" s="1872"/>
      <c r="H26" s="2335"/>
      <c r="I26" s="2335"/>
      <c r="J26" s="2371"/>
      <c r="K26" s="2027"/>
      <c r="L26" s="1964"/>
      <c r="M26" s="1964"/>
      <c r="N26" s="2466" t="s">
        <v>24</v>
      </c>
      <c r="O26" s="2027"/>
      <c r="P26" s="1964"/>
      <c r="Q26" s="1964"/>
      <c r="R26" s="2467" t="s">
        <v>24</v>
      </c>
      <c r="S26" s="1963"/>
      <c r="T26" s="302"/>
      <c r="U26" s="303"/>
      <c r="V26" s="303" t="s">
        <v>160</v>
      </c>
      <c r="W26" s="304"/>
      <c r="X26" s="1877"/>
      <c r="Y26" s="1275"/>
      <c r="Z26" s="1275"/>
      <c r="AA26" s="1275"/>
      <c r="AB26" s="1275"/>
      <c r="AC26" s="1275"/>
      <c r="AD26" s="1275"/>
      <c r="AE26" s="1275"/>
      <c r="AF26" s="1275"/>
      <c r="AG26" s="1275"/>
      <c r="AH26" s="1275"/>
      <c r="AI26" s="1275"/>
      <c r="AJ26" s="1275"/>
      <c r="AK26" s="1275"/>
      <c r="AL26" s="1877"/>
      <c r="AM26" s="1877"/>
      <c r="AN26" s="1877"/>
      <c r="AO26" s="1877"/>
      <c r="AP26" s="1877"/>
      <c r="AQ26" s="1877"/>
      <c r="AR26" s="1877"/>
    </row>
    <row customHeight="1" ht="17.25">
      <c r="A27" s="1864"/>
      <c r="B27" s="1877"/>
      <c r="C27" s="1869"/>
      <c r="D27" s="1855"/>
      <c r="E27" s="1871"/>
      <c r="F27" s="1809"/>
      <c r="G27" s="1872"/>
      <c r="H27" s="2336"/>
      <c r="I27" s="2336"/>
      <c r="J27" s="2372"/>
      <c r="K27" s="2027"/>
      <c r="L27" s="2336"/>
      <c r="M27" s="2336"/>
      <c r="N27" s="2469" t="s">
        <v>24</v>
      </c>
      <c r="O27" s="1968"/>
      <c r="P27" s="302"/>
      <c r="Q27" s="303"/>
      <c r="R27" s="303" t="s">
        <v>161</v>
      </c>
      <c r="S27" s="1870"/>
      <c r="T27" s="1870"/>
      <c r="U27" s="1870"/>
      <c r="V27" s="1870"/>
      <c r="W27" s="304"/>
      <c r="X27" s="1877"/>
      <c r="Y27" s="1275"/>
      <c r="Z27" s="1275"/>
      <c r="AA27" s="1275"/>
      <c r="AB27" s="1275"/>
      <c r="AC27" s="1275"/>
      <c r="AD27" s="1275"/>
      <c r="AE27" s="1275"/>
      <c r="AF27" s="1275"/>
      <c r="AG27" s="1275"/>
      <c r="AH27" s="1275"/>
      <c r="AI27" s="1275"/>
      <c r="AJ27" s="1275"/>
      <c r="AK27" s="1275"/>
      <c r="AL27" s="1877"/>
      <c r="AM27" s="1877"/>
      <c r="AN27" s="1877"/>
      <c r="AO27" s="1877"/>
      <c r="AP27" s="1877"/>
      <c r="AQ27" s="1877"/>
      <c r="AR27" s="1877"/>
    </row>
    <row customHeight="1" ht="17.25">
      <c r="A28" s="1864"/>
      <c r="B28" s="1877"/>
      <c r="C28" s="1869"/>
      <c r="D28" s="1855"/>
      <c r="E28" s="1871"/>
      <c r="F28" s="1809"/>
      <c r="G28" s="1872"/>
      <c r="H28" s="2336"/>
      <c r="I28" s="2336"/>
      <c r="J28" s="2372"/>
      <c r="K28" s="1968"/>
      <c r="L28" s="302"/>
      <c r="M28" s="303"/>
      <c r="N28" s="303" t="s">
        <v>162</v>
      </c>
      <c r="O28" s="303"/>
      <c r="P28" s="303"/>
      <c r="Q28" s="303"/>
      <c r="R28" s="303"/>
      <c r="S28" s="1870"/>
      <c r="T28" s="1870"/>
      <c r="U28" s="1870"/>
      <c r="V28" s="1870"/>
      <c r="W28" s="304"/>
      <c r="X28" s="1877"/>
      <c r="Y28" s="1275"/>
      <c r="Z28" s="1275"/>
      <c r="AA28" s="1275"/>
      <c r="AB28" s="1275"/>
      <c r="AC28" s="1275"/>
      <c r="AD28" s="1275"/>
      <c r="AE28" s="1275"/>
      <c r="AF28" s="1275"/>
      <c r="AG28" s="1275"/>
      <c r="AH28" s="1275"/>
      <c r="AI28" s="1275"/>
      <c r="AJ28" s="1275"/>
      <c r="AK28" s="1275"/>
      <c r="AL28" s="1877"/>
      <c r="AM28" s="1877"/>
      <c r="AN28" s="1877"/>
      <c r="AO28" s="1877"/>
      <c r="AP28" s="1877"/>
      <c r="AQ28" s="1877"/>
      <c r="AR28" s="1877"/>
    </row>
    <row s="1877" customFormat="1" customHeight="1" ht="17.25">
      <c r="A29" s="306"/>
      <c r="C29" s="305"/>
      <c r="D29" s="1974"/>
      <c r="E29" s="1976"/>
      <c r="F29" s="1979"/>
      <c r="G29" s="2470"/>
      <c r="H29" s="2471"/>
      <c r="I29" s="2472"/>
      <c r="J29" s="2473" t="s">
        <v>179</v>
      </c>
      <c r="K29" s="2474"/>
      <c r="L29" s="2475"/>
      <c r="M29" s="2476"/>
      <c r="N29" s="2477"/>
      <c r="O29" s="2478"/>
      <c r="P29" s="2479"/>
      <c r="Q29" s="2480"/>
      <c r="R29" s="2481"/>
      <c r="S29" s="2482"/>
      <c r="T29" s="2483"/>
      <c r="U29" s="2484"/>
      <c r="V29" s="2485"/>
      <c r="W29" s="2486"/>
      <c r="Y29" s="1275"/>
      <c r="Z29" s="1275"/>
      <c r="AA29" s="1275"/>
      <c r="AB29" s="1275"/>
      <c r="AC29" s="1275"/>
      <c r="AD29" s="1275"/>
      <c r="AE29" s="1275"/>
      <c r="AF29" s="1275"/>
      <c r="AG29" s="1275"/>
      <c r="AH29" s="1275"/>
      <c r="AI29" s="1275"/>
      <c r="AJ29" s="1275"/>
      <c r="AK29" s="1275"/>
      <c r="AL29" s="1275"/>
      <c r="AM29" s="1275"/>
      <c r="AN29" s="1275"/>
      <c r="AO29" s="1275"/>
      <c r="AP29" s="1275"/>
      <c r="AQ29" s="1275"/>
    </row>
    <row s="1877" customFormat="1" customHeight="1" ht="17.25">
      <c r="A30" s="306"/>
      <c r="C30" s="188"/>
      <c r="D30" s="1973">
        <v>2</v>
      </c>
      <c r="E30" s="1975" t="s">
        <v>180</v>
      </c>
      <c r="F30" s="1977" t="s">
        <v>56</v>
      </c>
      <c r="G30" s="1975"/>
      <c r="H30" s="1980"/>
      <c r="I30" s="1982"/>
      <c r="J30" s="1984"/>
      <c r="K30" s="1971"/>
      <c r="L30" s="1971"/>
      <c r="M30" s="1971"/>
      <c r="N30" s="1987"/>
      <c r="O30" s="1971"/>
      <c r="P30" s="1971"/>
      <c r="Q30" s="1971"/>
      <c r="R30" s="1990"/>
      <c r="S30" s="1971"/>
      <c r="T30" s="1437"/>
      <c r="U30" s="1437"/>
      <c r="V30" s="1436"/>
      <c r="W30" s="1313"/>
      <c r="X30" s="1283"/>
      <c r="Y30" s="1283"/>
      <c r="Z30" s="1283"/>
      <c r="AA30" s="1283"/>
      <c r="AB30" s="1283"/>
      <c r="AC30" s="1283" t="s">
        <v>181</v>
      </c>
      <c r="AD30" s="1283" t="s">
        <v>182</v>
      </c>
      <c r="AE30" s="1283" t="s">
        <v>183</v>
      </c>
      <c r="AF30" s="1283" t="s">
        <v>184</v>
      </c>
      <c r="AG30" s="1283" t="s">
        <v>185</v>
      </c>
      <c r="AH30" s="1283" t="str">
        <f>IF($E$30=0,"",$E$30)</f>
        <v>Тарифы на тепловую энергию (мощность), поставляемую теплоснабжающими организациями потребителям, другим теплоснабжающим организациям</v>
      </c>
      <c r="AI30" s="1283" t="str">
        <f>IF($G$30=0,"",$G$30)</f>
        <v/>
      </c>
      <c r="AJ30" s="1283" t="str">
        <f>IF($J$30=0,"",$J$30)</f>
        <v/>
      </c>
      <c r="AK30" s="1283" t="str">
        <f>IF($K$30="нет","без дифференциации",IF($N$30=0,"",$N$30))</f>
        <v/>
      </c>
      <c r="AL30" s="1283" t="str">
        <f>IF($O$30="нет","без дифференциации",IF($R$30=0,"",$R$30))</f>
        <v/>
      </c>
      <c r="AM30" s="1283" t="str">
        <f>IF($S$30="нет","без дифференциации",IF($V$30=0,"",$V$30))</f>
        <v/>
      </c>
      <c r="AN30" s="1797">
        <f>$I$30</f>
        <v>0</v>
      </c>
      <c r="AO30" s="1283" t="str">
        <f>$I$30&amp;"."&amp;$M$30</f>
        <v>.</v>
      </c>
      <c r="AP30" s="1275" t="str">
        <f>$I$30&amp;"."&amp;$M$30&amp;"."&amp;$Q$30</f>
        <v>..</v>
      </c>
      <c r="AQ30" s="1275" t="str">
        <f>$I$30&amp;"."&amp;$M$30&amp;"."&amp;$Q$30&amp;"."&amp;$U$30</f>
        <v>...</v>
      </c>
    </row>
    <row s="1877" customFormat="1" customHeight="1" ht="17.25">
      <c r="A31" s="306"/>
      <c r="C31" s="305"/>
      <c r="D31" s="1973"/>
      <c r="E31" s="1975"/>
      <c r="F31" s="1978"/>
      <c r="G31" s="1975"/>
      <c r="H31" s="1981"/>
      <c r="I31" s="1983"/>
      <c r="J31" s="1985"/>
      <c r="K31" s="1972"/>
      <c r="L31" s="1972"/>
      <c r="M31" s="1972"/>
      <c r="N31" s="1988"/>
      <c r="O31" s="1972"/>
      <c r="P31" s="1972"/>
      <c r="Q31" s="1972"/>
      <c r="R31" s="1989"/>
      <c r="S31" s="1972"/>
      <c r="T31" s="1314"/>
      <c r="U31" s="1314"/>
      <c r="V31" s="1314"/>
      <c r="W31" s="1315"/>
      <c r="X31" s="1275"/>
      <c r="Y31" s="1275"/>
      <c r="Z31" s="1275"/>
      <c r="AA31" s="1275"/>
      <c r="AB31" s="1275"/>
      <c r="AC31" s="1275"/>
      <c r="AD31" s="1275"/>
      <c r="AE31" s="1275"/>
      <c r="AF31" s="1275"/>
      <c r="AG31" s="1275"/>
      <c r="AH31" s="1275"/>
      <c r="AI31" s="1275"/>
      <c r="AJ31" s="1275"/>
      <c r="AK31" s="1275"/>
      <c r="AL31" s="1275"/>
      <c r="AM31" s="1275"/>
      <c r="AN31" s="1275"/>
      <c r="AO31" s="1275"/>
      <c r="AP31" s="1275"/>
      <c r="AQ31" s="1275"/>
    </row>
    <row s="1877" customFormat="1" customHeight="1" ht="17.25">
      <c r="A32" s="306"/>
      <c r="C32" s="305"/>
      <c r="D32" s="1974"/>
      <c r="E32" s="1976"/>
      <c r="F32" s="1978"/>
      <c r="G32" s="1976"/>
      <c r="H32" s="1981"/>
      <c r="I32" s="1983"/>
      <c r="J32" s="1986"/>
      <c r="K32" s="1972"/>
      <c r="L32" s="1972"/>
      <c r="M32" s="1972"/>
      <c r="N32" s="1989"/>
      <c r="O32" s="1972"/>
      <c r="P32" s="1435"/>
      <c r="Q32" s="1314"/>
      <c r="R32" s="1314"/>
      <c r="S32" s="317"/>
      <c r="T32" s="317"/>
      <c r="U32" s="317"/>
      <c r="V32" s="317"/>
      <c r="W32" s="1315"/>
      <c r="X32" s="1275"/>
      <c r="Y32" s="1275"/>
      <c r="Z32" s="1275"/>
      <c r="AA32" s="1275"/>
      <c r="AB32" s="1275"/>
      <c r="AC32" s="1275"/>
      <c r="AD32" s="1275"/>
      <c r="AE32" s="1275"/>
      <c r="AF32" s="1275"/>
      <c r="AG32" s="1275"/>
      <c r="AH32" s="1275"/>
      <c r="AI32" s="1275"/>
      <c r="AJ32" s="1275"/>
      <c r="AK32" s="1275"/>
      <c r="AL32" s="1275"/>
      <c r="AM32" s="1275"/>
      <c r="AN32" s="1275"/>
      <c r="AO32" s="1275"/>
      <c r="AP32" s="1275"/>
      <c r="AQ32" s="1275"/>
    </row>
    <row s="1877" customFormat="1" customHeight="1" ht="17.25">
      <c r="A33" s="306"/>
      <c r="C33" s="305"/>
      <c r="D33" s="1974"/>
      <c r="E33" s="1976"/>
      <c r="F33" s="1978"/>
      <c r="G33" s="1976"/>
      <c r="H33" s="1981"/>
      <c r="I33" s="1983"/>
      <c r="J33" s="1986"/>
      <c r="K33" s="1972"/>
      <c r="L33" s="1314"/>
      <c r="M33" s="1314"/>
      <c r="N33" s="1314"/>
      <c r="O33" s="1314"/>
      <c r="P33" s="1314"/>
      <c r="Q33" s="1314"/>
      <c r="R33" s="1314"/>
      <c r="S33" s="317"/>
      <c r="T33" s="317"/>
      <c r="U33" s="317"/>
      <c r="V33" s="317"/>
      <c r="W33" s="1315"/>
      <c r="X33" s="1275"/>
      <c r="Y33" s="1275"/>
      <c r="Z33" s="1275"/>
      <c r="AA33" s="1275"/>
      <c r="AB33" s="1275"/>
      <c r="AC33" s="1275"/>
      <c r="AD33" s="1275"/>
      <c r="AE33" s="1275"/>
      <c r="AF33" s="1275"/>
      <c r="AG33" s="1275"/>
      <c r="AH33" s="1275"/>
      <c r="AI33" s="1275"/>
      <c r="AJ33" s="1275"/>
      <c r="AK33" s="1275"/>
      <c r="AL33" s="1275"/>
      <c r="AM33" s="1275"/>
      <c r="AN33" s="1275"/>
      <c r="AO33" s="1275"/>
      <c r="AP33" s="1275"/>
      <c r="AQ33" s="1275"/>
    </row>
    <row s="1877" customFormat="1" customHeight="1" ht="17.25">
      <c r="A34" s="306"/>
      <c r="C34" s="305"/>
      <c r="D34" s="1974"/>
      <c r="E34" s="1976"/>
      <c r="F34" s="1979"/>
      <c r="G34" s="1976"/>
      <c r="H34" s="1316"/>
      <c r="I34" s="1317"/>
      <c r="J34" s="1317"/>
      <c r="K34" s="1317"/>
      <c r="L34" s="1317"/>
      <c r="M34" s="1317"/>
      <c r="N34" s="1317"/>
      <c r="O34" s="1317"/>
      <c r="P34" s="1317"/>
      <c r="Q34" s="1317"/>
      <c r="R34" s="1317"/>
      <c r="S34" s="1318"/>
      <c r="T34" s="1318"/>
      <c r="U34" s="1318"/>
      <c r="V34" s="1318"/>
      <c r="W34" s="1319"/>
      <c r="X34" s="1275"/>
      <c r="Y34" s="1275"/>
      <c r="Z34" s="1275"/>
      <c r="AA34" s="1275"/>
      <c r="AB34" s="1275"/>
      <c r="AC34" s="1275"/>
      <c r="AD34" s="1275"/>
      <c r="AE34" s="1275"/>
      <c r="AF34" s="1275"/>
      <c r="AG34" s="1275"/>
      <c r="AH34" s="1275"/>
      <c r="AI34" s="1275"/>
      <c r="AJ34" s="1275"/>
      <c r="AK34" s="1275"/>
      <c r="AL34" s="1275"/>
      <c r="AM34" s="1275"/>
      <c r="AN34" s="1275"/>
      <c r="AO34" s="1275"/>
      <c r="AP34" s="1275"/>
      <c r="AQ34" s="1275"/>
    </row>
    <row s="1877" customFormat="1" customHeight="1" ht="17.25">
      <c r="A35" s="306"/>
      <c r="C35" s="188"/>
      <c r="D35" s="1973">
        <v>3</v>
      </c>
      <c r="E35" s="1975" t="s">
        <v>186</v>
      </c>
      <c r="F35" s="1977" t="s">
        <v>61</v>
      </c>
      <c r="G35" s="2440" t="str">
        <f>INDEX(HEAT_PT_VED_NAME,MATCH(4190067,HEAT_PT_VED_ID,0))</f>
        <v>Производство. Теплоноситель</v>
      </c>
      <c r="H35" s="2361"/>
      <c r="I35" s="2361">
        <v>1</v>
      </c>
      <c r="J35" s="2371" t="s">
        <v>187</v>
      </c>
      <c r="K35" s="2026" t="s">
        <v>56</v>
      </c>
      <c r="L35" s="1964"/>
      <c r="M35" s="1964" t="s">
        <v>108</v>
      </c>
      <c r="N35" s="434" t="s">
        <v>24</v>
      </c>
      <c r="O35" s="2026" t="s">
        <v>56</v>
      </c>
      <c r="P35" s="1964"/>
      <c r="Q35" s="1964" t="s">
        <v>108</v>
      </c>
      <c r="R35" s="2441" t="s">
        <v>24</v>
      </c>
      <c r="S35" s="1963" t="s">
        <v>56</v>
      </c>
      <c r="T35" s="1964"/>
      <c r="U35" s="1964" t="s">
        <v>108</v>
      </c>
      <c r="V35" s="2441" t="s">
        <v>24</v>
      </c>
      <c r="W35" s="2371"/>
      <c r="X35" s="1283"/>
      <c r="Y35" s="1283"/>
      <c r="Z35" s="1283"/>
      <c r="AA35" s="1283"/>
      <c r="AB35" s="1283" t="s">
        <v>188</v>
      </c>
      <c r="AC35" s="1283" t="s">
        <v>189</v>
      </c>
      <c r="AD35" s="1283" t="s">
        <v>190</v>
      </c>
      <c r="AE35" s="1283" t="s">
        <v>191</v>
      </c>
      <c r="AF35" s="1283" t="s">
        <v>192</v>
      </c>
      <c r="AG35" s="1283" t="s">
        <v>193</v>
      </c>
      <c r="AH35" s="1283" t="str">
        <f>IF($E$35=0,"",$E$35)</f>
        <v>Тарифы на теплоноситель, поставляемый теплоснабжающими организациями потребителям, другим теплоснабжающим организациям</v>
      </c>
      <c r="AI35" s="1283" t="str">
        <f>IF($G$35=0,"",$G$35)</f>
        <v>Производство. Теплоноситель</v>
      </c>
      <c r="AJ35" s="1283" t="str">
        <f>IF($J$35=0,"",$J$35)</f>
        <v>Тариф на теплоноситель, поставляемый ПАО "ТГК-1" потребителям, расположенным на территории Санкт-Петербурга</v>
      </c>
      <c r="AK35" s="1283" t="str">
        <f>IF($K$35="нет","без дифференциации",IF($N$35=0,"",$N$35))</f>
        <v>без дифференциации</v>
      </c>
      <c r="AL35" s="1283" t="str">
        <f>IF($O$35="нет","без дифференциации",IF($R$35=0,"",$R$35))</f>
        <v>без дифференциации</v>
      </c>
      <c r="AM35" s="1283" t="str">
        <f>IF($S$35="нет","без дифференциации",IF($V$35=0,"",$V$35))</f>
        <v>без дифференциации</v>
      </c>
      <c r="AN35" s="1797">
        <f>$I$35</f>
        <v>1</v>
      </c>
      <c r="AO35" s="1283" t="str">
        <f>$I$35&amp;"."&amp;$M$35</f>
        <v>1.1</v>
      </c>
      <c r="AP35" s="1275" t="str">
        <f>$I$35&amp;"."&amp;$M$35&amp;"."&amp;$Q$35</f>
        <v>1.1.1</v>
      </c>
      <c r="AQ35" s="1275" t="str">
        <f>$I$35&amp;"."&amp;$M$35&amp;"."&amp;$Q$35&amp;"."&amp;$U$35</f>
        <v>1.1.1.1</v>
      </c>
    </row>
    <row s="1877" customFormat="1" customHeight="1" ht="17.25">
      <c r="A36" s="306"/>
      <c r="C36" s="305"/>
      <c r="D36" s="1973"/>
      <c r="E36" s="1975"/>
      <c r="F36" s="1978"/>
      <c r="G36" s="2440"/>
      <c r="H36" s="2361"/>
      <c r="I36" s="2361"/>
      <c r="J36" s="2371"/>
      <c r="K36" s="2027"/>
      <c r="L36" s="1964"/>
      <c r="M36" s="1964"/>
      <c r="N36" s="434" t="s">
        <v>24</v>
      </c>
      <c r="O36" s="2027"/>
      <c r="P36" s="1964"/>
      <c r="Q36" s="1964"/>
      <c r="R36" s="2441" t="s">
        <v>24</v>
      </c>
      <c r="S36" s="1963"/>
      <c r="T36" s="2487"/>
      <c r="U36" s="2488"/>
      <c r="V36" s="2489" t="s">
        <v>160</v>
      </c>
      <c r="W36" s="2490"/>
      <c r="X36" s="1275"/>
      <c r="Y36" s="1275"/>
      <c r="Z36" s="1275"/>
      <c r="AA36" s="1275"/>
      <c r="AB36" s="1275"/>
      <c r="AC36" s="1275"/>
      <c r="AD36" s="1275"/>
      <c r="AE36" s="1275"/>
      <c r="AF36" s="1275"/>
      <c r="AG36" s="1275"/>
      <c r="AH36" s="1275"/>
      <c r="AI36" s="1275"/>
      <c r="AJ36" s="1275"/>
      <c r="AK36" s="1275"/>
      <c r="AL36" s="1275"/>
      <c r="AM36" s="1275"/>
      <c r="AN36" s="1275"/>
      <c r="AO36" s="1275"/>
      <c r="AP36" s="1275"/>
      <c r="AQ36" s="1275"/>
    </row>
    <row s="1877" customFormat="1" customHeight="1" ht="17.25">
      <c r="A37" s="306"/>
      <c r="C37" s="305"/>
      <c r="D37" s="1974"/>
      <c r="E37" s="1976"/>
      <c r="F37" s="1978"/>
      <c r="G37" s="2470"/>
      <c r="H37" s="2336"/>
      <c r="I37" s="2336"/>
      <c r="J37" s="2372"/>
      <c r="K37" s="2027"/>
      <c r="L37" s="2336"/>
      <c r="M37" s="2336"/>
      <c r="N37" s="2441" t="s">
        <v>24</v>
      </c>
      <c r="O37" s="1968"/>
      <c r="P37" s="2491"/>
      <c r="Q37" s="2492"/>
      <c r="R37" s="2493" t="s">
        <v>161</v>
      </c>
      <c r="S37" s="2494"/>
      <c r="T37" s="2495"/>
      <c r="U37" s="2496"/>
      <c r="V37" s="2497"/>
      <c r="W37" s="2498"/>
      <c r="X37" s="1275"/>
      <c r="Y37" s="1275"/>
      <c r="Z37" s="1275"/>
      <c r="AA37" s="1275"/>
      <c r="AB37" s="1275"/>
      <c r="AC37" s="1275"/>
      <c r="AD37" s="1275"/>
      <c r="AE37" s="1275"/>
      <c r="AF37" s="1275"/>
      <c r="AG37" s="1275"/>
      <c r="AH37" s="1275"/>
      <c r="AI37" s="1275"/>
      <c r="AJ37" s="1275"/>
      <c r="AK37" s="1275"/>
      <c r="AL37" s="1275"/>
      <c r="AM37" s="1275"/>
      <c r="AN37" s="1275"/>
      <c r="AO37" s="1275"/>
      <c r="AP37" s="1275"/>
      <c r="AQ37" s="1275"/>
    </row>
    <row s="1877" customFormat="1" customHeight="1" ht="17.25">
      <c r="A38" s="306"/>
      <c r="C38" s="305"/>
      <c r="D38" s="1974"/>
      <c r="E38" s="1976"/>
      <c r="F38" s="1978"/>
      <c r="G38" s="2470"/>
      <c r="H38" s="2336"/>
      <c r="I38" s="2336"/>
      <c r="J38" s="2372"/>
      <c r="K38" s="1968"/>
      <c r="L38" s="2499"/>
      <c r="M38" s="2500"/>
      <c r="N38" s="2501" t="s">
        <v>162</v>
      </c>
      <c r="O38" s="2502"/>
      <c r="P38" s="2503"/>
      <c r="Q38" s="2504"/>
      <c r="R38" s="2505"/>
      <c r="S38" s="2506"/>
      <c r="T38" s="2507"/>
      <c r="U38" s="2508"/>
      <c r="V38" s="2509"/>
      <c r="W38" s="2510"/>
      <c r="X38" s="1275"/>
      <c r="Y38" s="1275"/>
      <c r="Z38" s="1275"/>
      <c r="AA38" s="1275"/>
      <c r="AB38" s="1275"/>
      <c r="AC38" s="1275"/>
      <c r="AD38" s="1275"/>
      <c r="AE38" s="1275"/>
      <c r="AF38" s="1275"/>
      <c r="AG38" s="1275"/>
      <c r="AH38" s="1275"/>
      <c r="AI38" s="1275"/>
      <c r="AJ38" s="1275"/>
      <c r="AK38" s="1275"/>
      <c r="AL38" s="1275"/>
      <c r="AM38" s="1275"/>
      <c r="AN38" s="1275"/>
      <c r="AO38" s="1275"/>
      <c r="AP38" s="1275"/>
      <c r="AQ38" s="1275"/>
    </row>
    <row s="1877" customFormat="1" customHeight="1" ht="17.25">
      <c r="A39" s="306"/>
      <c r="C39" s="305"/>
      <c r="D39" s="1974"/>
      <c r="E39" s="1976"/>
      <c r="F39" s="1979"/>
      <c r="G39" s="2470"/>
      <c r="H39" s="2511"/>
      <c r="I39" s="2512"/>
      <c r="J39" s="2513" t="s">
        <v>179</v>
      </c>
      <c r="K39" s="2514"/>
      <c r="L39" s="2515"/>
      <c r="M39" s="2516"/>
      <c r="N39" s="2517"/>
      <c r="O39" s="2518"/>
      <c r="P39" s="2519"/>
      <c r="Q39" s="2520"/>
      <c r="R39" s="2521"/>
      <c r="S39" s="2522"/>
      <c r="T39" s="2523"/>
      <c r="U39" s="2524"/>
      <c r="V39" s="2525"/>
      <c r="W39" s="2526"/>
      <c r="X39" s="1275"/>
      <c r="Y39" s="1275"/>
      <c r="Z39" s="1275"/>
      <c r="AA39" s="1275"/>
      <c r="AB39" s="1275"/>
      <c r="AC39" s="1275"/>
      <c r="AD39" s="1275"/>
      <c r="AE39" s="1275"/>
      <c r="AF39" s="1275"/>
      <c r="AG39" s="1275"/>
      <c r="AH39" s="1275"/>
      <c r="AI39" s="1275"/>
      <c r="AJ39" s="1275"/>
      <c r="AK39" s="1275"/>
      <c r="AL39" s="1275"/>
      <c r="AM39" s="1275"/>
      <c r="AN39" s="1275"/>
      <c r="AO39" s="1275"/>
      <c r="AP39" s="1275"/>
      <c r="AQ39" s="1275"/>
    </row>
    <row s="1877" customFormat="1" customHeight="1" ht="17.25">
      <c r="A40" s="306"/>
      <c r="C40" s="188"/>
      <c r="D40" s="1973">
        <v>4</v>
      </c>
      <c r="E40" s="1975" t="s">
        <v>194</v>
      </c>
      <c r="F40" s="1977" t="s">
        <v>61</v>
      </c>
      <c r="G40" s="2440" t="str">
        <f>"Производство. Теплоноситель"&amp;", "&amp;INDEX(HEAT_PT_VED_NAME,MATCH(4190071,HEAT_PT_VED_ID,0))</f>
        <v>Производство. Теплоноситель, Сбыт. Теплоноситель</v>
      </c>
      <c r="H40" s="2361"/>
      <c r="I40" s="2361">
        <v>1</v>
      </c>
      <c r="J40" s="2371" t="s">
        <v>195</v>
      </c>
      <c r="K40" s="2026" t="s">
        <v>56</v>
      </c>
      <c r="L40" s="1964"/>
      <c r="M40" s="1964" t="s">
        <v>108</v>
      </c>
      <c r="N40" s="434" t="s">
        <v>24</v>
      </c>
      <c r="O40" s="2026" t="s">
        <v>56</v>
      </c>
      <c r="P40" s="1964"/>
      <c r="Q40" s="1964" t="s">
        <v>108</v>
      </c>
      <c r="R40" s="2441" t="s">
        <v>24</v>
      </c>
      <c r="S40" s="1963" t="s">
        <v>56</v>
      </c>
      <c r="T40" s="1964"/>
      <c r="U40" s="1964" t="s">
        <v>108</v>
      </c>
      <c r="V40" s="2441" t="s">
        <v>24</v>
      </c>
      <c r="W40" s="2371"/>
      <c r="X40" s="1283"/>
      <c r="Y40" s="1283"/>
      <c r="Z40" s="1283"/>
      <c r="AA40" s="1283"/>
      <c r="AB40" s="1283" t="s">
        <v>196</v>
      </c>
      <c r="AC40" s="1283" t="s">
        <v>197</v>
      </c>
      <c r="AD40" s="1283" t="s">
        <v>198</v>
      </c>
      <c r="AE40" s="1283" t="s">
        <v>199</v>
      </c>
      <c r="AF40" s="1283" t="s">
        <v>200</v>
      </c>
      <c r="AG40" s="1283" t="s">
        <v>201</v>
      </c>
      <c r="AH40" s="1283" t="str">
        <f>IF($E$40=0,"",$E$40)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40" s="1283" t="str">
        <f>IF($G$40=0,"",$G$40)</f>
        <v>Производство. Теплоноситель, Сбыт. Теплоноситель</v>
      </c>
      <c r="AJ40" s="1283" t="str">
        <f>IF($J$40=0,"",$J$40)</f>
        <v>Тариф на горячую воду (горячее водоснабжение), поставляемую ПАО "ТГК-1" в открытых системах теплоснабжения потребителям, расположенным на территории Санкт-Петербурга</v>
      </c>
      <c r="AK40" s="1283" t="str">
        <f>IF($K$40="нет","без дифференциации",IF($N$40=0,"",$N$40))</f>
        <v>без дифференциации</v>
      </c>
      <c r="AL40" s="1283" t="str">
        <f>IF($O$40="нет","без дифференциации",IF($R$40=0,"",$R$40))</f>
        <v>без дифференциации</v>
      </c>
      <c r="AM40" s="1283" t="str">
        <f>IF($S$40="нет","без дифференциации",IF($V$40=0,"",$V$40))</f>
        <v>без дифференциации</v>
      </c>
      <c r="AN40" s="1797">
        <f>$I$40</f>
        <v>1</v>
      </c>
      <c r="AO40" s="1283" t="str">
        <f>$I$40&amp;"."&amp;$M$40</f>
        <v>1.1</v>
      </c>
      <c r="AP40" s="1275" t="str">
        <f>$I$40&amp;"."&amp;$M$40&amp;"."&amp;$Q$40</f>
        <v>1.1.1</v>
      </c>
      <c r="AQ40" s="1275" t="str">
        <f>$I$40&amp;"."&amp;$M$40&amp;"."&amp;$Q$40&amp;"."&amp;$U$40</f>
        <v>1.1.1.1</v>
      </c>
    </row>
    <row s="1877" customFormat="1" customHeight="1" ht="17.25">
      <c r="A41" s="306"/>
      <c r="C41" s="305"/>
      <c r="D41" s="1973"/>
      <c r="E41" s="1975"/>
      <c r="F41" s="1978"/>
      <c r="G41" s="2440"/>
      <c r="H41" s="2361"/>
      <c r="I41" s="2361"/>
      <c r="J41" s="2371"/>
      <c r="K41" s="2027"/>
      <c r="L41" s="1964"/>
      <c r="M41" s="1964"/>
      <c r="N41" s="434" t="s">
        <v>24</v>
      </c>
      <c r="O41" s="2027"/>
      <c r="P41" s="1964"/>
      <c r="Q41" s="1964"/>
      <c r="R41" s="2441" t="s">
        <v>24</v>
      </c>
      <c r="S41" s="1963"/>
      <c r="T41" s="2527"/>
      <c r="U41" s="2528"/>
      <c r="V41" s="2529" t="s">
        <v>160</v>
      </c>
      <c r="W41" s="2530"/>
      <c r="X41" s="1275"/>
      <c r="Y41" s="1275"/>
      <c r="Z41" s="1275"/>
      <c r="AA41" s="1275"/>
      <c r="AB41" s="1275"/>
      <c r="AC41" s="1275"/>
      <c r="AD41" s="1275"/>
      <c r="AE41" s="1275"/>
      <c r="AF41" s="1275"/>
      <c r="AG41" s="1275"/>
      <c r="AH41" s="1275"/>
      <c r="AI41" s="1275"/>
      <c r="AJ41" s="1275"/>
      <c r="AK41" s="1275"/>
      <c r="AL41" s="1275"/>
      <c r="AM41" s="1275"/>
      <c r="AN41" s="1275"/>
      <c r="AO41" s="1275"/>
      <c r="AP41" s="1275"/>
      <c r="AQ41" s="1275"/>
    </row>
    <row s="1877" customFormat="1" customHeight="1" ht="17.25">
      <c r="A42" s="306"/>
      <c r="C42" s="305"/>
      <c r="D42" s="1974"/>
      <c r="E42" s="1976"/>
      <c r="F42" s="1978"/>
      <c r="G42" s="2470"/>
      <c r="H42" s="2336"/>
      <c r="I42" s="2336"/>
      <c r="J42" s="2372"/>
      <c r="K42" s="2027"/>
      <c r="L42" s="2336"/>
      <c r="M42" s="2336"/>
      <c r="N42" s="2441" t="s">
        <v>24</v>
      </c>
      <c r="O42" s="1968"/>
      <c r="P42" s="2531"/>
      <c r="Q42" s="2532"/>
      <c r="R42" s="2533" t="s">
        <v>161</v>
      </c>
      <c r="S42" s="2534"/>
      <c r="T42" s="2535"/>
      <c r="U42" s="2536"/>
      <c r="V42" s="2537"/>
      <c r="W42" s="2538"/>
      <c r="X42" s="1275"/>
      <c r="Y42" s="1275"/>
      <c r="Z42" s="1275"/>
      <c r="AA42" s="1275"/>
      <c r="AB42" s="1275"/>
      <c r="AC42" s="1275"/>
      <c r="AD42" s="1275"/>
      <c r="AE42" s="1275"/>
      <c r="AF42" s="1275"/>
      <c r="AG42" s="1275"/>
      <c r="AH42" s="1275"/>
      <c r="AI42" s="1275"/>
      <c r="AJ42" s="1275"/>
      <c r="AK42" s="1275"/>
      <c r="AL42" s="1275"/>
      <c r="AM42" s="1275"/>
      <c r="AN42" s="1275"/>
      <c r="AO42" s="1275"/>
      <c r="AP42" s="1275"/>
      <c r="AQ42" s="1275"/>
    </row>
    <row s="1877" customFormat="1" customHeight="1" ht="17.25">
      <c r="A43" s="306"/>
      <c r="C43" s="305"/>
      <c r="D43" s="1974"/>
      <c r="E43" s="1976"/>
      <c r="F43" s="1978"/>
      <c r="G43" s="2470"/>
      <c r="H43" s="2336"/>
      <c r="I43" s="2336"/>
      <c r="J43" s="2372"/>
      <c r="K43" s="1968"/>
      <c r="L43" s="2539"/>
      <c r="M43" s="2540"/>
      <c r="N43" s="2541" t="s">
        <v>162</v>
      </c>
      <c r="O43" s="2542"/>
      <c r="P43" s="2543"/>
      <c r="Q43" s="2544"/>
      <c r="R43" s="2545"/>
      <c r="S43" s="2546"/>
      <c r="T43" s="2547"/>
      <c r="U43" s="2548"/>
      <c r="V43" s="2549"/>
      <c r="W43" s="2550"/>
      <c r="X43" s="1275"/>
      <c r="Y43" s="1275"/>
      <c r="Z43" s="1275"/>
      <c r="AA43" s="1275"/>
      <c r="AB43" s="1275"/>
      <c r="AC43" s="1275"/>
      <c r="AD43" s="1275"/>
      <c r="AE43" s="1275"/>
      <c r="AF43" s="1275"/>
      <c r="AG43" s="1275"/>
      <c r="AH43" s="1275"/>
      <c r="AI43" s="1275"/>
      <c r="AJ43" s="1275"/>
      <c r="AK43" s="1275"/>
      <c r="AL43" s="1275"/>
      <c r="AM43" s="1275"/>
      <c r="AN43" s="1275"/>
      <c r="AO43" s="1275"/>
      <c r="AP43" s="1275"/>
      <c r="AQ43" s="1275"/>
    </row>
    <row s="1877" customFormat="1" customHeight="1" ht="17.25">
      <c r="A44" s="306"/>
      <c r="C44" s="305"/>
      <c r="D44" s="1974"/>
      <c r="E44" s="1976"/>
      <c r="F44" s="1979"/>
      <c r="G44" s="2470"/>
      <c r="H44" s="2551"/>
      <c r="I44" s="2552"/>
      <c r="J44" s="2553" t="s">
        <v>179</v>
      </c>
      <c r="K44" s="2554"/>
      <c r="L44" s="2555"/>
      <c r="M44" s="2556"/>
      <c r="N44" s="2557"/>
      <c r="O44" s="2558"/>
      <c r="P44" s="2559"/>
      <c r="Q44" s="2560"/>
      <c r="R44" s="2561"/>
      <c r="S44" s="2562"/>
      <c r="T44" s="2563"/>
      <c r="U44" s="2564"/>
      <c r="V44" s="2565"/>
      <c r="W44" s="2566"/>
      <c r="X44" s="1275"/>
      <c r="Y44" s="1275"/>
      <c r="Z44" s="1275"/>
      <c r="AA44" s="1275"/>
      <c r="AB44" s="1275"/>
      <c r="AC44" s="1275"/>
      <c r="AD44" s="1275"/>
      <c r="AE44" s="1275"/>
      <c r="AF44" s="1275"/>
      <c r="AG44" s="1275"/>
      <c r="AH44" s="1275"/>
      <c r="AI44" s="1275"/>
      <c r="AJ44" s="1275"/>
      <c r="AK44" s="1275"/>
      <c r="AL44" s="1275"/>
      <c r="AM44" s="1275"/>
      <c r="AN44" s="1275"/>
      <c r="AO44" s="1275"/>
      <c r="AP44" s="1275"/>
      <c r="AQ44" s="1275"/>
    </row>
    <row s="1877" customFormat="1" customHeight="1" ht="17.25">
      <c r="A45" s="306"/>
      <c r="C45" s="188"/>
      <c r="D45" s="1973">
        <v>5</v>
      </c>
      <c r="E45" s="1975" t="s">
        <v>202</v>
      </c>
      <c r="F45" s="1977" t="s">
        <v>56</v>
      </c>
      <c r="G45" s="1975"/>
      <c r="H45" s="1980"/>
      <c r="I45" s="1982"/>
      <c r="J45" s="1984"/>
      <c r="K45" s="1971"/>
      <c r="L45" s="1971"/>
      <c r="M45" s="1971"/>
      <c r="N45" s="1987"/>
      <c r="O45" s="1971"/>
      <c r="P45" s="1971"/>
      <c r="Q45" s="1971"/>
      <c r="R45" s="1990"/>
      <c r="S45" s="1971"/>
      <c r="T45" s="1437"/>
      <c r="U45" s="1437"/>
      <c r="V45" s="1436"/>
      <c r="W45" s="1313"/>
      <c r="X45" s="1283"/>
      <c r="Y45" s="1283"/>
      <c r="Z45" s="1283"/>
      <c r="AA45" s="1283"/>
      <c r="AB45" s="1283"/>
      <c r="AC45" s="1283" t="s">
        <v>203</v>
      </c>
      <c r="AD45" s="1283" t="s">
        <v>204</v>
      </c>
      <c r="AE45" s="1283" t="s">
        <v>205</v>
      </c>
      <c r="AF45" s="1283" t="s">
        <v>206</v>
      </c>
      <c r="AG45" s="1283" t="s">
        <v>207</v>
      </c>
      <c r="AH45" s="1283" t="str">
        <f>IF($E$45=0,"",$E$45)</f>
        <v>Тарифы на услуги по передаче тепловой энергии</v>
      </c>
      <c r="AI45" s="1283" t="str">
        <f>IF($G$45=0,"",$G$45)</f>
        <v/>
      </c>
      <c r="AJ45" s="1283" t="str">
        <f>IF($J$45=0,"",$J$45)</f>
        <v/>
      </c>
      <c r="AK45" s="1283" t="str">
        <f>IF($K$45="нет","без дифференциации",IF($N$45=0,"",$N$45))</f>
        <v/>
      </c>
      <c r="AL45" s="1283" t="str">
        <f>IF($O$45="нет","без дифференциации",IF($R$45=0,"",$R$45))</f>
        <v/>
      </c>
      <c r="AM45" s="1283" t="str">
        <f>IF($S$45="нет","без дифференциации",IF($V$45=0,"",$V$45))</f>
        <v/>
      </c>
      <c r="AN45" s="1797">
        <f>$I$45</f>
        <v>0</v>
      </c>
      <c r="AO45" s="1283" t="str">
        <f>$I$45&amp;"."&amp;$M$45</f>
        <v>.</v>
      </c>
      <c r="AP45" s="1275" t="str">
        <f>$I$45&amp;"."&amp;$M$45&amp;"."&amp;$Q$45</f>
        <v>..</v>
      </c>
      <c r="AQ45" s="1275" t="str">
        <f>$I$45&amp;"."&amp;$M$45&amp;"."&amp;$Q$45&amp;"."&amp;$U$45</f>
        <v>...</v>
      </c>
    </row>
    <row s="1877" customFormat="1" customHeight="1" ht="17.25">
      <c r="A46" s="306"/>
      <c r="C46" s="305"/>
      <c r="D46" s="1973"/>
      <c r="E46" s="1975"/>
      <c r="F46" s="1978"/>
      <c r="G46" s="1975"/>
      <c r="H46" s="1981"/>
      <c r="I46" s="1983"/>
      <c r="J46" s="1985"/>
      <c r="K46" s="1972"/>
      <c r="L46" s="1972"/>
      <c r="M46" s="1972"/>
      <c r="N46" s="1988"/>
      <c r="O46" s="1972"/>
      <c r="P46" s="1972"/>
      <c r="Q46" s="1972"/>
      <c r="R46" s="1989"/>
      <c r="S46" s="1972"/>
      <c r="T46" s="1314"/>
      <c r="U46" s="1314"/>
      <c r="V46" s="1314"/>
      <c r="W46" s="1315"/>
      <c r="X46" s="1275"/>
      <c r="Y46" s="1275"/>
      <c r="Z46" s="1275"/>
      <c r="AA46" s="1275"/>
      <c r="AB46" s="1275"/>
      <c r="AC46" s="1275"/>
      <c r="AD46" s="1275"/>
      <c r="AE46" s="1275"/>
      <c r="AF46" s="1275"/>
      <c r="AG46" s="1275"/>
      <c r="AH46" s="1275"/>
      <c r="AI46" s="1275"/>
      <c r="AJ46" s="1275"/>
      <c r="AK46" s="1275"/>
      <c r="AL46" s="1275"/>
      <c r="AM46" s="1275"/>
      <c r="AN46" s="1275"/>
      <c r="AO46" s="1275"/>
      <c r="AP46" s="1275"/>
      <c r="AQ46" s="1275"/>
    </row>
    <row s="1877" customFormat="1" customHeight="1" ht="17.25">
      <c r="A47" s="306"/>
      <c r="C47" s="305"/>
      <c r="D47" s="1974"/>
      <c r="E47" s="1976"/>
      <c r="F47" s="1978"/>
      <c r="G47" s="1976"/>
      <c r="H47" s="1981"/>
      <c r="I47" s="1983"/>
      <c r="J47" s="1986"/>
      <c r="K47" s="1972"/>
      <c r="L47" s="1972"/>
      <c r="M47" s="1972"/>
      <c r="N47" s="1989"/>
      <c r="O47" s="1972"/>
      <c r="P47" s="1435"/>
      <c r="Q47" s="1314"/>
      <c r="R47" s="1314"/>
      <c r="S47" s="317"/>
      <c r="T47" s="317"/>
      <c r="U47" s="317"/>
      <c r="V47" s="317"/>
      <c r="W47" s="1315"/>
      <c r="X47" s="1275"/>
      <c r="Y47" s="1275"/>
      <c r="Z47" s="1275"/>
      <c r="AA47" s="1275"/>
      <c r="AB47" s="1275"/>
      <c r="AC47" s="1275"/>
      <c r="AD47" s="1275"/>
      <c r="AE47" s="1275"/>
      <c r="AF47" s="1275"/>
      <c r="AG47" s="1275"/>
      <c r="AH47" s="1275"/>
      <c r="AI47" s="1275"/>
      <c r="AJ47" s="1275"/>
      <c r="AK47" s="1275"/>
      <c r="AL47" s="1275"/>
      <c r="AM47" s="1275"/>
      <c r="AN47" s="1275"/>
      <c r="AO47" s="1275"/>
      <c r="AP47" s="1275"/>
      <c r="AQ47" s="1275"/>
    </row>
    <row s="1877" customFormat="1" customHeight="1" ht="17.25">
      <c r="A48" s="306"/>
      <c r="C48" s="305"/>
      <c r="D48" s="1974"/>
      <c r="E48" s="1976"/>
      <c r="F48" s="1978"/>
      <c r="G48" s="1976"/>
      <c r="H48" s="1981"/>
      <c r="I48" s="1983"/>
      <c r="J48" s="1986"/>
      <c r="K48" s="1972"/>
      <c r="L48" s="1314"/>
      <c r="M48" s="1314"/>
      <c r="N48" s="1314"/>
      <c r="O48" s="1314"/>
      <c r="P48" s="1314"/>
      <c r="Q48" s="1314"/>
      <c r="R48" s="1314"/>
      <c r="S48" s="317"/>
      <c r="T48" s="317"/>
      <c r="U48" s="317"/>
      <c r="V48" s="317"/>
      <c r="W48" s="1315"/>
      <c r="X48" s="1275"/>
      <c r="Y48" s="1275"/>
      <c r="Z48" s="1275"/>
      <c r="AA48" s="1275"/>
      <c r="AB48" s="1275"/>
      <c r="AC48" s="1275"/>
      <c r="AD48" s="1275"/>
      <c r="AE48" s="1275"/>
      <c r="AF48" s="1275"/>
      <c r="AG48" s="1275"/>
      <c r="AH48" s="1275"/>
      <c r="AI48" s="1275"/>
      <c r="AJ48" s="1275"/>
      <c r="AK48" s="1275"/>
      <c r="AL48" s="1275"/>
      <c r="AM48" s="1275"/>
      <c r="AN48" s="1275"/>
      <c r="AO48" s="1275"/>
      <c r="AP48" s="1275"/>
      <c r="AQ48" s="1275"/>
    </row>
    <row s="1877" customFormat="1" customHeight="1" ht="17.25">
      <c r="A49" s="306"/>
      <c r="C49" s="305"/>
      <c r="D49" s="1974"/>
      <c r="E49" s="1976"/>
      <c r="F49" s="1979"/>
      <c r="G49" s="1976"/>
      <c r="H49" s="1316"/>
      <c r="I49" s="1317"/>
      <c r="J49" s="1317"/>
      <c r="K49" s="1317"/>
      <c r="L49" s="1317"/>
      <c r="M49" s="1317"/>
      <c r="N49" s="1317"/>
      <c r="O49" s="1317"/>
      <c r="P49" s="1317"/>
      <c r="Q49" s="1317"/>
      <c r="R49" s="1317"/>
      <c r="S49" s="1318"/>
      <c r="T49" s="1318"/>
      <c r="U49" s="1318"/>
      <c r="V49" s="1318"/>
      <c r="W49" s="1319"/>
      <c r="X49" s="1275"/>
      <c r="Y49" s="1275"/>
      <c r="Z49" s="1275"/>
      <c r="AA49" s="1275"/>
      <c r="AB49" s="1275"/>
      <c r="AC49" s="1275"/>
      <c r="AD49" s="1275"/>
      <c r="AE49" s="1275"/>
      <c r="AF49" s="1275"/>
      <c r="AG49" s="1275"/>
      <c r="AH49" s="1275"/>
      <c r="AI49" s="1275"/>
      <c r="AJ49" s="1275"/>
      <c r="AK49" s="1275"/>
      <c r="AL49" s="1275"/>
      <c r="AM49" s="1275"/>
      <c r="AN49" s="1275"/>
      <c r="AO49" s="1275"/>
      <c r="AP49" s="1275"/>
      <c r="AQ49" s="1275"/>
    </row>
    <row s="1877" customFormat="1" customHeight="1" ht="17.25">
      <c r="A50" s="306"/>
      <c r="C50" s="188"/>
      <c r="D50" s="1973">
        <v>6</v>
      </c>
      <c r="E50" s="1975" t="s">
        <v>208</v>
      </c>
      <c r="F50" s="1977" t="s">
        <v>56</v>
      </c>
      <c r="G50" s="1975"/>
      <c r="H50" s="1980"/>
      <c r="I50" s="1982"/>
      <c r="J50" s="1984"/>
      <c r="K50" s="1971"/>
      <c r="L50" s="1971"/>
      <c r="M50" s="1971"/>
      <c r="N50" s="1987"/>
      <c r="O50" s="1971"/>
      <c r="P50" s="1971"/>
      <c r="Q50" s="1971"/>
      <c r="R50" s="1990"/>
      <c r="S50" s="1971"/>
      <c r="T50" s="1437"/>
      <c r="U50" s="1437"/>
      <c r="V50" s="1436"/>
      <c r="W50" s="1313"/>
      <c r="X50" s="1283"/>
      <c r="Y50" s="1283"/>
      <c r="Z50" s="1283"/>
      <c r="AA50" s="1283"/>
      <c r="AB50" s="1283"/>
      <c r="AC50" s="1283" t="s">
        <v>209</v>
      </c>
      <c r="AD50" s="1283" t="s">
        <v>210</v>
      </c>
      <c r="AE50" s="1283" t="s">
        <v>211</v>
      </c>
      <c r="AF50" s="1283" t="s">
        <v>212</v>
      </c>
      <c r="AG50" s="1283" t="s">
        <v>213</v>
      </c>
      <c r="AH50" s="1283" t="str">
        <f>IF($E$50=0,"",$E$50)</f>
        <v>Тарифы на услуги по передаче теплоносителя</v>
      </c>
      <c r="AI50" s="1283" t="str">
        <f>IF($G$50=0,"",$G$50)</f>
        <v/>
      </c>
      <c r="AJ50" s="1283" t="str">
        <f>IF($J$50=0,"",$J$50)</f>
        <v/>
      </c>
      <c r="AK50" s="1283" t="str">
        <f>IF($K$50="нет","без дифференциации",IF($N$50=0,"",$N$50))</f>
        <v/>
      </c>
      <c r="AL50" s="1283" t="str">
        <f>IF($O$50="нет","без дифференциации",IF($R$50=0,"",$R$50))</f>
        <v/>
      </c>
      <c r="AM50" s="1283" t="str">
        <f>IF($S$50="нет","без дифференциации",IF($V$50=0,"",$V$50))</f>
        <v/>
      </c>
      <c r="AN50" s="1797">
        <f>$I$50</f>
        <v>0</v>
      </c>
      <c r="AO50" s="1283" t="str">
        <f>$I$50&amp;"."&amp;$M$50</f>
        <v>.</v>
      </c>
      <c r="AP50" s="1275" t="str">
        <f>$I$50&amp;"."&amp;$M$50&amp;"."&amp;$Q$50</f>
        <v>..</v>
      </c>
      <c r="AQ50" s="1275" t="str">
        <f>$I$50&amp;"."&amp;$M$50&amp;"."&amp;$Q$50&amp;"."&amp;$U$50</f>
        <v>...</v>
      </c>
    </row>
    <row s="1877" customFormat="1" customHeight="1" ht="17.25">
      <c r="A51" s="306"/>
      <c r="C51" s="305"/>
      <c r="D51" s="1973"/>
      <c r="E51" s="1975"/>
      <c r="F51" s="1978"/>
      <c r="G51" s="1975"/>
      <c r="H51" s="1981"/>
      <c r="I51" s="1983"/>
      <c r="J51" s="1985"/>
      <c r="K51" s="1972"/>
      <c r="L51" s="1972"/>
      <c r="M51" s="1972"/>
      <c r="N51" s="1988"/>
      <c r="O51" s="1972"/>
      <c r="P51" s="1972"/>
      <c r="Q51" s="1972"/>
      <c r="R51" s="1989"/>
      <c r="S51" s="1972"/>
      <c r="T51" s="1314"/>
      <c r="U51" s="1314"/>
      <c r="V51" s="1314"/>
      <c r="W51" s="1315"/>
      <c r="X51" s="1275"/>
      <c r="Y51" s="1275"/>
      <c r="Z51" s="1275"/>
      <c r="AA51" s="1275"/>
      <c r="AB51" s="1275"/>
      <c r="AC51" s="1275"/>
      <c r="AD51" s="1275"/>
      <c r="AE51" s="1275"/>
      <c r="AF51" s="1275"/>
      <c r="AG51" s="1275"/>
      <c r="AH51" s="1275"/>
      <c r="AI51" s="1275"/>
      <c r="AJ51" s="1275"/>
      <c r="AK51" s="1275"/>
      <c r="AL51" s="1275"/>
      <c r="AM51" s="1275"/>
      <c r="AN51" s="1275"/>
      <c r="AO51" s="1275"/>
      <c r="AP51" s="1275"/>
      <c r="AQ51" s="1275"/>
    </row>
    <row s="1877" customFormat="1" customHeight="1" ht="17.25">
      <c r="A52" s="306"/>
      <c r="C52" s="305"/>
      <c r="D52" s="1974"/>
      <c r="E52" s="1976"/>
      <c r="F52" s="1978"/>
      <c r="G52" s="1976"/>
      <c r="H52" s="1981"/>
      <c r="I52" s="1983"/>
      <c r="J52" s="1986"/>
      <c r="K52" s="1972"/>
      <c r="L52" s="1972"/>
      <c r="M52" s="1972"/>
      <c r="N52" s="1989"/>
      <c r="O52" s="1972"/>
      <c r="P52" s="1435"/>
      <c r="Q52" s="1314"/>
      <c r="R52" s="1314"/>
      <c r="S52" s="317"/>
      <c r="T52" s="317"/>
      <c r="U52" s="317"/>
      <c r="V52" s="317"/>
      <c r="W52" s="1315"/>
      <c r="X52" s="1275"/>
      <c r="Y52" s="1275"/>
      <c r="Z52" s="1275"/>
      <c r="AA52" s="1275"/>
      <c r="AB52" s="1275"/>
      <c r="AC52" s="1275"/>
      <c r="AD52" s="1275"/>
      <c r="AE52" s="1275"/>
      <c r="AF52" s="1275"/>
      <c r="AG52" s="1275"/>
      <c r="AH52" s="1275"/>
      <c r="AI52" s="1275"/>
      <c r="AJ52" s="1275"/>
      <c r="AK52" s="1275"/>
      <c r="AL52" s="1275"/>
      <c r="AM52" s="1275"/>
      <c r="AN52" s="1275"/>
      <c r="AO52" s="1275"/>
      <c r="AP52" s="1275"/>
      <c r="AQ52" s="1275"/>
    </row>
    <row s="1877" customFormat="1" customHeight="1" ht="17.25">
      <c r="A53" s="306"/>
      <c r="C53" s="188"/>
      <c r="D53" s="1974"/>
      <c r="E53" s="1976"/>
      <c r="F53" s="1978"/>
      <c r="G53" s="1976"/>
      <c r="H53" s="1981"/>
      <c r="I53" s="1983"/>
      <c r="J53" s="1986"/>
      <c r="K53" s="1972"/>
      <c r="L53" s="1314"/>
      <c r="M53" s="1314"/>
      <c r="N53" s="1314"/>
      <c r="O53" s="1314"/>
      <c r="P53" s="1314"/>
      <c r="Q53" s="1314"/>
      <c r="R53" s="1314"/>
      <c r="S53" s="317"/>
      <c r="T53" s="317"/>
      <c r="U53" s="317"/>
      <c r="V53" s="317"/>
      <c r="W53" s="1315"/>
      <c r="Y53" s="1283"/>
      <c r="Z53" s="1283"/>
      <c r="AA53" s="1283"/>
      <c r="AB53" s="1283"/>
      <c r="AC53" s="1283"/>
      <c r="AD53" s="1283"/>
      <c r="AE53" s="1283"/>
      <c r="AF53" s="1283"/>
      <c r="AG53" s="1283"/>
      <c r="AH53" s="1283"/>
      <c r="AI53" s="1283"/>
      <c r="AJ53" s="1283"/>
      <c r="AK53" s="1283"/>
      <c r="AL53" s="1283"/>
      <c r="AM53" s="1283"/>
      <c r="AN53" s="1283"/>
      <c r="AO53" s="1283"/>
      <c r="AP53" s="1283"/>
      <c r="AQ53" s="1283"/>
    </row>
    <row s="1877" customFormat="1" customHeight="1" ht="17.25">
      <c r="A54" s="306"/>
      <c r="C54" s="305"/>
      <c r="D54" s="1974"/>
      <c r="E54" s="1976"/>
      <c r="F54" s="1979"/>
      <c r="G54" s="1976"/>
      <c r="H54" s="1316"/>
      <c r="I54" s="1317"/>
      <c r="J54" s="1317"/>
      <c r="K54" s="1317"/>
      <c r="L54" s="1317"/>
      <c r="M54" s="1317"/>
      <c r="N54" s="1317"/>
      <c r="O54" s="1317"/>
      <c r="P54" s="1317"/>
      <c r="Q54" s="1317"/>
      <c r="R54" s="1317"/>
      <c r="S54" s="1318"/>
      <c r="T54" s="1318"/>
      <c r="U54" s="1318"/>
      <c r="V54" s="1318"/>
      <c r="W54" s="1319"/>
      <c r="X54" s="1275"/>
      <c r="Y54" s="1275"/>
      <c r="Z54" s="1275"/>
      <c r="AA54" s="1275"/>
      <c r="AB54" s="1275"/>
      <c r="AC54" s="1275"/>
      <c r="AD54" s="1275"/>
      <c r="AE54" s="1275"/>
      <c r="AF54" s="1275"/>
      <c r="AG54" s="1275"/>
      <c r="AH54" s="1275"/>
      <c r="AI54" s="1275"/>
      <c r="AJ54" s="1275"/>
      <c r="AK54" s="1275"/>
      <c r="AL54" s="1275"/>
      <c r="AM54" s="1275"/>
      <c r="AN54" s="1275"/>
      <c r="AO54" s="1275"/>
      <c r="AP54" s="1275"/>
      <c r="AQ54" s="1275"/>
    </row>
    <row s="1877" customFormat="1" customHeight="1" ht="17.25">
      <c r="A55" s="306"/>
      <c r="C55" s="188"/>
      <c r="D55" s="1994">
        <v>7</v>
      </c>
      <c r="E55" s="1997" t="s">
        <v>214</v>
      </c>
      <c r="F55" s="1977" t="s">
        <v>61</v>
      </c>
      <c r="G55" s="2567" t="str">
        <f>INDEX(HEAT_PT_VED_NAME,MATCH(4190073,HEAT_PT_VED_ID,0))</f>
        <v>Поддержание резервной тепловой мощности при отсутствии потребления тепловой энергии</v>
      </c>
      <c r="H55" s="2361"/>
      <c r="I55" s="2361">
        <v>1</v>
      </c>
      <c r="J55" s="2371" t="s">
        <v>215</v>
      </c>
      <c r="K55" s="2026" t="s">
        <v>56</v>
      </c>
      <c r="L55" s="1964"/>
      <c r="M55" s="1964" t="s">
        <v>108</v>
      </c>
      <c r="N55" s="434" t="s">
        <v>24</v>
      </c>
      <c r="O55" s="2026" t="s">
        <v>56</v>
      </c>
      <c r="P55" s="1964"/>
      <c r="Q55" s="1964" t="s">
        <v>108</v>
      </c>
      <c r="R55" s="2441" t="s">
        <v>24</v>
      </c>
      <c r="S55" s="1963" t="s">
        <v>56</v>
      </c>
      <c r="T55" s="1964"/>
      <c r="U55" s="1964" t="s">
        <v>108</v>
      </c>
      <c r="V55" s="2441" t="s">
        <v>24</v>
      </c>
      <c r="W55" s="2371"/>
      <c r="X55" s="1283"/>
      <c r="Y55" s="1283"/>
      <c r="Z55" s="1283"/>
      <c r="AA55" s="1283"/>
      <c r="AB55" s="1283" t="s">
        <v>216</v>
      </c>
      <c r="AC55" s="1283" t="s">
        <v>217</v>
      </c>
      <c r="AD55" s="1283" t="s">
        <v>218</v>
      </c>
      <c r="AE55" s="1283" t="s">
        <v>219</v>
      </c>
      <c r="AF55" s="1283" t="s">
        <v>220</v>
      </c>
      <c r="AG55" s="1283" t="s">
        <v>221</v>
      </c>
      <c r="AH55" s="1283" t="str">
        <f>IF($E$55=0,"",$E$55)</f>
        <v>Плата за услуги по поддержанию резервной тепловой мощности при отсутствии потребления тепловой энергии</v>
      </c>
      <c r="AI55" s="1283" t="str">
        <f>IF($G$55=0,"",$G$55)</f>
        <v>Поддержание резервной тепловой мощности при отсутствии потребления тепловой энергии</v>
      </c>
      <c r="AJ55" s="1283" t="str">
        <f>IF($J$55=0,"",$J$55)</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AK55" s="1283" t="str">
        <f>IF($K$55="нет","без дифференциации",IF($N$55=0,"",$N$55))</f>
        <v>без дифференциации</v>
      </c>
      <c r="AL55" s="1283" t="str">
        <f>IF($O$55="нет","без дифференциации",IF($R$55=0,"",$R$55))</f>
        <v>без дифференциации</v>
      </c>
      <c r="AM55" s="1283" t="str">
        <f>IF($S$55="нет","без дифференциации",IF($V$55=0,"",$V$55))</f>
        <v>без дифференциации</v>
      </c>
      <c r="AN55" s="1797">
        <f>$I$55</f>
        <v>1</v>
      </c>
      <c r="AO55" s="1283" t="str">
        <f>$I$55&amp;"."&amp;$M$55</f>
        <v>1.1</v>
      </c>
      <c r="AP55" s="1275" t="str">
        <f>$I$55&amp;"."&amp;$M$55&amp;"."&amp;$Q$55</f>
        <v>1.1.1</v>
      </c>
      <c r="AQ55" s="1275" t="str">
        <f>$I$55&amp;"."&amp;$M$55&amp;"."&amp;$Q$55&amp;"."&amp;$U$55</f>
        <v>1.1.1.1</v>
      </c>
    </row>
    <row s="1877" customFormat="1" customHeight="1" ht="17.25">
      <c r="A56" s="306"/>
      <c r="C56" s="305"/>
      <c r="D56" s="1995"/>
      <c r="E56" s="1998"/>
      <c r="F56" s="1978"/>
      <c r="G56" s="2568"/>
      <c r="H56" s="2361"/>
      <c r="I56" s="2361"/>
      <c r="J56" s="2371"/>
      <c r="K56" s="2027"/>
      <c r="L56" s="1964"/>
      <c r="M56" s="1964"/>
      <c r="N56" s="434" t="s">
        <v>24</v>
      </c>
      <c r="O56" s="2027"/>
      <c r="P56" s="1964"/>
      <c r="Q56" s="1964"/>
      <c r="R56" s="2441" t="s">
        <v>24</v>
      </c>
      <c r="S56" s="1963"/>
      <c r="T56" s="2569"/>
      <c r="U56" s="2570"/>
      <c r="V56" s="2571" t="s">
        <v>160</v>
      </c>
      <c r="W56" s="2572"/>
      <c r="X56" s="1275"/>
      <c r="Y56" s="1275"/>
      <c r="Z56" s="1275"/>
      <c r="AA56" s="1275"/>
      <c r="AB56" s="1275"/>
      <c r="AC56" s="1275"/>
      <c r="AD56" s="1275"/>
      <c r="AE56" s="1275"/>
      <c r="AF56" s="1275"/>
      <c r="AG56" s="1275"/>
      <c r="AH56" s="1275"/>
      <c r="AI56" s="1275"/>
      <c r="AJ56" s="1275"/>
      <c r="AK56" s="1275"/>
      <c r="AL56" s="1275"/>
      <c r="AM56" s="1275"/>
      <c r="AN56" s="1275"/>
      <c r="AO56" s="1275"/>
      <c r="AP56" s="1275"/>
      <c r="AQ56" s="1275"/>
    </row>
    <row s="1877" customFormat="1" customHeight="1" ht="17.25">
      <c r="A57" s="306"/>
      <c r="C57" s="305"/>
      <c r="D57" s="1995"/>
      <c r="E57" s="1998"/>
      <c r="F57" s="1978"/>
      <c r="G57" s="2568"/>
      <c r="H57" s="2336"/>
      <c r="I57" s="2336"/>
      <c r="J57" s="2372"/>
      <c r="K57" s="2027"/>
      <c r="L57" s="2336"/>
      <c r="M57" s="2336"/>
      <c r="N57" s="2441" t="s">
        <v>24</v>
      </c>
      <c r="O57" s="1968"/>
      <c r="P57" s="2573"/>
      <c r="Q57" s="2574"/>
      <c r="R57" s="2575" t="s">
        <v>161</v>
      </c>
      <c r="S57" s="2576"/>
      <c r="T57" s="2577"/>
      <c r="U57" s="2578"/>
      <c r="V57" s="2579"/>
      <c r="W57" s="2580"/>
      <c r="X57" s="1275"/>
      <c r="Y57" s="1275"/>
      <c r="Z57" s="1275"/>
      <c r="AA57" s="1275"/>
      <c r="AB57" s="1275"/>
      <c r="AC57" s="1275"/>
      <c r="AD57" s="1275"/>
      <c r="AE57" s="1275"/>
      <c r="AF57" s="1275"/>
      <c r="AG57" s="1275"/>
      <c r="AH57" s="1275"/>
      <c r="AI57" s="1275"/>
      <c r="AJ57" s="1275"/>
      <c r="AK57" s="1275"/>
      <c r="AL57" s="1275"/>
      <c r="AM57" s="1275"/>
      <c r="AN57" s="1275"/>
      <c r="AO57" s="1275"/>
      <c r="AP57" s="1275"/>
      <c r="AQ57" s="1275"/>
    </row>
    <row s="1877" customFormat="1" customHeight="1" ht="17.25">
      <c r="A58" s="306"/>
      <c r="C58" s="188"/>
      <c r="D58" s="1995"/>
      <c r="E58" s="1998"/>
      <c r="F58" s="1978"/>
      <c r="G58" s="2568"/>
      <c r="H58" s="2336"/>
      <c r="I58" s="2336"/>
      <c r="J58" s="2372"/>
      <c r="K58" s="1968"/>
      <c r="L58" s="2581"/>
      <c r="M58" s="2582"/>
      <c r="N58" s="2583" t="s">
        <v>162</v>
      </c>
      <c r="O58" s="2584"/>
      <c r="P58" s="2585"/>
      <c r="Q58" s="2586"/>
      <c r="R58" s="2587"/>
      <c r="S58" s="2588"/>
      <c r="T58" s="2589"/>
      <c r="U58" s="2590"/>
      <c r="V58" s="2591"/>
      <c r="W58" s="2592"/>
      <c r="Y58" s="1283"/>
      <c r="Z58" s="1283"/>
      <c r="AA58" s="1283"/>
      <c r="AB58" s="1283"/>
      <c r="AC58" s="1283"/>
      <c r="AD58" s="1283"/>
      <c r="AE58" s="1283"/>
      <c r="AF58" s="1283"/>
      <c r="AG58" s="1283"/>
      <c r="AH58" s="1283"/>
      <c r="AI58" s="1283"/>
      <c r="AJ58" s="1283"/>
      <c r="AK58" s="1283"/>
      <c r="AL58" s="1283"/>
      <c r="AM58" s="1283"/>
      <c r="AN58" s="1283"/>
      <c r="AO58" s="1283"/>
      <c r="AP58" s="1283"/>
      <c r="AQ58" s="1283"/>
    </row>
    <row s="1877" customFormat="1" customHeight="1" ht="17.25">
      <c r="A59" s="306"/>
      <c r="C59" s="305"/>
      <c r="D59" s="1996"/>
      <c r="E59" s="1999"/>
      <c r="F59" s="1979"/>
      <c r="G59" s="2593"/>
      <c r="H59" s="2594"/>
      <c r="I59" s="2595"/>
      <c r="J59" s="2596" t="s">
        <v>179</v>
      </c>
      <c r="K59" s="2597"/>
      <c r="L59" s="2598"/>
      <c r="M59" s="2599"/>
      <c r="N59" s="2600"/>
      <c r="O59" s="2601"/>
      <c r="P59" s="2602"/>
      <c r="Q59" s="2603"/>
      <c r="R59" s="2604"/>
      <c r="S59" s="2605"/>
      <c r="T59" s="2606"/>
      <c r="U59" s="2607"/>
      <c r="V59" s="2608"/>
      <c r="W59" s="2609"/>
      <c r="X59" s="1275"/>
      <c r="Y59" s="1275"/>
      <c r="Z59" s="1275"/>
      <c r="AA59" s="1275"/>
      <c r="AB59" s="1275"/>
      <c r="AC59" s="1275"/>
      <c r="AD59" s="1275"/>
      <c r="AE59" s="1275"/>
      <c r="AF59" s="1275"/>
      <c r="AG59" s="1275"/>
      <c r="AH59" s="1275"/>
      <c r="AI59" s="1275"/>
      <c r="AJ59" s="1275"/>
      <c r="AK59" s="1275"/>
      <c r="AL59" s="1275"/>
      <c r="AM59" s="1275"/>
      <c r="AN59" s="1275"/>
      <c r="AO59" s="1275"/>
      <c r="AP59" s="1275"/>
      <c r="AQ59" s="1275"/>
    </row>
    <row s="1877" customFormat="1" customHeight="1" ht="17.25">
      <c r="A60" s="306"/>
      <c r="C60" s="188"/>
      <c r="D60" s="1973">
        <v>8</v>
      </c>
      <c r="E60" s="1975" t="s">
        <v>222</v>
      </c>
      <c r="F60" s="1977" t="s">
        <v>56</v>
      </c>
      <c r="G60" s="2610" t="s">
        <v>24</v>
      </c>
      <c r="H60" s="2362"/>
      <c r="I60" s="2374"/>
      <c r="J60" s="1984"/>
      <c r="K60" s="1971"/>
      <c r="L60" s="1971"/>
      <c r="M60" s="1971"/>
      <c r="N60" s="2365"/>
      <c r="O60" s="1971"/>
      <c r="P60" s="1971"/>
      <c r="Q60" s="1971"/>
      <c r="R60" s="2373"/>
      <c r="S60" s="1971"/>
      <c r="T60" s="1971"/>
      <c r="U60" s="1971"/>
      <c r="V60" s="2373"/>
      <c r="W60" s="1313"/>
      <c r="X60" s="1283"/>
      <c r="Y60" s="1283"/>
      <c r="Z60" s="1283"/>
      <c r="AA60" s="1283"/>
      <c r="AB60" s="1283"/>
      <c r="AC60" s="1283" t="s">
        <v>223</v>
      </c>
      <c r="AD60" s="1283" t="s">
        <v>224</v>
      </c>
      <c r="AE60" s="1283" t="s">
        <v>225</v>
      </c>
      <c r="AF60" s="1283" t="s">
        <v>226</v>
      </c>
      <c r="AG60" s="1283" t="s">
        <v>227</v>
      </c>
      <c r="AH60" s="1283" t="str">
        <f>IF($E$60=0,"",$E$60)</f>
        <v>Плата за подключение (технологическое присоединение) к системе теплоснабжения</v>
      </c>
      <c r="AI60" s="1283" t="str">
        <f>IF($G$60=0,"",$G$60)</f>
        <v/>
      </c>
      <c r="AJ60" s="1283" t="str">
        <f>IF($J$60=0,"",$J$60)</f>
        <v/>
      </c>
      <c r="AK60" s="1283" t="str">
        <f>IF($K$60="нет","без дифференциации",IF($N$60=0,"",$N$60))</f>
        <v/>
      </c>
      <c r="AL60" s="1283" t="str">
        <f>IF($O$60="нет","без дифференциации",IF($R$60=0,"",$R$60))</f>
        <v/>
      </c>
      <c r="AM60" s="1283" t="str">
        <f>IF($S$60="нет","без дифференциации",IF($V$60=0,"",$V$60))</f>
        <v/>
      </c>
      <c r="AN60" s="1797">
        <f>$I$60</f>
        <v>0</v>
      </c>
      <c r="AO60" s="1283" t="str">
        <f>$I$60&amp;"."&amp;$M$60</f>
        <v>.</v>
      </c>
      <c r="AP60" s="1275" t="str">
        <f>$I$60&amp;"."&amp;$M$60&amp;"."&amp;$Q$60</f>
        <v>..</v>
      </c>
      <c r="AQ60" s="1275" t="str">
        <f>$I$60&amp;"."&amp;$M$60&amp;"."&amp;$Q$60&amp;"."&amp;$U$60</f>
        <v>...</v>
      </c>
    </row>
    <row s="1877" customFormat="1" customHeight="1" ht="17.25">
      <c r="A61" s="306"/>
      <c r="C61" s="305"/>
      <c r="D61" s="1973"/>
      <c r="E61" s="1975"/>
      <c r="F61" s="1978"/>
      <c r="G61" s="2610" t="s">
        <v>24</v>
      </c>
      <c r="H61" s="2363"/>
      <c r="I61" s="2375"/>
      <c r="J61" s="1985"/>
      <c r="K61" s="1972"/>
      <c r="L61" s="1972"/>
      <c r="M61" s="1972"/>
      <c r="N61" s="2366"/>
      <c r="O61" s="1972"/>
      <c r="P61" s="1972"/>
      <c r="Q61" s="1972"/>
      <c r="R61" s="2367"/>
      <c r="S61" s="1972"/>
      <c r="T61" s="2032"/>
      <c r="U61" s="2032"/>
      <c r="V61" s="2032"/>
      <c r="W61" s="2033"/>
      <c r="X61" s="1275"/>
      <c r="Y61" s="1275"/>
      <c r="Z61" s="1275"/>
      <c r="AA61" s="1275"/>
      <c r="AB61" s="1275"/>
      <c r="AC61" s="1275"/>
      <c r="AD61" s="1275"/>
      <c r="AE61" s="1275"/>
      <c r="AF61" s="1275"/>
      <c r="AG61" s="1275"/>
      <c r="AH61" s="1275"/>
      <c r="AI61" s="1275"/>
      <c r="AJ61" s="1275"/>
      <c r="AK61" s="1275"/>
      <c r="AL61" s="1275"/>
      <c r="AM61" s="1275"/>
      <c r="AN61" s="1275"/>
      <c r="AO61" s="1275"/>
      <c r="AP61" s="1275"/>
      <c r="AQ61" s="1275"/>
    </row>
    <row s="1877" customFormat="1" customHeight="1" ht="17.25">
      <c r="A62" s="306"/>
      <c r="C62" s="305"/>
      <c r="D62" s="1974"/>
      <c r="E62" s="1976"/>
      <c r="F62" s="1978"/>
      <c r="G62" s="2611" t="s">
        <v>24</v>
      </c>
      <c r="H62" s="2363"/>
      <c r="I62" s="2375"/>
      <c r="J62" s="2364"/>
      <c r="K62" s="1972"/>
      <c r="L62" s="1972"/>
      <c r="M62" s="1972"/>
      <c r="N62" s="2367"/>
      <c r="O62" s="1972"/>
      <c r="P62" s="1972"/>
      <c r="Q62" s="2032"/>
      <c r="R62" s="2032"/>
      <c r="S62" s="1877"/>
      <c r="T62" s="1877"/>
      <c r="U62" s="1877"/>
      <c r="V62" s="1877"/>
      <c r="W62" s="2033"/>
      <c r="X62" s="1275"/>
      <c r="Y62" s="1275"/>
      <c r="Z62" s="1275"/>
      <c r="AA62" s="1275"/>
      <c r="AB62" s="1275"/>
      <c r="AC62" s="1275"/>
      <c r="AD62" s="1275"/>
      <c r="AE62" s="1275"/>
      <c r="AF62" s="1275"/>
      <c r="AG62" s="1275"/>
      <c r="AH62" s="1275"/>
      <c r="AI62" s="1275"/>
      <c r="AJ62" s="1275"/>
      <c r="AK62" s="1275"/>
      <c r="AL62" s="1275"/>
      <c r="AM62" s="1275"/>
      <c r="AN62" s="1275"/>
      <c r="AO62" s="1275"/>
      <c r="AP62" s="1275"/>
      <c r="AQ62" s="1275"/>
    </row>
    <row s="1877" customFormat="1" customHeight="1" ht="17.25">
      <c r="A63" s="306"/>
      <c r="C63" s="188"/>
      <c r="D63" s="1974"/>
      <c r="E63" s="1976"/>
      <c r="F63" s="1978"/>
      <c r="G63" s="2611" t="s">
        <v>24</v>
      </c>
      <c r="H63" s="2363"/>
      <c r="I63" s="2375"/>
      <c r="J63" s="2364"/>
      <c r="K63" s="1972"/>
      <c r="L63" s="2032"/>
      <c r="M63" s="2032"/>
      <c r="N63" s="2032"/>
      <c r="O63" s="2032"/>
      <c r="P63" s="2032"/>
      <c r="Q63" s="2032"/>
      <c r="R63" s="2032"/>
      <c r="S63" s="1877"/>
      <c r="T63" s="1877"/>
      <c r="U63" s="1877"/>
      <c r="V63" s="1877"/>
      <c r="W63" s="2033"/>
      <c r="Y63" s="1283"/>
      <c r="Z63" s="1283"/>
      <c r="AA63" s="1283"/>
      <c r="AB63" s="1283"/>
      <c r="AC63" s="1283"/>
      <c r="AD63" s="1283"/>
      <c r="AE63" s="1283"/>
      <c r="AF63" s="1283"/>
      <c r="AG63" s="1283"/>
      <c r="AH63" s="1283"/>
      <c r="AI63" s="1283"/>
      <c r="AJ63" s="1283"/>
      <c r="AK63" s="1283"/>
      <c r="AL63" s="1283"/>
      <c r="AM63" s="1283"/>
      <c r="AN63" s="1283"/>
      <c r="AO63" s="1283"/>
      <c r="AP63" s="1283"/>
      <c r="AQ63" s="1283"/>
    </row>
    <row s="1877" customFormat="1" customHeight="1" ht="17.25">
      <c r="A64" s="306"/>
      <c r="C64" s="305"/>
      <c r="D64" s="1974"/>
      <c r="E64" s="1976"/>
      <c r="F64" s="1979"/>
      <c r="G64" s="2611" t="s">
        <v>24</v>
      </c>
      <c r="H64" s="1316"/>
      <c r="I64" s="2030"/>
      <c r="J64" s="2030"/>
      <c r="K64" s="2030"/>
      <c r="L64" s="2030"/>
      <c r="M64" s="2030"/>
      <c r="N64" s="2030"/>
      <c r="O64" s="2030"/>
      <c r="P64" s="2030"/>
      <c r="Q64" s="2030"/>
      <c r="R64" s="2030"/>
      <c r="S64" s="1878"/>
      <c r="T64" s="1878"/>
      <c r="U64" s="1878"/>
      <c r="V64" s="1878"/>
      <c r="W64" s="2031"/>
      <c r="X64" s="1275"/>
      <c r="Y64" s="1275"/>
      <c r="Z64" s="1275"/>
      <c r="AA64" s="1275"/>
      <c r="AB64" s="1275"/>
      <c r="AC64" s="1275"/>
      <c r="AD64" s="1275"/>
      <c r="AE64" s="1275"/>
      <c r="AF64" s="1275"/>
      <c r="AG64" s="1275"/>
      <c r="AH64" s="1275"/>
      <c r="AI64" s="1275"/>
      <c r="AJ64" s="1275"/>
      <c r="AK64" s="1275"/>
      <c r="AL64" s="1275"/>
      <c r="AM64" s="1275"/>
      <c r="AN64" s="1275"/>
      <c r="AO64" s="1275"/>
      <c r="AP64" s="1275"/>
      <c r="AQ64" s="1275"/>
    </row>
    <row customHeight="1" ht="11.25"/>
    <row customHeight="1" ht="11.25">
      <c r="E66" s="1993" t="s">
        <v>228</v>
      </c>
      <c r="F66" s="1993"/>
      <c r="G66" s="1993"/>
      <c r="H66" s="1993"/>
      <c r="I66" s="1993"/>
      <c r="J66" s="1993"/>
      <c r="K66" s="1993"/>
      <c r="L66" s="1993"/>
      <c r="M66" s="1993"/>
      <c r="N66" s="1993"/>
      <c r="O66" s="1993"/>
      <c r="P66" s="1993"/>
      <c r="Q66" s="1993"/>
      <c r="R66" s="1993"/>
      <c r="S66" s="1993"/>
      <c r="T66" s="1993"/>
      <c r="U66" s="1993"/>
      <c r="V66" s="1993"/>
      <c r="W66" s="1993"/>
    </row>
    <row customHeight="1" ht="36.75">
      <c r="E67" s="1991" t="s">
        <v>229</v>
      </c>
      <c r="F67" s="1991"/>
      <c r="G67" s="1992"/>
      <c r="H67" s="1992"/>
      <c r="I67" s="1992"/>
      <c r="J67" s="1992"/>
      <c r="K67" s="1992"/>
      <c r="L67" s="1992"/>
      <c r="M67" s="1992"/>
      <c r="N67" s="1992"/>
      <c r="O67" s="1992"/>
      <c r="P67" s="1992"/>
      <c r="Q67" s="1992"/>
      <c r="R67" s="1992"/>
      <c r="S67" s="1992"/>
      <c r="T67" s="1992"/>
      <c r="U67" s="1992"/>
      <c r="V67" s="1992"/>
      <c r="W67" s="1992"/>
    </row>
    <row customHeight="1" ht="28.5">
      <c r="E68" s="1991" t="s">
        <v>230</v>
      </c>
      <c r="F68" s="1991"/>
      <c r="G68" s="1992"/>
      <c r="H68" s="1992"/>
      <c r="I68" s="1992"/>
      <c r="J68" s="1992"/>
      <c r="K68" s="1992"/>
      <c r="L68" s="1992"/>
      <c r="M68" s="1992"/>
      <c r="N68" s="1992"/>
      <c r="O68" s="1992"/>
      <c r="P68" s="1992"/>
      <c r="Q68" s="1992"/>
      <c r="R68" s="1992"/>
      <c r="S68" s="1992"/>
      <c r="T68" s="1992"/>
      <c r="U68" s="1992"/>
      <c r="V68" s="1992"/>
      <c r="W68" s="1992"/>
    </row>
    <row customHeight="1" ht="27">
      <c r="E69" s="1991" t="s">
        <v>231</v>
      </c>
      <c r="F69" s="1991"/>
      <c r="G69" s="1992"/>
      <c r="H69" s="1992"/>
      <c r="I69" s="1992"/>
      <c r="J69" s="1992"/>
      <c r="K69" s="1992"/>
      <c r="L69" s="1992"/>
      <c r="M69" s="1992"/>
      <c r="N69" s="1992"/>
      <c r="O69" s="1992"/>
      <c r="P69" s="1992"/>
      <c r="Q69" s="1992"/>
      <c r="R69" s="1992"/>
      <c r="S69" s="1992"/>
      <c r="T69" s="1992"/>
      <c r="U69" s="1992"/>
      <c r="V69" s="1992"/>
      <c r="W69" s="1992"/>
    </row>
    <row customHeight="1" ht="17.25">
      <c r="E70" s="1991" t="s">
        <v>232</v>
      </c>
      <c r="F70" s="1991"/>
      <c r="G70" s="1992"/>
      <c r="H70" s="1992"/>
      <c r="I70" s="1992"/>
      <c r="J70" s="1992"/>
      <c r="K70" s="1992"/>
      <c r="L70" s="1992"/>
      <c r="M70" s="1992"/>
      <c r="N70" s="1992"/>
      <c r="O70" s="1992"/>
      <c r="P70" s="1992"/>
      <c r="Q70" s="1992"/>
      <c r="R70" s="1992"/>
      <c r="S70" s="1992"/>
      <c r="T70" s="1992"/>
      <c r="U70" s="1992"/>
      <c r="V70" s="1992"/>
      <c r="W70" s="1992"/>
    </row>
    <row customHeight="1" ht="15">
      <c r="E71" s="328"/>
      <c r="F71" s="1302"/>
      <c r="G71" s="137"/>
      <c r="H71" s="137"/>
      <c r="I71" s="137"/>
      <c r="J71" s="137"/>
      <c r="K71" s="137"/>
      <c r="L71" s="137"/>
      <c r="M71" s="137"/>
      <c r="N71" s="137"/>
      <c r="O71" s="137"/>
      <c r="P71" s="137"/>
      <c r="Q71" s="137"/>
      <c r="R71" s="137"/>
      <c r="S71" s="137"/>
      <c r="T71" s="137"/>
      <c r="U71" s="137"/>
      <c r="V71" s="137"/>
      <c r="W71" s="137"/>
    </row>
    <row customHeight="1" ht="15">
      <c r="E72" s="1993" t="s">
        <v>233</v>
      </c>
      <c r="F72" s="1993"/>
      <c r="G72" s="1993"/>
      <c r="H72" s="1993"/>
      <c r="I72" s="1993"/>
      <c r="J72" s="1993"/>
      <c r="K72" s="1993"/>
      <c r="L72" s="1993"/>
      <c r="M72" s="1993"/>
      <c r="N72" s="1993"/>
      <c r="O72" s="1993"/>
      <c r="P72" s="1993"/>
      <c r="Q72" s="1993"/>
      <c r="R72" s="1993"/>
      <c r="S72" s="1993"/>
      <c r="T72" s="1993"/>
      <c r="U72" s="1993"/>
      <c r="V72" s="1993"/>
      <c r="W72" s="1993"/>
    </row>
    <row customHeight="1" ht="17.25">
      <c r="E73" s="1991" t="s">
        <v>234</v>
      </c>
      <c r="F73" s="1991"/>
      <c r="G73" s="1992"/>
      <c r="H73" s="1992"/>
      <c r="I73" s="1992"/>
      <c r="J73" s="1992"/>
      <c r="K73" s="1992"/>
      <c r="L73" s="1992"/>
      <c r="M73" s="1992"/>
      <c r="N73" s="1992"/>
      <c r="O73" s="1992"/>
      <c r="P73" s="1992"/>
      <c r="Q73" s="1992"/>
      <c r="R73" s="1992"/>
      <c r="S73" s="1992"/>
      <c r="T73" s="1992"/>
      <c r="U73" s="1992"/>
      <c r="V73" s="1992"/>
      <c r="W73" s="1992"/>
    </row>
    <row customHeight="1" ht="17.25">
      <c r="E74" s="1991" t="s">
        <v>235</v>
      </c>
      <c r="F74" s="1991"/>
      <c r="G74" s="1992"/>
      <c r="H74" s="1992"/>
      <c r="I74" s="1992"/>
      <c r="J74" s="1992"/>
      <c r="K74" s="1992"/>
      <c r="L74" s="1992"/>
      <c r="M74" s="1992"/>
      <c r="N74" s="1992"/>
      <c r="O74" s="1992"/>
      <c r="P74" s="1992"/>
      <c r="Q74" s="1992"/>
      <c r="R74" s="1992"/>
      <c r="S74" s="1992"/>
      <c r="T74" s="1992"/>
      <c r="U74" s="1992"/>
      <c r="V74" s="1992"/>
      <c r="W74" s="1992"/>
    </row>
    <row s="1877" customFormat="1" customHeight="1" ht="11.25" hidden="1">
      <c r="A75" s="256"/>
      <c r="B75" s="256"/>
      <c r="Y75" s="1275"/>
      <c r="Z75" s="1275"/>
      <c r="AA75" s="1275"/>
      <c r="AB75" s="1275"/>
      <c r="AC75" s="1275"/>
      <c r="AD75" s="1275"/>
      <c r="AE75" s="1275"/>
      <c r="AF75" s="1275"/>
      <c r="AG75" s="1275"/>
      <c r="AH75" s="1275"/>
      <c r="AI75" s="1275"/>
      <c r="AJ75" s="1275"/>
      <c r="AK75" s="1275"/>
      <c r="AL75" s="1275"/>
      <c r="AM75" s="1275"/>
      <c r="AN75" s="1275"/>
      <c r="AO75" s="1275"/>
      <c r="AP75" s="1275"/>
      <c r="AQ75" s="1275"/>
    </row>
    <row s="1877" customFormat="1" customHeight="1" ht="17.25" hidden="1">
      <c r="A76" s="306"/>
      <c r="C76" s="188"/>
      <c r="D76" s="1973">
        <v>1</v>
      </c>
      <c r="E76" s="1975" t="s">
        <v>236</v>
      </c>
      <c r="F76" s="1977" t="s">
        <v>56</v>
      </c>
      <c r="G76" s="1975"/>
      <c r="H76" s="1980"/>
      <c r="I76" s="1982"/>
      <c r="J76" s="1984"/>
      <c r="K76" s="1971"/>
      <c r="L76" s="1971"/>
      <c r="M76" s="1971"/>
      <c r="N76" s="1987"/>
      <c r="O76" s="1971"/>
      <c r="P76" s="1971"/>
      <c r="Q76" s="1971"/>
      <c r="R76" s="1990"/>
      <c r="S76" s="1971"/>
      <c r="T76" s="1487"/>
      <c r="U76" s="1487"/>
      <c r="V76" s="1489"/>
      <c r="W76" s="1313"/>
      <c r="Y76" s="1283"/>
      <c r="Z76" s="1283"/>
      <c r="AA76" s="1283"/>
      <c r="AB76" s="1283"/>
      <c r="AC76" s="1283" t="s">
        <v>237</v>
      </c>
      <c r="AD76" s="1283" t="s">
        <v>238</v>
      </c>
      <c r="AE76" s="1283" t="s">
        <v>239</v>
      </c>
      <c r="AF76" s="1283" t="s">
        <v>240</v>
      </c>
      <c r="AG76" s="1283"/>
      <c r="AH76" s="1283" t="str">
        <f>IF($E$76=0,"",$E$76)</f>
        <v>Тариф на питьевую воду (питьевое водоснабжение)</v>
      </c>
      <c r="AI76" s="1283" t="str">
        <f>IF($G$76=0,"",$G$76)</f>
        <v/>
      </c>
      <c r="AJ76" s="1283" t="str">
        <f>IF($J$76=0,"",$J$76)</f>
        <v/>
      </c>
      <c r="AK76" s="1283" t="str">
        <f>IF($K$76="нет","без дифференциации",IF($N$76=0,"",$N$76))</f>
        <v/>
      </c>
      <c r="AL76" s="1283" t="str">
        <f>IF($O$76="нет","без дифференциации",IF($R$76=0,"",$R$76))</f>
        <v/>
      </c>
      <c r="AM76" s="1283" t="str">
        <f>IF($S$76="нет","без дифференциации",IF($V$76=0,"",$V$76))</f>
        <v/>
      </c>
      <c r="AN76" s="1283">
        <f>$I$76</f>
        <v>0</v>
      </c>
      <c r="AO76" s="1283" t="str">
        <f>$I$76&amp;"."&amp;$M$76</f>
        <v>.</v>
      </c>
      <c r="AP76" s="1283" t="str">
        <f>$I$76&amp;"."&amp;$M$76&amp;"."&amp;$Q$76</f>
        <v>..</v>
      </c>
      <c r="AQ76" s="1283" t="str">
        <f>$I$76&amp;"."&amp;$M$76&amp;"."&amp;$Q$76&amp;"."&amp;$U$76</f>
        <v>...</v>
      </c>
    </row>
    <row s="1877" customFormat="1" customHeight="1" ht="17.25" hidden="1">
      <c r="A77" s="306"/>
      <c r="C77" s="305"/>
      <c r="D77" s="1973"/>
      <c r="E77" s="1975"/>
      <c r="F77" s="1978"/>
      <c r="G77" s="1975"/>
      <c r="H77" s="1981"/>
      <c r="I77" s="1983"/>
      <c r="J77" s="1985"/>
      <c r="K77" s="1972"/>
      <c r="L77" s="1972"/>
      <c r="M77" s="1972"/>
      <c r="N77" s="1988"/>
      <c r="O77" s="1972"/>
      <c r="P77" s="1972"/>
      <c r="Q77" s="1972"/>
      <c r="R77" s="1989"/>
      <c r="S77" s="1972"/>
      <c r="T77" s="1314"/>
      <c r="U77" s="1314"/>
      <c r="V77" s="1314"/>
      <c r="W77" s="1315"/>
      <c r="Y77" s="1275"/>
      <c r="Z77" s="1275"/>
      <c r="AA77" s="1275"/>
      <c r="AB77" s="1275"/>
      <c r="AC77" s="1275"/>
      <c r="AD77" s="1275"/>
      <c r="AE77" s="1275"/>
      <c r="AF77" s="1275"/>
      <c r="AG77" s="1275"/>
      <c r="AH77" s="1275"/>
      <c r="AI77" s="1275"/>
      <c r="AJ77" s="1275"/>
      <c r="AK77" s="1275"/>
      <c r="AL77" s="1275"/>
      <c r="AM77" s="1275"/>
      <c r="AN77" s="1275"/>
      <c r="AO77" s="1275"/>
      <c r="AP77" s="1275"/>
      <c r="AQ77" s="1275"/>
    </row>
    <row s="1877" customFormat="1" customHeight="1" ht="17.25" hidden="1">
      <c r="A78" s="306"/>
      <c r="C78" s="188"/>
      <c r="D78" s="1973"/>
      <c r="E78" s="1975"/>
      <c r="F78" s="1978"/>
      <c r="G78" s="1975"/>
      <c r="H78" s="1981"/>
      <c r="I78" s="1983"/>
      <c r="J78" s="1986"/>
      <c r="K78" s="1972"/>
      <c r="L78" s="1972"/>
      <c r="M78" s="1972"/>
      <c r="N78" s="1989"/>
      <c r="O78" s="1972"/>
      <c r="P78" s="1488"/>
      <c r="Q78" s="1314"/>
      <c r="R78" s="1314"/>
      <c r="S78" s="317"/>
      <c r="T78" s="317"/>
      <c r="U78" s="317"/>
      <c r="V78" s="317"/>
      <c r="W78" s="1315"/>
      <c r="Y78" s="1283"/>
      <c r="Z78" s="1283"/>
      <c r="AA78" s="1283"/>
      <c r="AB78" s="1283"/>
      <c r="AC78" s="1283"/>
      <c r="AD78" s="1283"/>
      <c r="AE78" s="1283"/>
      <c r="AF78" s="1283"/>
      <c r="AG78" s="1283"/>
      <c r="AH78" s="1283"/>
      <c r="AI78" s="1283"/>
      <c r="AJ78" s="1283"/>
      <c r="AK78" s="1283"/>
      <c r="AL78" s="1283"/>
      <c r="AM78" s="1283"/>
      <c r="AN78" s="1283"/>
      <c r="AO78" s="1283"/>
      <c r="AP78" s="1283"/>
      <c r="AQ78" s="1283"/>
    </row>
    <row s="1877" customFormat="1" customHeight="1" ht="17.25" hidden="1">
      <c r="A79" s="306"/>
      <c r="C79" s="305"/>
      <c r="D79" s="1973"/>
      <c r="E79" s="1975"/>
      <c r="F79" s="1978"/>
      <c r="G79" s="1975"/>
      <c r="H79" s="1981"/>
      <c r="I79" s="1983"/>
      <c r="J79" s="1986"/>
      <c r="K79" s="1972"/>
      <c r="L79" s="1314"/>
      <c r="M79" s="1314"/>
      <c r="N79" s="1314"/>
      <c r="O79" s="1314"/>
      <c r="P79" s="1314"/>
      <c r="Q79" s="1314"/>
      <c r="R79" s="1314"/>
      <c r="S79" s="317"/>
      <c r="T79" s="317"/>
      <c r="U79" s="317"/>
      <c r="V79" s="317"/>
      <c r="W79" s="1315"/>
      <c r="Y79" s="1275"/>
      <c r="Z79" s="1275"/>
      <c r="AA79" s="1275"/>
      <c r="AB79" s="1275"/>
      <c r="AC79" s="1275"/>
      <c r="AD79" s="1275"/>
      <c r="AE79" s="1275"/>
      <c r="AF79" s="1275"/>
      <c r="AG79" s="1275"/>
      <c r="AH79" s="1275"/>
      <c r="AI79" s="1275"/>
      <c r="AJ79" s="1275"/>
      <c r="AK79" s="1275"/>
      <c r="AL79" s="1275"/>
      <c r="AM79" s="1275"/>
      <c r="AN79" s="1275"/>
      <c r="AO79" s="1275"/>
      <c r="AP79" s="1275"/>
      <c r="AQ79" s="1275"/>
    </row>
    <row s="1877" customFormat="1" customHeight="1" ht="17.25" hidden="1">
      <c r="A80" s="306"/>
      <c r="C80" s="305"/>
      <c r="D80" s="1974"/>
      <c r="E80" s="1976"/>
      <c r="F80" s="1979"/>
      <c r="G80" s="1976"/>
      <c r="H80" s="1316"/>
      <c r="I80" s="1317"/>
      <c r="J80" s="1317"/>
      <c r="K80" s="1317"/>
      <c r="L80" s="1317"/>
      <c r="M80" s="1317"/>
      <c r="N80" s="1317"/>
      <c r="O80" s="1317"/>
      <c r="P80" s="1317"/>
      <c r="Q80" s="1317"/>
      <c r="R80" s="1317"/>
      <c r="S80" s="1318"/>
      <c r="T80" s="1318"/>
      <c r="U80" s="1318"/>
      <c r="V80" s="1318"/>
      <c r="W80" s="1319"/>
      <c r="Y80" s="1275"/>
      <c r="Z80" s="1275"/>
      <c r="AA80" s="1275"/>
      <c r="AB80" s="1275"/>
      <c r="AC80" s="1275"/>
      <c r="AD80" s="1275"/>
      <c r="AE80" s="1275"/>
      <c r="AF80" s="1275"/>
      <c r="AG80" s="1275"/>
      <c r="AH80" s="1275"/>
      <c r="AI80" s="1275"/>
      <c r="AJ80" s="1275"/>
      <c r="AK80" s="1275"/>
      <c r="AL80" s="1275"/>
      <c r="AM80" s="1275"/>
      <c r="AN80" s="1275"/>
      <c r="AO80" s="1275"/>
      <c r="AP80" s="1275"/>
      <c r="AQ80" s="1275"/>
    </row>
    <row s="1877" customFormat="1" customHeight="1" ht="17.25" hidden="1">
      <c r="A81" s="306"/>
      <c r="C81" s="188"/>
      <c r="D81" s="1973">
        <v>2</v>
      </c>
      <c r="E81" s="1975" t="s">
        <v>241</v>
      </c>
      <c r="F81" s="1977" t="s">
        <v>56</v>
      </c>
      <c r="G81" s="1975"/>
      <c r="H81" s="1980"/>
      <c r="I81" s="1982"/>
      <c r="J81" s="1984"/>
      <c r="K81" s="1971"/>
      <c r="L81" s="1971"/>
      <c r="M81" s="1971"/>
      <c r="N81" s="1987"/>
      <c r="O81" s="1971"/>
      <c r="P81" s="1971"/>
      <c r="Q81" s="1971"/>
      <c r="R81" s="1990"/>
      <c r="S81" s="1971"/>
      <c r="T81" s="1460"/>
      <c r="U81" s="1460"/>
      <c r="V81" s="1462"/>
      <c r="W81" s="1313"/>
      <c r="X81" s="1283"/>
      <c r="Y81" s="1283"/>
      <c r="Z81" s="1283"/>
      <c r="AA81" s="1283"/>
      <c r="AB81" s="1283"/>
      <c r="AC81" s="1283" t="s">
        <v>242</v>
      </c>
      <c r="AD81" s="1283" t="s">
        <v>243</v>
      </c>
      <c r="AE81" s="1283" t="s">
        <v>244</v>
      </c>
      <c r="AF81" s="1283" t="s">
        <v>245</v>
      </c>
      <c r="AG81" s="1283"/>
      <c r="AH81" s="1283" t="str">
        <f>IF($E$81=0,"",$E$81)</f>
        <v>Тариф на техническую воду</v>
      </c>
      <c r="AI81" s="1283" t="str">
        <f>IF($G$81=0,"",$G$81)</f>
        <v/>
      </c>
      <c r="AJ81" s="1283" t="str">
        <f>IF($J$81=0,"",$J$81)</f>
        <v/>
      </c>
      <c r="AK81" s="1283" t="str">
        <f>IF($K$81="нет","без дифференциации",IF($N$81=0,"",$N$81))</f>
        <v/>
      </c>
      <c r="AL81" s="1283" t="str">
        <f>IF($O$81="нет","без дифференциации",IF($R$81=0,"",$R$81))</f>
        <v/>
      </c>
      <c r="AM81" s="1283" t="str">
        <f>IF($S$81="нет","без дифференциации",IF($V$81=0,"",$V$81))</f>
        <v/>
      </c>
      <c r="AN81" s="1797">
        <f>$I$81</f>
        <v>0</v>
      </c>
      <c r="AO81" s="1283" t="str">
        <f>$I$81&amp;"."&amp;$M$81</f>
        <v>.</v>
      </c>
      <c r="AP81" s="1275" t="str">
        <f>$I$81&amp;"."&amp;$M$81&amp;"."&amp;$Q$81</f>
        <v>..</v>
      </c>
      <c r="AQ81" s="1275" t="str">
        <f>$I$81&amp;"."&amp;$M$81&amp;"."&amp;$Q$81&amp;"."&amp;$U$81</f>
        <v>...</v>
      </c>
    </row>
    <row s="1877" customFormat="1" customHeight="1" ht="17.25" hidden="1">
      <c r="A82" s="306"/>
      <c r="C82" s="305"/>
      <c r="D82" s="1973"/>
      <c r="E82" s="1975"/>
      <c r="F82" s="1978"/>
      <c r="G82" s="1975"/>
      <c r="H82" s="1981"/>
      <c r="I82" s="1983"/>
      <c r="J82" s="1985"/>
      <c r="K82" s="1972"/>
      <c r="L82" s="1972"/>
      <c r="M82" s="1972"/>
      <c r="N82" s="1988"/>
      <c r="O82" s="1972"/>
      <c r="P82" s="1972"/>
      <c r="Q82" s="1972"/>
      <c r="R82" s="1989"/>
      <c r="S82" s="1972"/>
      <c r="T82" s="1314"/>
      <c r="U82" s="1314"/>
      <c r="V82" s="1314"/>
      <c r="W82" s="1315"/>
      <c r="X82" s="1275"/>
      <c r="Y82" s="1275"/>
      <c r="Z82" s="1275"/>
      <c r="AA82" s="1275"/>
      <c r="AB82" s="1275"/>
      <c r="AC82" s="1275"/>
      <c r="AD82" s="1275"/>
      <c r="AE82" s="1275"/>
      <c r="AF82" s="1275"/>
      <c r="AG82" s="1275"/>
      <c r="AH82" s="1275"/>
      <c r="AI82" s="1275"/>
      <c r="AJ82" s="1275"/>
      <c r="AK82" s="1275"/>
      <c r="AL82" s="1275"/>
      <c r="AM82" s="1275"/>
      <c r="AN82" s="1275"/>
      <c r="AO82" s="1275"/>
      <c r="AP82" s="1275"/>
      <c r="AQ82" s="1275"/>
    </row>
    <row s="1877" customFormat="1" customHeight="1" ht="17.25" hidden="1">
      <c r="A83" s="306"/>
      <c r="C83" s="305"/>
      <c r="D83" s="1974"/>
      <c r="E83" s="1976"/>
      <c r="F83" s="1978"/>
      <c r="G83" s="1976"/>
      <c r="H83" s="1981"/>
      <c r="I83" s="1983"/>
      <c r="J83" s="1986"/>
      <c r="K83" s="1972"/>
      <c r="L83" s="1972"/>
      <c r="M83" s="1972"/>
      <c r="N83" s="1989"/>
      <c r="O83" s="1972"/>
      <c r="P83" s="1461"/>
      <c r="Q83" s="1314"/>
      <c r="R83" s="1314"/>
      <c r="S83" s="317"/>
      <c r="T83" s="317"/>
      <c r="U83" s="317"/>
      <c r="V83" s="317"/>
      <c r="W83" s="1315"/>
      <c r="X83" s="1275"/>
      <c r="Y83" s="1275"/>
      <c r="Z83" s="1275"/>
      <c r="AA83" s="1275"/>
      <c r="AB83" s="1275"/>
      <c r="AC83" s="1275"/>
      <c r="AD83" s="1275"/>
      <c r="AE83" s="1275"/>
      <c r="AF83" s="1275"/>
      <c r="AG83" s="1275"/>
      <c r="AH83" s="1275"/>
      <c r="AI83" s="1275"/>
      <c r="AJ83" s="1275"/>
      <c r="AK83" s="1275"/>
      <c r="AL83" s="1275"/>
      <c r="AM83" s="1275"/>
      <c r="AN83" s="1275"/>
      <c r="AO83" s="1275"/>
      <c r="AP83" s="1275"/>
      <c r="AQ83" s="1275"/>
    </row>
    <row s="1877" customFormat="1" customHeight="1" ht="17.25" hidden="1">
      <c r="A84" s="306"/>
      <c r="C84" s="305"/>
      <c r="D84" s="1974"/>
      <c r="E84" s="1976"/>
      <c r="F84" s="1978"/>
      <c r="G84" s="1976"/>
      <c r="H84" s="1981"/>
      <c r="I84" s="1983"/>
      <c r="J84" s="1986"/>
      <c r="K84" s="1972"/>
      <c r="L84" s="1314"/>
      <c r="M84" s="1314"/>
      <c r="N84" s="1314"/>
      <c r="O84" s="1314"/>
      <c r="P84" s="1314"/>
      <c r="Q84" s="1314"/>
      <c r="R84" s="1314"/>
      <c r="S84" s="317"/>
      <c r="T84" s="317"/>
      <c r="U84" s="317"/>
      <c r="V84" s="317"/>
      <c r="W84" s="1315"/>
      <c r="X84" s="1275"/>
      <c r="Y84" s="1275"/>
      <c r="Z84" s="1275"/>
      <c r="AA84" s="1275"/>
      <c r="AB84" s="1275"/>
      <c r="AC84" s="1275"/>
      <c r="AD84" s="1275"/>
      <c r="AE84" s="1275"/>
      <c r="AF84" s="1275"/>
      <c r="AG84" s="1275"/>
      <c r="AH84" s="1275"/>
      <c r="AI84" s="1275"/>
      <c r="AJ84" s="1275"/>
      <c r="AK84" s="1275"/>
      <c r="AL84" s="1275"/>
      <c r="AM84" s="1275"/>
      <c r="AN84" s="1275"/>
      <c r="AO84" s="1275"/>
      <c r="AP84" s="1275"/>
      <c r="AQ84" s="1275"/>
    </row>
    <row s="1877" customFormat="1" customHeight="1" ht="17.25" hidden="1">
      <c r="A85" s="306"/>
      <c r="C85" s="305"/>
      <c r="D85" s="1974"/>
      <c r="E85" s="1976"/>
      <c r="F85" s="1979"/>
      <c r="G85" s="1976"/>
      <c r="H85" s="1316"/>
      <c r="I85" s="1317"/>
      <c r="J85" s="1317"/>
      <c r="K85" s="1317"/>
      <c r="L85" s="1317"/>
      <c r="M85" s="1317"/>
      <c r="N85" s="1317"/>
      <c r="O85" s="1317"/>
      <c r="P85" s="1317"/>
      <c r="Q85" s="1317"/>
      <c r="R85" s="1317"/>
      <c r="S85" s="1318"/>
      <c r="T85" s="1318"/>
      <c r="U85" s="1318"/>
      <c r="V85" s="1318"/>
      <c r="W85" s="1319"/>
      <c r="X85" s="1275"/>
      <c r="Y85" s="1275"/>
      <c r="Z85" s="1275"/>
      <c r="AA85" s="1275"/>
      <c r="AB85" s="1275"/>
      <c r="AC85" s="1275"/>
      <c r="AD85" s="1275"/>
      <c r="AE85" s="1275"/>
      <c r="AF85" s="1275"/>
      <c r="AG85" s="1275"/>
      <c r="AH85" s="1275"/>
      <c r="AI85" s="1275"/>
      <c r="AJ85" s="1275"/>
      <c r="AK85" s="1275"/>
      <c r="AL85" s="1275"/>
      <c r="AM85" s="1275"/>
      <c r="AN85" s="1275"/>
      <c r="AO85" s="1275"/>
      <c r="AP85" s="1275"/>
      <c r="AQ85" s="1275"/>
    </row>
    <row s="1877" customFormat="1" customHeight="1" ht="17.25" hidden="1">
      <c r="A86" s="306"/>
      <c r="C86" s="188"/>
      <c r="D86" s="1973">
        <v>3</v>
      </c>
      <c r="E86" s="1975" t="s">
        <v>246</v>
      </c>
      <c r="F86" s="1977" t="s">
        <v>56</v>
      </c>
      <c r="G86" s="1975"/>
      <c r="H86" s="1980"/>
      <c r="I86" s="1982"/>
      <c r="J86" s="1984"/>
      <c r="K86" s="1971"/>
      <c r="L86" s="1971"/>
      <c r="M86" s="1971"/>
      <c r="N86" s="1987"/>
      <c r="O86" s="1971"/>
      <c r="P86" s="1971"/>
      <c r="Q86" s="1971"/>
      <c r="R86" s="1990"/>
      <c r="S86" s="1971"/>
      <c r="T86" s="1460"/>
      <c r="U86" s="1460"/>
      <c r="V86" s="1462"/>
      <c r="W86" s="1313"/>
      <c r="X86" s="1283"/>
      <c r="Y86" s="1283"/>
      <c r="Z86" s="1283"/>
      <c r="AA86" s="1283"/>
      <c r="AB86" s="1283"/>
      <c r="AC86" s="1283" t="s">
        <v>247</v>
      </c>
      <c r="AD86" s="1283" t="s">
        <v>248</v>
      </c>
      <c r="AE86" s="1283" t="s">
        <v>249</v>
      </c>
      <c r="AF86" s="1283" t="s">
        <v>250</v>
      </c>
      <c r="AG86" s="1283"/>
      <c r="AH86" s="1283" t="str">
        <f>IF($E$86=0,"",$E$86)</f>
        <v>Тариф на транспортировку воды</v>
      </c>
      <c r="AI86" s="1283" t="str">
        <f>IF($G$86=0,"",$G$86)</f>
        <v/>
      </c>
      <c r="AJ86" s="1283" t="str">
        <f>IF($J$86=0,"",$J$86)</f>
        <v/>
      </c>
      <c r="AK86" s="1283" t="str">
        <f>IF($K$86="нет","без дифференциации",IF($N$86=0,"",$N$86))</f>
        <v/>
      </c>
      <c r="AL86" s="1283" t="str">
        <f>IF($O$86="нет","без дифференциации",IF($R$86=0,"",$R$86))</f>
        <v/>
      </c>
      <c r="AM86" s="1283" t="str">
        <f>IF($S$86="нет","без дифференциации",IF($V$86=0,"",$V$86))</f>
        <v/>
      </c>
      <c r="AN86" s="1797">
        <f>$I$86</f>
        <v>0</v>
      </c>
      <c r="AO86" s="1283" t="str">
        <f>$I$86&amp;"."&amp;$M$86</f>
        <v>.</v>
      </c>
      <c r="AP86" s="1275" t="str">
        <f>$I$86&amp;"."&amp;$M$86&amp;"."&amp;$Q$86</f>
        <v>..</v>
      </c>
      <c r="AQ86" s="1275" t="str">
        <f>$I$86&amp;"."&amp;$M$86&amp;"."&amp;$Q$86&amp;"."&amp;$U$86</f>
        <v>...</v>
      </c>
    </row>
    <row s="1877" customFormat="1" customHeight="1" ht="17.25" hidden="1">
      <c r="A87" s="306"/>
      <c r="C87" s="305"/>
      <c r="D87" s="1973"/>
      <c r="E87" s="1975"/>
      <c r="F87" s="1978"/>
      <c r="G87" s="1975"/>
      <c r="H87" s="1981"/>
      <c r="I87" s="1983"/>
      <c r="J87" s="1985"/>
      <c r="K87" s="1972"/>
      <c r="L87" s="1972"/>
      <c r="M87" s="1972"/>
      <c r="N87" s="1988"/>
      <c r="O87" s="1972"/>
      <c r="P87" s="1972"/>
      <c r="Q87" s="1972"/>
      <c r="R87" s="1989"/>
      <c r="S87" s="1972"/>
      <c r="T87" s="1314"/>
      <c r="U87" s="1314"/>
      <c r="V87" s="1314"/>
      <c r="W87" s="1315"/>
      <c r="X87" s="1275"/>
      <c r="Y87" s="1275"/>
      <c r="Z87" s="1275"/>
      <c r="AA87" s="1275"/>
      <c r="AB87" s="1275"/>
      <c r="AC87" s="1275"/>
      <c r="AD87" s="1275"/>
      <c r="AE87" s="1275"/>
      <c r="AF87" s="1275"/>
      <c r="AG87" s="1275"/>
      <c r="AH87" s="1275"/>
      <c r="AI87" s="1275"/>
      <c r="AJ87" s="1275"/>
      <c r="AK87" s="1275"/>
      <c r="AL87" s="1275"/>
      <c r="AM87" s="1275"/>
      <c r="AN87" s="1275"/>
      <c r="AO87" s="1275"/>
      <c r="AP87" s="1275"/>
      <c r="AQ87" s="1275"/>
    </row>
    <row s="1877" customFormat="1" customHeight="1" ht="17.25" hidden="1">
      <c r="A88" s="306"/>
      <c r="C88" s="305"/>
      <c r="D88" s="1974"/>
      <c r="E88" s="1976"/>
      <c r="F88" s="1978"/>
      <c r="G88" s="1976"/>
      <c r="H88" s="1981"/>
      <c r="I88" s="1983"/>
      <c r="J88" s="1986"/>
      <c r="K88" s="1972"/>
      <c r="L88" s="1972"/>
      <c r="M88" s="1972"/>
      <c r="N88" s="1989"/>
      <c r="O88" s="1972"/>
      <c r="P88" s="1461"/>
      <c r="Q88" s="1314"/>
      <c r="R88" s="1314"/>
      <c r="S88" s="317"/>
      <c r="T88" s="317"/>
      <c r="U88" s="317"/>
      <c r="V88" s="317"/>
      <c r="W88" s="1315"/>
      <c r="X88" s="1275"/>
      <c r="Y88" s="1275"/>
      <c r="Z88" s="1275"/>
      <c r="AA88" s="1275"/>
      <c r="AB88" s="1275"/>
      <c r="AC88" s="1275"/>
      <c r="AD88" s="1275"/>
      <c r="AE88" s="1275"/>
      <c r="AF88" s="1275"/>
      <c r="AG88" s="1275"/>
      <c r="AH88" s="1275"/>
      <c r="AI88" s="1275"/>
      <c r="AJ88" s="1275"/>
      <c r="AK88" s="1275"/>
      <c r="AL88" s="1275"/>
      <c r="AM88" s="1275"/>
      <c r="AN88" s="1275"/>
      <c r="AO88" s="1275"/>
      <c r="AP88" s="1275"/>
      <c r="AQ88" s="1275"/>
    </row>
    <row s="1877" customFormat="1" customHeight="1" ht="17.25" hidden="1">
      <c r="A89" s="306"/>
      <c r="C89" s="305"/>
      <c r="D89" s="1974"/>
      <c r="E89" s="1976"/>
      <c r="F89" s="1978"/>
      <c r="G89" s="1976"/>
      <c r="H89" s="1981"/>
      <c r="I89" s="1983"/>
      <c r="J89" s="1986"/>
      <c r="K89" s="1972"/>
      <c r="L89" s="1314"/>
      <c r="M89" s="1314"/>
      <c r="N89" s="1314"/>
      <c r="O89" s="1314"/>
      <c r="P89" s="1314"/>
      <c r="Q89" s="1314"/>
      <c r="R89" s="1314"/>
      <c r="S89" s="317"/>
      <c r="T89" s="317"/>
      <c r="U89" s="317"/>
      <c r="V89" s="317"/>
      <c r="W89" s="1315"/>
      <c r="X89" s="1275"/>
      <c r="Y89" s="1275"/>
      <c r="Z89" s="1275"/>
      <c r="AA89" s="1275"/>
      <c r="AB89" s="1275"/>
      <c r="AC89" s="1275"/>
      <c r="AD89" s="1275"/>
      <c r="AE89" s="1275"/>
      <c r="AF89" s="1275"/>
      <c r="AG89" s="1275"/>
      <c r="AH89" s="1275"/>
      <c r="AI89" s="1275"/>
      <c r="AJ89" s="1275"/>
      <c r="AK89" s="1275"/>
      <c r="AL89" s="1275"/>
      <c r="AM89" s="1275"/>
      <c r="AN89" s="1275"/>
      <c r="AO89" s="1275"/>
      <c r="AP89" s="1275"/>
      <c r="AQ89" s="1275"/>
    </row>
    <row s="1877" customFormat="1" customHeight="1" ht="17.25" hidden="1">
      <c r="A90" s="306"/>
      <c r="C90" s="305"/>
      <c r="D90" s="1974"/>
      <c r="E90" s="1976"/>
      <c r="F90" s="1979"/>
      <c r="G90" s="1976"/>
      <c r="H90" s="1316"/>
      <c r="I90" s="1317"/>
      <c r="J90" s="1317"/>
      <c r="K90" s="1317"/>
      <c r="L90" s="1317"/>
      <c r="M90" s="1317"/>
      <c r="N90" s="1317"/>
      <c r="O90" s="1317"/>
      <c r="P90" s="1317"/>
      <c r="Q90" s="1317"/>
      <c r="R90" s="1317"/>
      <c r="S90" s="1318"/>
      <c r="T90" s="1318"/>
      <c r="U90" s="1318"/>
      <c r="V90" s="1318"/>
      <c r="W90" s="1319"/>
      <c r="X90" s="1275"/>
      <c r="Y90" s="1275"/>
      <c r="Z90" s="1275"/>
      <c r="AA90" s="1275"/>
      <c r="AB90" s="1275"/>
      <c r="AC90" s="1275"/>
      <c r="AD90" s="1275"/>
      <c r="AE90" s="1275"/>
      <c r="AF90" s="1275"/>
      <c r="AG90" s="1275"/>
      <c r="AH90" s="1275"/>
      <c r="AI90" s="1275"/>
      <c r="AJ90" s="1275"/>
      <c r="AK90" s="1275"/>
      <c r="AL90" s="1275"/>
      <c r="AM90" s="1275"/>
      <c r="AN90" s="1275"/>
      <c r="AO90" s="1275"/>
      <c r="AP90" s="1275"/>
      <c r="AQ90" s="1275"/>
    </row>
    <row s="1877" customFormat="1" customHeight="1" ht="17.25" hidden="1">
      <c r="A91" s="306"/>
      <c r="C91" s="188"/>
      <c r="D91" s="1973">
        <v>4</v>
      </c>
      <c r="E91" s="1975" t="s">
        <v>251</v>
      </c>
      <c r="F91" s="1977" t="s">
        <v>56</v>
      </c>
      <c r="G91" s="1975"/>
      <c r="H91" s="1980"/>
      <c r="I91" s="1982"/>
      <c r="J91" s="1984"/>
      <c r="K91" s="1971"/>
      <c r="L91" s="1971"/>
      <c r="M91" s="1971"/>
      <c r="N91" s="1987"/>
      <c r="O91" s="1971"/>
      <c r="P91" s="1971"/>
      <c r="Q91" s="1971"/>
      <c r="R91" s="1990"/>
      <c r="S91" s="1971"/>
      <c r="T91" s="1460"/>
      <c r="U91" s="1460"/>
      <c r="V91" s="1462"/>
      <c r="W91" s="1313"/>
      <c r="X91" s="1283"/>
      <c r="Y91" s="1283"/>
      <c r="Z91" s="1283"/>
      <c r="AA91" s="1283"/>
      <c r="AB91" s="1283"/>
      <c r="AC91" s="1283" t="s">
        <v>252</v>
      </c>
      <c r="AD91" s="1283" t="s">
        <v>253</v>
      </c>
      <c r="AE91" s="1283" t="s">
        <v>254</v>
      </c>
      <c r="AF91" s="1283" t="s">
        <v>255</v>
      </c>
      <c r="AG91" s="1283"/>
      <c r="AH91" s="1283" t="str">
        <f>IF($E$91=0,"",$E$91)</f>
        <v>Тариф на подвоз воды</v>
      </c>
      <c r="AI91" s="1283" t="str">
        <f>IF($G$91=0,"",$G$91)</f>
        <v/>
      </c>
      <c r="AJ91" s="1283" t="str">
        <f>IF($J$91=0,"",$J$91)</f>
        <v/>
      </c>
      <c r="AK91" s="1283" t="str">
        <f>IF($K$91="нет","без дифференциации",IF($N$91=0,"",$N$91))</f>
        <v/>
      </c>
      <c r="AL91" s="1283" t="str">
        <f>IF($O$91="нет","без дифференциации",IF($R$91=0,"",$R$91))</f>
        <v/>
      </c>
      <c r="AM91" s="1283" t="str">
        <f>IF($S$91="нет","без дифференциации",IF($V$91=0,"",$V$91))</f>
        <v/>
      </c>
      <c r="AN91" s="1797">
        <f>$I$91</f>
        <v>0</v>
      </c>
      <c r="AO91" s="1283" t="str">
        <f>$I$91&amp;"."&amp;$M$91</f>
        <v>.</v>
      </c>
      <c r="AP91" s="1275" t="str">
        <f>$I$91&amp;"."&amp;$M$91&amp;"."&amp;$Q$91</f>
        <v>..</v>
      </c>
      <c r="AQ91" s="1275" t="str">
        <f>$I$91&amp;"."&amp;$M$91&amp;"."&amp;$Q$91&amp;"."&amp;$U$91</f>
        <v>...</v>
      </c>
    </row>
    <row s="1877" customFormat="1" customHeight="1" ht="17.25" hidden="1">
      <c r="A92" s="306"/>
      <c r="C92" s="305"/>
      <c r="D92" s="1973"/>
      <c r="E92" s="1975"/>
      <c r="F92" s="1978"/>
      <c r="G92" s="1975"/>
      <c r="H92" s="1981"/>
      <c r="I92" s="1983"/>
      <c r="J92" s="1985"/>
      <c r="K92" s="1972"/>
      <c r="L92" s="1972"/>
      <c r="M92" s="1972"/>
      <c r="N92" s="1988"/>
      <c r="O92" s="1972"/>
      <c r="P92" s="1972"/>
      <c r="Q92" s="1972"/>
      <c r="R92" s="1989"/>
      <c r="S92" s="1972"/>
      <c r="T92" s="1314"/>
      <c r="U92" s="1314"/>
      <c r="V92" s="1314"/>
      <c r="W92" s="1315"/>
      <c r="X92" s="1275"/>
      <c r="Y92" s="1275"/>
      <c r="Z92" s="1275"/>
      <c r="AA92" s="1275"/>
      <c r="AB92" s="1275"/>
      <c r="AC92" s="1275"/>
      <c r="AD92" s="1275"/>
      <c r="AE92" s="1275"/>
      <c r="AF92" s="1275"/>
      <c r="AG92" s="1275"/>
      <c r="AH92" s="1275"/>
      <c r="AI92" s="1275"/>
      <c r="AJ92" s="1275"/>
      <c r="AK92" s="1275"/>
      <c r="AL92" s="1275"/>
      <c r="AM92" s="1275"/>
      <c r="AN92" s="1275"/>
      <c r="AO92" s="1275"/>
      <c r="AP92" s="1275"/>
      <c r="AQ92" s="1275"/>
    </row>
    <row s="1877" customFormat="1" customHeight="1" ht="17.25" hidden="1">
      <c r="A93" s="306"/>
      <c r="C93" s="305"/>
      <c r="D93" s="1974"/>
      <c r="E93" s="1976"/>
      <c r="F93" s="1978"/>
      <c r="G93" s="1976"/>
      <c r="H93" s="1981"/>
      <c r="I93" s="1983"/>
      <c r="J93" s="1986"/>
      <c r="K93" s="1972"/>
      <c r="L93" s="1972"/>
      <c r="M93" s="1972"/>
      <c r="N93" s="1989"/>
      <c r="O93" s="1972"/>
      <c r="P93" s="1461"/>
      <c r="Q93" s="1314"/>
      <c r="R93" s="1314"/>
      <c r="S93" s="317"/>
      <c r="T93" s="317"/>
      <c r="U93" s="317"/>
      <c r="V93" s="317"/>
      <c r="W93" s="1315"/>
      <c r="X93" s="1275"/>
      <c r="Y93" s="1275"/>
      <c r="Z93" s="1275"/>
      <c r="AA93" s="1275"/>
      <c r="AB93" s="1275"/>
      <c r="AC93" s="1275"/>
      <c r="AD93" s="1275"/>
      <c r="AE93" s="1275"/>
      <c r="AF93" s="1275"/>
      <c r="AG93" s="1275"/>
      <c r="AH93" s="1275"/>
      <c r="AI93" s="1275"/>
      <c r="AJ93" s="1275"/>
      <c r="AK93" s="1275"/>
      <c r="AL93" s="1275"/>
      <c r="AM93" s="1275"/>
      <c r="AN93" s="1275"/>
      <c r="AO93" s="1275"/>
      <c r="AP93" s="1275"/>
      <c r="AQ93" s="1275"/>
    </row>
    <row s="1877" customFormat="1" customHeight="1" ht="17.25" hidden="1">
      <c r="A94" s="306"/>
      <c r="C94" s="305"/>
      <c r="D94" s="1974"/>
      <c r="E94" s="1976"/>
      <c r="F94" s="1978"/>
      <c r="G94" s="1976"/>
      <c r="H94" s="1981"/>
      <c r="I94" s="1983"/>
      <c r="J94" s="1986"/>
      <c r="K94" s="1972"/>
      <c r="L94" s="1314"/>
      <c r="M94" s="1314"/>
      <c r="N94" s="1314"/>
      <c r="O94" s="1314"/>
      <c r="P94" s="1314"/>
      <c r="Q94" s="1314"/>
      <c r="R94" s="1314"/>
      <c r="S94" s="317"/>
      <c r="T94" s="317"/>
      <c r="U94" s="317"/>
      <c r="V94" s="317"/>
      <c r="W94" s="1315"/>
      <c r="X94" s="1275"/>
      <c r="Y94" s="1275"/>
      <c r="Z94" s="1275"/>
      <c r="AA94" s="1275"/>
      <c r="AB94" s="1275"/>
      <c r="AC94" s="1275"/>
      <c r="AD94" s="1275"/>
      <c r="AE94" s="1275"/>
      <c r="AF94" s="1275"/>
      <c r="AG94" s="1275"/>
      <c r="AH94" s="1275"/>
      <c r="AI94" s="1275"/>
      <c r="AJ94" s="1275"/>
      <c r="AK94" s="1275"/>
      <c r="AL94" s="1275"/>
      <c r="AM94" s="1275"/>
      <c r="AN94" s="1275"/>
      <c r="AO94" s="1275"/>
      <c r="AP94" s="1275"/>
      <c r="AQ94" s="1275"/>
    </row>
    <row s="1877" customFormat="1" customHeight="1" ht="17.25" hidden="1">
      <c r="A95" s="306"/>
      <c r="C95" s="305"/>
      <c r="D95" s="1974"/>
      <c r="E95" s="1976"/>
      <c r="F95" s="1979"/>
      <c r="G95" s="1976"/>
      <c r="H95" s="1316"/>
      <c r="I95" s="1317"/>
      <c r="J95" s="1317"/>
      <c r="K95" s="1317"/>
      <c r="L95" s="1317"/>
      <c r="M95" s="1317"/>
      <c r="N95" s="1317"/>
      <c r="O95" s="1317"/>
      <c r="P95" s="1317"/>
      <c r="Q95" s="1317"/>
      <c r="R95" s="1317"/>
      <c r="S95" s="1318"/>
      <c r="T95" s="1318"/>
      <c r="U95" s="1318"/>
      <c r="V95" s="1318"/>
      <c r="W95" s="1319"/>
      <c r="X95" s="1275"/>
      <c r="Y95" s="1275"/>
      <c r="Z95" s="1275"/>
      <c r="AA95" s="1275"/>
      <c r="AB95" s="1275"/>
      <c r="AC95" s="1275"/>
      <c r="AD95" s="1275"/>
      <c r="AE95" s="1275"/>
      <c r="AF95" s="1275"/>
      <c r="AG95" s="1275"/>
      <c r="AH95" s="1275"/>
      <c r="AI95" s="1275"/>
      <c r="AJ95" s="1275"/>
      <c r="AK95" s="1275"/>
      <c r="AL95" s="1275"/>
      <c r="AM95" s="1275"/>
      <c r="AN95" s="1275"/>
      <c r="AO95" s="1275"/>
      <c r="AP95" s="1275"/>
      <c r="AQ95" s="1275"/>
    </row>
    <row s="1877" customFormat="1" customHeight="1" ht="17.25" hidden="1">
      <c r="A96" s="306"/>
      <c r="C96" s="188"/>
      <c r="D96" s="1973">
        <v>5</v>
      </c>
      <c r="E96" s="1975" t="s">
        <v>256</v>
      </c>
      <c r="F96" s="1977" t="s">
        <v>56</v>
      </c>
      <c r="G96" s="1975"/>
      <c r="H96" s="1980"/>
      <c r="I96" s="1982"/>
      <c r="J96" s="1984"/>
      <c r="K96" s="1971"/>
      <c r="L96" s="1971"/>
      <c r="M96" s="1971"/>
      <c r="N96" s="1987"/>
      <c r="O96" s="1971"/>
      <c r="P96" s="1971"/>
      <c r="Q96" s="1971"/>
      <c r="R96" s="1990"/>
      <c r="S96" s="1971"/>
      <c r="T96" s="1487"/>
      <c r="U96" s="1487"/>
      <c r="V96" s="1489"/>
      <c r="W96" s="1313"/>
      <c r="X96" s="1283"/>
      <c r="Y96" s="1283"/>
      <c r="Z96" s="1283"/>
      <c r="AA96" s="1283"/>
      <c r="AB96" s="1283"/>
      <c r="AC96" s="1283" t="s">
        <v>257</v>
      </c>
      <c r="AD96" s="1283" t="s">
        <v>258</v>
      </c>
      <c r="AE96" s="1283" t="s">
        <v>259</v>
      </c>
      <c r="AF96" s="1283" t="s">
        <v>260</v>
      </c>
      <c r="AG96" s="1283"/>
      <c r="AH96" s="1283" t="str">
        <f>IF($E$96=0,"",$E$96)</f>
        <v>Тариф на подключение (технологическое присоединение) к централизованной системе холодного водоснабжения</v>
      </c>
      <c r="AI96" s="1283" t="str">
        <f>IF($G$96=0,"",$G$96)</f>
        <v/>
      </c>
      <c r="AJ96" s="1283" t="str">
        <f>IF($J$96=0,"",$J$96)</f>
        <v/>
      </c>
      <c r="AK96" s="1283" t="str">
        <f>IF($K$96="нет","без дифференциации",IF($N$96=0,"",$N$96))</f>
        <v/>
      </c>
      <c r="AL96" s="1283" t="str">
        <f>IF($O$96="нет","без дифференциации",IF($R$96=0,"",$R$96))</f>
        <v/>
      </c>
      <c r="AM96" s="1283" t="str">
        <f>IF($S$96="нет","без дифференциации",IF($V$96=0,"",$V$96))</f>
        <v/>
      </c>
      <c r="AN96" s="1797">
        <f>$I$96</f>
        <v>0</v>
      </c>
      <c r="AO96" s="1283" t="str">
        <f>$I$96&amp;"."&amp;$M$96</f>
        <v>.</v>
      </c>
      <c r="AP96" s="1275" t="str">
        <f>$I$96&amp;"."&amp;$M$96&amp;"."&amp;$Q$96</f>
        <v>..</v>
      </c>
      <c r="AQ96" s="1275" t="str">
        <f>$I$96&amp;"."&amp;$M$96&amp;"."&amp;$Q$96&amp;"."&amp;$U$96</f>
        <v>...</v>
      </c>
    </row>
    <row s="1877" customFormat="1" customHeight="1" ht="17.25" hidden="1">
      <c r="A97" s="306"/>
      <c r="C97" s="305"/>
      <c r="D97" s="1973"/>
      <c r="E97" s="1975"/>
      <c r="F97" s="1978"/>
      <c r="G97" s="1975"/>
      <c r="H97" s="1981"/>
      <c r="I97" s="1983"/>
      <c r="J97" s="1985"/>
      <c r="K97" s="1972"/>
      <c r="L97" s="1972"/>
      <c r="M97" s="1972"/>
      <c r="N97" s="1988"/>
      <c r="O97" s="1972"/>
      <c r="P97" s="1972"/>
      <c r="Q97" s="1972"/>
      <c r="R97" s="1989"/>
      <c r="S97" s="1972"/>
      <c r="T97" s="1314"/>
      <c r="U97" s="1314"/>
      <c r="V97" s="1314"/>
      <c r="W97" s="1315"/>
      <c r="X97" s="1275"/>
      <c r="Y97" s="1275"/>
      <c r="Z97" s="1275"/>
      <c r="AA97" s="1275"/>
      <c r="AB97" s="1275"/>
      <c r="AC97" s="1275"/>
      <c r="AD97" s="1275"/>
      <c r="AE97" s="1275"/>
      <c r="AF97" s="1275"/>
      <c r="AG97" s="1275"/>
      <c r="AH97" s="1275"/>
      <c r="AI97" s="1275"/>
      <c r="AJ97" s="1275"/>
      <c r="AK97" s="1275"/>
      <c r="AL97" s="1275"/>
      <c r="AM97" s="1275"/>
      <c r="AN97" s="1275"/>
      <c r="AO97" s="1275"/>
      <c r="AP97" s="1275"/>
      <c r="AQ97" s="1275"/>
    </row>
    <row s="1877" customFormat="1" customHeight="1" ht="17.25" hidden="1">
      <c r="A98" s="306"/>
      <c r="C98" s="305"/>
      <c r="D98" s="1974"/>
      <c r="E98" s="1976"/>
      <c r="F98" s="1978"/>
      <c r="G98" s="1976"/>
      <c r="H98" s="1981"/>
      <c r="I98" s="1983"/>
      <c r="J98" s="1986"/>
      <c r="K98" s="1972"/>
      <c r="L98" s="1972"/>
      <c r="M98" s="1972"/>
      <c r="N98" s="1989"/>
      <c r="O98" s="1972"/>
      <c r="P98" s="1488"/>
      <c r="Q98" s="1314"/>
      <c r="R98" s="1314"/>
      <c r="S98" s="317"/>
      <c r="T98" s="317"/>
      <c r="U98" s="317"/>
      <c r="V98" s="317"/>
      <c r="W98" s="1315"/>
      <c r="X98" s="1275"/>
      <c r="Y98" s="1275"/>
      <c r="Z98" s="1275"/>
      <c r="AA98" s="1275"/>
      <c r="AB98" s="1275"/>
      <c r="AC98" s="1275"/>
      <c r="AD98" s="1275"/>
      <c r="AE98" s="1275"/>
      <c r="AF98" s="1275"/>
      <c r="AG98" s="1275"/>
      <c r="AH98" s="1275"/>
      <c r="AI98" s="1275"/>
      <c r="AJ98" s="1275"/>
      <c r="AK98" s="1275"/>
      <c r="AL98" s="1275"/>
      <c r="AM98" s="1275"/>
      <c r="AN98" s="1275"/>
      <c r="AO98" s="1275"/>
      <c r="AP98" s="1275"/>
      <c r="AQ98" s="1275"/>
    </row>
    <row s="1877" customFormat="1" customHeight="1" ht="17.25" hidden="1">
      <c r="A99" s="306"/>
      <c r="C99" s="305"/>
      <c r="D99" s="1974"/>
      <c r="E99" s="1976"/>
      <c r="F99" s="1978"/>
      <c r="G99" s="1976"/>
      <c r="H99" s="1981"/>
      <c r="I99" s="1983"/>
      <c r="J99" s="1986"/>
      <c r="K99" s="1972"/>
      <c r="L99" s="1314"/>
      <c r="M99" s="1314"/>
      <c r="N99" s="1314"/>
      <c r="O99" s="1314"/>
      <c r="P99" s="1314"/>
      <c r="Q99" s="1314"/>
      <c r="R99" s="1314"/>
      <c r="S99" s="317"/>
      <c r="T99" s="317"/>
      <c r="U99" s="317"/>
      <c r="V99" s="317"/>
      <c r="W99" s="1315"/>
      <c r="X99" s="1275"/>
      <c r="Y99" s="1275"/>
      <c r="Z99" s="1275"/>
      <c r="AA99" s="1275"/>
      <c r="AB99" s="1275"/>
      <c r="AC99" s="1275"/>
      <c r="AD99" s="1275"/>
      <c r="AE99" s="1275"/>
      <c r="AF99" s="1275"/>
      <c r="AG99" s="1275"/>
      <c r="AH99" s="1275"/>
      <c r="AI99" s="1275"/>
      <c r="AJ99" s="1275"/>
      <c r="AK99" s="1275"/>
      <c r="AL99" s="1275"/>
      <c r="AM99" s="1275"/>
      <c r="AN99" s="1275"/>
      <c r="AO99" s="1275"/>
      <c r="AP99" s="1275"/>
      <c r="AQ99" s="1275"/>
    </row>
    <row s="1877" customFormat="1" customHeight="1" ht="17.25" hidden="1">
      <c r="A100" s="306"/>
      <c r="C100" s="305"/>
      <c r="D100" s="1974"/>
      <c r="E100" s="1976"/>
      <c r="F100" s="1979"/>
      <c r="G100" s="1976"/>
      <c r="H100" s="1316"/>
      <c r="I100" s="1317"/>
      <c r="J100" s="1317"/>
      <c r="K100" s="1317"/>
      <c r="L100" s="1317"/>
      <c r="M100" s="1317"/>
      <c r="N100" s="1317"/>
      <c r="O100" s="1317"/>
      <c r="P100" s="1317"/>
      <c r="Q100" s="1317"/>
      <c r="R100" s="1317"/>
      <c r="S100" s="1318"/>
      <c r="T100" s="1318"/>
      <c r="U100" s="1318"/>
      <c r="V100" s="1318"/>
      <c r="W100" s="1319"/>
      <c r="X100" s="1275"/>
      <c r="Y100" s="1275"/>
      <c r="Z100" s="1275"/>
      <c r="AA100" s="1275"/>
      <c r="AB100" s="1275"/>
      <c r="AC100" s="1275"/>
      <c r="AD100" s="1275"/>
      <c r="AE100" s="1275"/>
      <c r="AF100" s="1275"/>
      <c r="AG100" s="1275"/>
      <c r="AH100" s="1275"/>
      <c r="AI100" s="1275"/>
      <c r="AJ100" s="1275"/>
      <c r="AK100" s="1275"/>
      <c r="AL100" s="1275"/>
      <c r="AM100" s="1275"/>
      <c r="AN100" s="1275"/>
      <c r="AO100" s="1275"/>
      <c r="AP100" s="1275"/>
      <c r="AQ100" s="1275"/>
    </row>
    <row s="1877" customFormat="1" customHeight="1" ht="11.25" hidden="1">
      <c r="A101" s="256"/>
      <c r="B101" s="256"/>
      <c r="Y101" s="1275"/>
      <c r="Z101" s="1275"/>
      <c r="AA101" s="1275"/>
      <c r="AB101" s="1275"/>
      <c r="AC101" s="1275"/>
      <c r="AD101" s="1275"/>
      <c r="AE101" s="1275"/>
      <c r="AF101" s="1275"/>
      <c r="AG101" s="1275"/>
      <c r="AH101" s="1275"/>
      <c r="AI101" s="1275"/>
      <c r="AJ101" s="1275"/>
      <c r="AK101" s="1275"/>
      <c r="AL101" s="1275"/>
      <c r="AM101" s="1275"/>
      <c r="AN101" s="1275"/>
      <c r="AO101" s="1275"/>
      <c r="AP101" s="1275"/>
      <c r="AQ101" s="1275"/>
    </row>
    <row s="1877" customFormat="1" customHeight="1" ht="17.25" hidden="1">
      <c r="A102" s="306"/>
      <c r="C102" s="188"/>
      <c r="D102" s="1973">
        <v>1</v>
      </c>
      <c r="E102" s="1975" t="s">
        <v>261</v>
      </c>
      <c r="F102" s="1977" t="s">
        <v>56</v>
      </c>
      <c r="G102" s="1975"/>
      <c r="H102" s="1980"/>
      <c r="I102" s="1982"/>
      <c r="J102" s="1984"/>
      <c r="K102" s="1971"/>
      <c r="L102" s="1971"/>
      <c r="M102" s="1971"/>
      <c r="N102" s="1987"/>
      <c r="O102" s="1971"/>
      <c r="P102" s="1971"/>
      <c r="Q102" s="1971"/>
      <c r="R102" s="1990"/>
      <c r="S102" s="1971"/>
      <c r="T102" s="1487"/>
      <c r="U102" s="1487"/>
      <c r="V102" s="1489"/>
      <c r="W102" s="1313"/>
      <c r="Y102" s="1283"/>
      <c r="Z102" s="1283"/>
      <c r="AA102" s="1283"/>
      <c r="AB102" s="1283"/>
      <c r="AC102" s="1283" t="s">
        <v>262</v>
      </c>
      <c r="AD102" s="1283" t="s">
        <v>263</v>
      </c>
      <c r="AE102" s="1283" t="s">
        <v>264</v>
      </c>
      <c r="AF102" s="1283" t="s">
        <v>265</v>
      </c>
      <c r="AG102" s="1283"/>
      <c r="AH102" s="1283" t="str">
        <f>IF($E$102=0,"",$E$102)</f>
        <v>Тариф на горячую воду (горячее водоснабжение)</v>
      </c>
      <c r="AI102" s="1283" t="str">
        <f>IF($G$102=0,"",$G$102)</f>
        <v/>
      </c>
      <c r="AJ102" s="1283" t="str">
        <f>IF($J$102=0,"",$J$102)</f>
        <v/>
      </c>
      <c r="AK102" s="1283" t="str">
        <f>IF($K$102="нет","без дифференциации",IF($N$102=0,"",$N$102))</f>
        <v/>
      </c>
      <c r="AL102" s="1283" t="str">
        <f>IF($O$102="нет","без дифференциации",IF($R$102=0,"",$R$102))</f>
        <v/>
      </c>
      <c r="AM102" s="1283" t="str">
        <f>IF($S$102="нет","без дифференциации",IF($V$102=0,"",$V$102))</f>
        <v/>
      </c>
      <c r="AN102" s="1283">
        <f>$I$102</f>
        <v>0</v>
      </c>
      <c r="AO102" s="1283" t="str">
        <f>$I$102&amp;"."&amp;$M$102</f>
        <v>.</v>
      </c>
      <c r="AP102" s="1283" t="str">
        <f>$I$102&amp;"."&amp;$M$102&amp;"."&amp;$Q$102</f>
        <v>..</v>
      </c>
      <c r="AQ102" s="1283" t="str">
        <f>$I$102&amp;"."&amp;$M$102&amp;"."&amp;$Q$102&amp;"."&amp;$U$102</f>
        <v>...</v>
      </c>
    </row>
    <row s="1877" customFormat="1" customHeight="1" ht="17.25" hidden="1">
      <c r="A103" s="306"/>
      <c r="C103" s="305"/>
      <c r="D103" s="1973"/>
      <c r="E103" s="1975"/>
      <c r="F103" s="1978"/>
      <c r="G103" s="1975"/>
      <c r="H103" s="1981"/>
      <c r="I103" s="1983"/>
      <c r="J103" s="1985"/>
      <c r="K103" s="1972"/>
      <c r="L103" s="1972"/>
      <c r="M103" s="1972"/>
      <c r="N103" s="1988"/>
      <c r="O103" s="1972"/>
      <c r="P103" s="1972"/>
      <c r="Q103" s="1972"/>
      <c r="R103" s="1989"/>
      <c r="S103" s="1972"/>
      <c r="T103" s="1314"/>
      <c r="U103" s="1314"/>
      <c r="V103" s="1314"/>
      <c r="W103" s="1315"/>
      <c r="Y103" s="1275"/>
      <c r="Z103" s="1275"/>
      <c r="AA103" s="1275"/>
      <c r="AB103" s="1275"/>
      <c r="AC103" s="1275"/>
      <c r="AD103" s="1275"/>
      <c r="AE103" s="1275"/>
      <c r="AF103" s="1275"/>
      <c r="AG103" s="1275"/>
      <c r="AH103" s="1275"/>
      <c r="AI103" s="1275"/>
      <c r="AJ103" s="1275"/>
      <c r="AK103" s="1275"/>
      <c r="AL103" s="1275"/>
      <c r="AM103" s="1275"/>
      <c r="AN103" s="1275"/>
      <c r="AO103" s="1275"/>
      <c r="AP103" s="1275"/>
      <c r="AQ103" s="1275"/>
    </row>
    <row s="1877" customFormat="1" customHeight="1" ht="17.25" hidden="1">
      <c r="A104" s="306"/>
      <c r="C104" s="188"/>
      <c r="D104" s="1973"/>
      <c r="E104" s="1975"/>
      <c r="F104" s="1978"/>
      <c r="G104" s="1975"/>
      <c r="H104" s="1981"/>
      <c r="I104" s="1983"/>
      <c r="J104" s="1986"/>
      <c r="K104" s="1972"/>
      <c r="L104" s="1972"/>
      <c r="M104" s="1972"/>
      <c r="N104" s="1989"/>
      <c r="O104" s="1972"/>
      <c r="P104" s="1488"/>
      <c r="Q104" s="1314"/>
      <c r="R104" s="1314"/>
      <c r="S104" s="317"/>
      <c r="T104" s="317"/>
      <c r="U104" s="317"/>
      <c r="V104" s="317"/>
      <c r="W104" s="1315"/>
      <c r="Y104" s="1283"/>
      <c r="Z104" s="1283"/>
      <c r="AA104" s="1283"/>
      <c r="AB104" s="1283"/>
      <c r="AC104" s="1283"/>
      <c r="AD104" s="1283"/>
      <c r="AE104" s="1283"/>
      <c r="AF104" s="1283"/>
      <c r="AG104" s="1283"/>
      <c r="AH104" s="1283"/>
      <c r="AI104" s="1283"/>
      <c r="AJ104" s="1283"/>
      <c r="AK104" s="1283"/>
      <c r="AL104" s="1283"/>
      <c r="AM104" s="1283"/>
      <c r="AN104" s="1283"/>
      <c r="AO104" s="1283"/>
      <c r="AP104" s="1283"/>
      <c r="AQ104" s="1283"/>
    </row>
    <row s="1877" customFormat="1" customHeight="1" ht="17.25" hidden="1">
      <c r="A105" s="306"/>
      <c r="C105" s="305"/>
      <c r="D105" s="1973"/>
      <c r="E105" s="1975"/>
      <c r="F105" s="1978"/>
      <c r="G105" s="1975"/>
      <c r="H105" s="1981"/>
      <c r="I105" s="1983"/>
      <c r="J105" s="1986"/>
      <c r="K105" s="1972"/>
      <c r="L105" s="1314"/>
      <c r="M105" s="1314"/>
      <c r="N105" s="1314"/>
      <c r="O105" s="1314"/>
      <c r="P105" s="1314"/>
      <c r="Q105" s="1314"/>
      <c r="R105" s="1314"/>
      <c r="S105" s="317"/>
      <c r="T105" s="317"/>
      <c r="U105" s="317"/>
      <c r="V105" s="317"/>
      <c r="W105" s="1315"/>
      <c r="Y105" s="1275"/>
      <c r="Z105" s="1275"/>
      <c r="AA105" s="1275"/>
      <c r="AB105" s="1275"/>
      <c r="AC105" s="1275"/>
      <c r="AD105" s="1275"/>
      <c r="AE105" s="1275"/>
      <c r="AF105" s="1275"/>
      <c r="AG105" s="1275"/>
      <c r="AH105" s="1275"/>
      <c r="AI105" s="1275"/>
      <c r="AJ105" s="1275"/>
      <c r="AK105" s="1275"/>
      <c r="AL105" s="1275"/>
      <c r="AM105" s="1275"/>
      <c r="AN105" s="1275"/>
      <c r="AO105" s="1275"/>
      <c r="AP105" s="1275"/>
      <c r="AQ105" s="1275"/>
    </row>
    <row s="1877" customFormat="1" customHeight="1" ht="17.25" hidden="1">
      <c r="A106" s="306"/>
      <c r="C106" s="305"/>
      <c r="D106" s="1974"/>
      <c r="E106" s="1976"/>
      <c r="F106" s="1979"/>
      <c r="G106" s="1976"/>
      <c r="H106" s="1316"/>
      <c r="I106" s="1317"/>
      <c r="J106" s="1317"/>
      <c r="K106" s="1317"/>
      <c r="L106" s="1317"/>
      <c r="M106" s="1317"/>
      <c r="N106" s="1317"/>
      <c r="O106" s="1317"/>
      <c r="P106" s="1317"/>
      <c r="Q106" s="1317"/>
      <c r="R106" s="1317"/>
      <c r="S106" s="1318"/>
      <c r="T106" s="1318"/>
      <c r="U106" s="1318"/>
      <c r="V106" s="1318"/>
      <c r="W106" s="1319"/>
      <c r="Y106" s="1275"/>
      <c r="Z106" s="1275"/>
      <c r="AA106" s="1275"/>
      <c r="AB106" s="1275"/>
      <c r="AC106" s="1275"/>
      <c r="AD106" s="1275"/>
      <c r="AE106" s="1275"/>
      <c r="AF106" s="1275"/>
      <c r="AG106" s="1275"/>
      <c r="AH106" s="1275"/>
      <c r="AI106" s="1275"/>
      <c r="AJ106" s="1275"/>
      <c r="AK106" s="1275"/>
      <c r="AL106" s="1275"/>
      <c r="AM106" s="1275"/>
      <c r="AN106" s="1275"/>
      <c r="AO106" s="1275"/>
      <c r="AP106" s="1275"/>
      <c r="AQ106" s="1275"/>
    </row>
    <row s="1877" customFormat="1" customHeight="1" ht="17.25" hidden="1">
      <c r="A107" s="306"/>
      <c r="C107" s="188"/>
      <c r="D107" s="1973">
        <v>2</v>
      </c>
      <c r="E107" s="1975" t="s">
        <v>266</v>
      </c>
      <c r="F107" s="1977" t="s">
        <v>56</v>
      </c>
      <c r="G107" s="1975"/>
      <c r="H107" s="1980"/>
      <c r="I107" s="1982"/>
      <c r="J107" s="1984"/>
      <c r="K107" s="1971"/>
      <c r="L107" s="1971"/>
      <c r="M107" s="1971"/>
      <c r="N107" s="1987"/>
      <c r="O107" s="1971"/>
      <c r="P107" s="1971"/>
      <c r="Q107" s="1971"/>
      <c r="R107" s="1990"/>
      <c r="S107" s="1971"/>
      <c r="T107" s="1487"/>
      <c r="U107" s="1487"/>
      <c r="V107" s="1489"/>
      <c r="W107" s="1313"/>
      <c r="X107" s="1283"/>
      <c r="Y107" s="1283"/>
      <c r="Z107" s="1283"/>
      <c r="AA107" s="1283"/>
      <c r="AB107" s="1283"/>
      <c r="AC107" s="1283" t="s">
        <v>267</v>
      </c>
      <c r="AD107" s="1283" t="s">
        <v>268</v>
      </c>
      <c r="AE107" s="1283" t="s">
        <v>269</v>
      </c>
      <c r="AF107" s="1283" t="s">
        <v>270</v>
      </c>
      <c r="AG107" s="1283"/>
      <c r="AH107" s="1283" t="str">
        <f>IF($E$107=0,"",$E$107)</f>
        <v>Тариф на транспортировку горячей воды</v>
      </c>
      <c r="AI107" s="1283" t="str">
        <f>IF($G$107=0,"",$G$107)</f>
        <v/>
      </c>
      <c r="AJ107" s="1283" t="str">
        <f>IF($J$107=0,"",$J$107)</f>
        <v/>
      </c>
      <c r="AK107" s="1283" t="str">
        <f>IF($K$107="нет","без дифференциации",IF($N$107=0,"",$N$107))</f>
        <v/>
      </c>
      <c r="AL107" s="1283" t="str">
        <f>IF($O$107="нет","без дифференциации",IF($R$107=0,"",$R$107))</f>
        <v/>
      </c>
      <c r="AM107" s="1283" t="str">
        <f>IF($S$107="нет","без дифференциации",IF($V$107=0,"",$V$107))</f>
        <v/>
      </c>
      <c r="AN107" s="1797">
        <f>$I$107</f>
        <v>0</v>
      </c>
      <c r="AO107" s="1283" t="str">
        <f>$I$107&amp;"."&amp;$M$107</f>
        <v>.</v>
      </c>
      <c r="AP107" s="1275" t="str">
        <f>$I$107&amp;"."&amp;$M$107&amp;"."&amp;$Q$107</f>
        <v>..</v>
      </c>
      <c r="AQ107" s="1275" t="str">
        <f>$I$107&amp;"."&amp;$M$107&amp;"."&amp;$Q$107&amp;"."&amp;$U$107</f>
        <v>...</v>
      </c>
    </row>
    <row s="1877" customFormat="1" customHeight="1" ht="17.25" hidden="1">
      <c r="A108" s="306"/>
      <c r="C108" s="305"/>
      <c r="D108" s="1973"/>
      <c r="E108" s="1975"/>
      <c r="F108" s="1978"/>
      <c r="G108" s="1975"/>
      <c r="H108" s="1981"/>
      <c r="I108" s="1983"/>
      <c r="J108" s="1985"/>
      <c r="K108" s="1972"/>
      <c r="L108" s="1972"/>
      <c r="M108" s="1972"/>
      <c r="N108" s="1988"/>
      <c r="O108" s="1972"/>
      <c r="P108" s="1972"/>
      <c r="Q108" s="1972"/>
      <c r="R108" s="1989"/>
      <c r="S108" s="1972"/>
      <c r="T108" s="1314"/>
      <c r="U108" s="1314"/>
      <c r="V108" s="1314"/>
      <c r="W108" s="1315"/>
      <c r="X108" s="1275"/>
      <c r="Y108" s="1275"/>
      <c r="Z108" s="1275"/>
      <c r="AA108" s="1275"/>
      <c r="AB108" s="1275"/>
      <c r="AC108" s="1275"/>
      <c r="AD108" s="1275"/>
      <c r="AE108" s="1275"/>
      <c r="AF108" s="1275"/>
      <c r="AG108" s="1275"/>
      <c r="AH108" s="1275"/>
      <c r="AI108" s="1275"/>
      <c r="AJ108" s="1275"/>
      <c r="AK108" s="1275"/>
      <c r="AL108" s="1275"/>
      <c r="AM108" s="1275"/>
      <c r="AN108" s="1275"/>
      <c r="AO108" s="1275"/>
      <c r="AP108" s="1275"/>
      <c r="AQ108" s="1275"/>
    </row>
    <row s="1877" customFormat="1" customHeight="1" ht="17.25" hidden="1">
      <c r="A109" s="306"/>
      <c r="C109" s="305"/>
      <c r="D109" s="1974"/>
      <c r="E109" s="1976"/>
      <c r="F109" s="1978"/>
      <c r="G109" s="1976"/>
      <c r="H109" s="1981"/>
      <c r="I109" s="1983"/>
      <c r="J109" s="1986"/>
      <c r="K109" s="1972"/>
      <c r="L109" s="1972"/>
      <c r="M109" s="1972"/>
      <c r="N109" s="1989"/>
      <c r="O109" s="1972"/>
      <c r="P109" s="1488"/>
      <c r="Q109" s="1314"/>
      <c r="R109" s="1314"/>
      <c r="S109" s="317"/>
      <c r="T109" s="317"/>
      <c r="U109" s="317"/>
      <c r="V109" s="317"/>
      <c r="W109" s="1315"/>
      <c r="X109" s="1275"/>
      <c r="Y109" s="1275"/>
      <c r="Z109" s="1275"/>
      <c r="AA109" s="1275"/>
      <c r="AB109" s="1275"/>
      <c r="AC109" s="1275"/>
      <c r="AD109" s="1275"/>
      <c r="AE109" s="1275"/>
      <c r="AF109" s="1275"/>
      <c r="AG109" s="1275"/>
      <c r="AH109" s="1275"/>
      <c r="AI109" s="1275"/>
      <c r="AJ109" s="1275"/>
      <c r="AK109" s="1275"/>
      <c r="AL109" s="1275"/>
      <c r="AM109" s="1275"/>
      <c r="AN109" s="1275"/>
      <c r="AO109" s="1275"/>
      <c r="AP109" s="1275"/>
      <c r="AQ109" s="1275"/>
    </row>
    <row s="1877" customFormat="1" customHeight="1" ht="17.25" hidden="1">
      <c r="A110" s="306"/>
      <c r="C110" s="305"/>
      <c r="D110" s="1974"/>
      <c r="E110" s="1976"/>
      <c r="F110" s="1978"/>
      <c r="G110" s="1976"/>
      <c r="H110" s="1981"/>
      <c r="I110" s="1983"/>
      <c r="J110" s="1986"/>
      <c r="K110" s="1972"/>
      <c r="L110" s="1314"/>
      <c r="M110" s="1314"/>
      <c r="N110" s="1314"/>
      <c r="O110" s="1314"/>
      <c r="P110" s="1314"/>
      <c r="Q110" s="1314"/>
      <c r="R110" s="1314"/>
      <c r="S110" s="317"/>
      <c r="T110" s="317"/>
      <c r="U110" s="317"/>
      <c r="V110" s="317"/>
      <c r="W110" s="1315"/>
      <c r="X110" s="1275"/>
      <c r="Y110" s="1275"/>
      <c r="Z110" s="1275"/>
      <c r="AA110" s="1275"/>
      <c r="AB110" s="1275"/>
      <c r="AC110" s="1275"/>
      <c r="AD110" s="1275"/>
      <c r="AE110" s="1275"/>
      <c r="AF110" s="1275"/>
      <c r="AG110" s="1275"/>
      <c r="AH110" s="1275"/>
      <c r="AI110" s="1275"/>
      <c r="AJ110" s="1275"/>
      <c r="AK110" s="1275"/>
      <c r="AL110" s="1275"/>
      <c r="AM110" s="1275"/>
      <c r="AN110" s="1275"/>
      <c r="AO110" s="1275"/>
      <c r="AP110" s="1275"/>
      <c r="AQ110" s="1275"/>
    </row>
    <row s="1877" customFormat="1" customHeight="1" ht="17.25" hidden="1">
      <c r="A111" s="306"/>
      <c r="C111" s="305"/>
      <c r="D111" s="1974"/>
      <c r="E111" s="1976"/>
      <c r="F111" s="1979"/>
      <c r="G111" s="1976"/>
      <c r="H111" s="1316"/>
      <c r="I111" s="1317"/>
      <c r="J111" s="1317"/>
      <c r="K111" s="1317"/>
      <c r="L111" s="1317"/>
      <c r="M111" s="1317"/>
      <c r="N111" s="1317"/>
      <c r="O111" s="1317"/>
      <c r="P111" s="1317"/>
      <c r="Q111" s="1317"/>
      <c r="R111" s="1317"/>
      <c r="S111" s="1318"/>
      <c r="T111" s="1318"/>
      <c r="U111" s="1318"/>
      <c r="V111" s="1318"/>
      <c r="W111" s="1319"/>
      <c r="X111" s="1275"/>
      <c r="Y111" s="1275"/>
      <c r="Z111" s="1275"/>
      <c r="AA111" s="1275"/>
      <c r="AB111" s="1275"/>
      <c r="AC111" s="1275"/>
      <c r="AD111" s="1275"/>
      <c r="AE111" s="1275"/>
      <c r="AF111" s="1275"/>
      <c r="AG111" s="1275"/>
      <c r="AH111" s="1275"/>
      <c r="AI111" s="1275"/>
      <c r="AJ111" s="1275"/>
      <c r="AK111" s="1275"/>
      <c r="AL111" s="1275"/>
      <c r="AM111" s="1275"/>
      <c r="AN111" s="1275"/>
      <c r="AO111" s="1275"/>
      <c r="AP111" s="1275"/>
      <c r="AQ111" s="1275"/>
    </row>
    <row s="1877" customFormat="1" customHeight="1" ht="17.25" hidden="1">
      <c r="A112" s="306"/>
      <c r="C112" s="188"/>
      <c r="D112" s="1973">
        <v>3</v>
      </c>
      <c r="E112" s="1975" t="s">
        <v>271</v>
      </c>
      <c r="F112" s="1977" t="s">
        <v>56</v>
      </c>
      <c r="G112" s="1975"/>
      <c r="H112" s="1980"/>
      <c r="I112" s="1982"/>
      <c r="J112" s="1984"/>
      <c r="K112" s="1971"/>
      <c r="L112" s="1971"/>
      <c r="M112" s="1971"/>
      <c r="N112" s="1987"/>
      <c r="O112" s="1971"/>
      <c r="P112" s="1971"/>
      <c r="Q112" s="1971"/>
      <c r="R112" s="1990"/>
      <c r="S112" s="1971"/>
      <c r="T112" s="1487"/>
      <c r="U112" s="1487"/>
      <c r="V112" s="1489"/>
      <c r="W112" s="1313"/>
      <c r="X112" s="1283"/>
      <c r="Y112" s="1283"/>
      <c r="Z112" s="1283"/>
      <c r="AA112" s="1283"/>
      <c r="AB112" s="1283"/>
      <c r="AC112" s="1283" t="s">
        <v>272</v>
      </c>
      <c r="AD112" s="1283" t="s">
        <v>273</v>
      </c>
      <c r="AE112" s="1283" t="s">
        <v>274</v>
      </c>
      <c r="AF112" s="1283" t="s">
        <v>275</v>
      </c>
      <c r="AG112" s="1283"/>
      <c r="AH112" s="1283" t="str">
        <f>IF($E$112=0,"",$E$112)</f>
        <v>Тариф на подключение (технологическое присоединение) к централизованной системе горячего водоснабжения</v>
      </c>
      <c r="AI112" s="1283" t="str">
        <f>IF($G$112=0,"",$G$112)</f>
        <v/>
      </c>
      <c r="AJ112" s="1283" t="str">
        <f>IF($J$112=0,"",$J$112)</f>
        <v/>
      </c>
      <c r="AK112" s="1283" t="str">
        <f>IF($K$112="нет","без дифференциации",IF($N$112=0,"",$N$112))</f>
        <v/>
      </c>
      <c r="AL112" s="1283" t="str">
        <f>IF($O$112="нет","без дифференциации",IF($R$112=0,"",$R$112))</f>
        <v/>
      </c>
      <c r="AM112" s="1283" t="str">
        <f>IF($S$112="нет","без дифференциации",IF($V$112=0,"",$V$112))</f>
        <v/>
      </c>
      <c r="AN112" s="1797">
        <f>$I$112</f>
        <v>0</v>
      </c>
      <c r="AO112" s="1283" t="str">
        <f>$I$112&amp;"."&amp;$M$112</f>
        <v>.</v>
      </c>
      <c r="AP112" s="1275" t="str">
        <f>$I$112&amp;"."&amp;$M$112&amp;"."&amp;$Q$112</f>
        <v>..</v>
      </c>
      <c r="AQ112" s="1275" t="str">
        <f>$I$112&amp;"."&amp;$M$112&amp;"."&amp;$Q$112&amp;"."&amp;$U$112</f>
        <v>...</v>
      </c>
    </row>
    <row s="1877" customFormat="1" customHeight="1" ht="17.25" hidden="1">
      <c r="A113" s="306"/>
      <c r="C113" s="305"/>
      <c r="D113" s="1973"/>
      <c r="E113" s="1975"/>
      <c r="F113" s="1978"/>
      <c r="G113" s="1975"/>
      <c r="H113" s="1981"/>
      <c r="I113" s="1983"/>
      <c r="J113" s="1985"/>
      <c r="K113" s="1972"/>
      <c r="L113" s="1972"/>
      <c r="M113" s="1972"/>
      <c r="N113" s="1988"/>
      <c r="O113" s="1972"/>
      <c r="P113" s="1972"/>
      <c r="Q113" s="1972"/>
      <c r="R113" s="1989"/>
      <c r="S113" s="1972"/>
      <c r="T113" s="1314"/>
      <c r="U113" s="1314"/>
      <c r="V113" s="1314"/>
      <c r="W113" s="1315"/>
      <c r="X113" s="1275"/>
      <c r="Y113" s="1275"/>
      <c r="Z113" s="1275"/>
      <c r="AA113" s="1275"/>
      <c r="AB113" s="1275"/>
      <c r="AC113" s="1275"/>
      <c r="AD113" s="1275"/>
      <c r="AE113" s="1275"/>
      <c r="AF113" s="1275"/>
      <c r="AG113" s="1275"/>
      <c r="AH113" s="1275"/>
      <c r="AI113" s="1275"/>
      <c r="AJ113" s="1275"/>
      <c r="AK113" s="1275"/>
      <c r="AL113" s="1275"/>
      <c r="AM113" s="1275"/>
      <c r="AN113" s="1275"/>
      <c r="AO113" s="1275"/>
      <c r="AP113" s="1275"/>
      <c r="AQ113" s="1275"/>
    </row>
    <row s="1877" customFormat="1" customHeight="1" ht="17.25" hidden="1">
      <c r="A114" s="306"/>
      <c r="C114" s="305"/>
      <c r="D114" s="1974"/>
      <c r="E114" s="1976"/>
      <c r="F114" s="1978"/>
      <c r="G114" s="1976"/>
      <c r="H114" s="1981"/>
      <c r="I114" s="1983"/>
      <c r="J114" s="1986"/>
      <c r="K114" s="1972"/>
      <c r="L114" s="1972"/>
      <c r="M114" s="1972"/>
      <c r="N114" s="1989"/>
      <c r="O114" s="1972"/>
      <c r="P114" s="1488"/>
      <c r="Q114" s="1314"/>
      <c r="R114" s="1314"/>
      <c r="S114" s="317"/>
      <c r="T114" s="317"/>
      <c r="U114" s="317"/>
      <c r="V114" s="317"/>
      <c r="W114" s="1315"/>
      <c r="X114" s="1275"/>
      <c r="Y114" s="1275"/>
      <c r="Z114" s="1275"/>
      <c r="AA114" s="1275"/>
      <c r="AB114" s="1275"/>
      <c r="AC114" s="1275"/>
      <c r="AD114" s="1275"/>
      <c r="AE114" s="1275"/>
      <c r="AF114" s="1275"/>
      <c r="AG114" s="1275"/>
      <c r="AH114" s="1275"/>
      <c r="AI114" s="1275"/>
      <c r="AJ114" s="1275"/>
      <c r="AK114" s="1275"/>
      <c r="AL114" s="1275"/>
      <c r="AM114" s="1275"/>
      <c r="AN114" s="1275"/>
      <c r="AO114" s="1275"/>
      <c r="AP114" s="1275"/>
      <c r="AQ114" s="1275"/>
    </row>
    <row s="1877" customFormat="1" customHeight="1" ht="17.25" hidden="1">
      <c r="A115" s="306"/>
      <c r="C115" s="305"/>
      <c r="D115" s="1974"/>
      <c r="E115" s="1976"/>
      <c r="F115" s="1978"/>
      <c r="G115" s="1976"/>
      <c r="H115" s="1981"/>
      <c r="I115" s="1983"/>
      <c r="J115" s="1986"/>
      <c r="K115" s="1972"/>
      <c r="L115" s="1314"/>
      <c r="M115" s="1314"/>
      <c r="N115" s="1314"/>
      <c r="O115" s="1314"/>
      <c r="P115" s="1314"/>
      <c r="Q115" s="1314"/>
      <c r="R115" s="1314"/>
      <c r="S115" s="317"/>
      <c r="T115" s="317"/>
      <c r="U115" s="317"/>
      <c r="V115" s="317"/>
      <c r="W115" s="1315"/>
      <c r="X115" s="1275"/>
      <c r="Y115" s="1275"/>
      <c r="Z115" s="1275"/>
      <c r="AA115" s="1275"/>
      <c r="AB115" s="1275"/>
      <c r="AC115" s="1275"/>
      <c r="AD115" s="1275"/>
      <c r="AE115" s="1275"/>
      <c r="AF115" s="1275"/>
      <c r="AG115" s="1275"/>
      <c r="AH115" s="1275"/>
      <c r="AI115" s="1275"/>
      <c r="AJ115" s="1275"/>
      <c r="AK115" s="1275"/>
      <c r="AL115" s="1275"/>
      <c r="AM115" s="1275"/>
      <c r="AN115" s="1275"/>
      <c r="AO115" s="1275"/>
      <c r="AP115" s="1275"/>
      <c r="AQ115" s="1275"/>
    </row>
    <row s="1877" customFormat="1" customHeight="1" ht="17.25" hidden="1">
      <c r="A116" s="306"/>
      <c r="C116" s="305"/>
      <c r="D116" s="1974"/>
      <c r="E116" s="1976"/>
      <c r="F116" s="1979"/>
      <c r="G116" s="1976"/>
      <c r="H116" s="1316"/>
      <c r="I116" s="1317"/>
      <c r="J116" s="1317"/>
      <c r="K116" s="1317"/>
      <c r="L116" s="1317"/>
      <c r="M116" s="1317"/>
      <c r="N116" s="1317"/>
      <c r="O116" s="1317"/>
      <c r="P116" s="1317"/>
      <c r="Q116" s="1317"/>
      <c r="R116" s="1317"/>
      <c r="S116" s="1318"/>
      <c r="T116" s="1318"/>
      <c r="U116" s="1318"/>
      <c r="V116" s="1318"/>
      <c r="W116" s="1319"/>
      <c r="X116" s="1275"/>
      <c r="Y116" s="1275"/>
      <c r="Z116" s="1275"/>
      <c r="AA116" s="1275"/>
      <c r="AB116" s="1275"/>
      <c r="AC116" s="1275"/>
      <c r="AD116" s="1275"/>
      <c r="AE116" s="1275"/>
      <c r="AF116" s="1275"/>
      <c r="AG116" s="1275"/>
      <c r="AH116" s="1275"/>
      <c r="AI116" s="1275"/>
      <c r="AJ116" s="1275"/>
      <c r="AK116" s="1275"/>
      <c r="AL116" s="1275"/>
      <c r="AM116" s="1275"/>
      <c r="AN116" s="1275"/>
      <c r="AO116" s="1275"/>
      <c r="AP116" s="1275"/>
      <c r="AQ116" s="1275"/>
    </row>
    <row s="1877" customFormat="1" customHeight="1" ht="11.25" hidden="1">
      <c r="A117" s="256"/>
      <c r="B117" s="256"/>
      <c r="Y117" s="1275"/>
      <c r="Z117" s="1275"/>
      <c r="AA117" s="1275"/>
      <c r="AB117" s="1275"/>
      <c r="AC117" s="1275"/>
      <c r="AD117" s="1275"/>
      <c r="AE117" s="1275"/>
      <c r="AF117" s="1275"/>
      <c r="AG117" s="1275"/>
      <c r="AH117" s="1275"/>
      <c r="AI117" s="1275"/>
      <c r="AJ117" s="1275"/>
      <c r="AK117" s="1275"/>
      <c r="AL117" s="1275"/>
      <c r="AM117" s="1275"/>
      <c r="AN117" s="1275"/>
      <c r="AO117" s="1275"/>
      <c r="AP117" s="1275"/>
      <c r="AQ117" s="1275"/>
    </row>
    <row s="1877" customFormat="1" customHeight="1" ht="17.25" hidden="1">
      <c r="A118" s="306"/>
      <c r="C118" s="188"/>
      <c r="D118" s="1973">
        <v>1</v>
      </c>
      <c r="E118" s="1975" t="s">
        <v>276</v>
      </c>
      <c r="F118" s="1977" t="s">
        <v>56</v>
      </c>
      <c r="G118" s="1975"/>
      <c r="H118" s="1980"/>
      <c r="I118" s="1982"/>
      <c r="J118" s="1984"/>
      <c r="K118" s="1971"/>
      <c r="L118" s="1971"/>
      <c r="M118" s="1971"/>
      <c r="N118" s="1987"/>
      <c r="O118" s="1971"/>
      <c r="P118" s="1971"/>
      <c r="Q118" s="1971"/>
      <c r="R118" s="1990"/>
      <c r="S118" s="1971"/>
      <c r="T118" s="1487"/>
      <c r="U118" s="1487"/>
      <c r="V118" s="1489"/>
      <c r="W118" s="1313"/>
      <c r="Y118" s="1283"/>
      <c r="Z118" s="1283"/>
      <c r="AA118" s="1283"/>
      <c r="AB118" s="1283"/>
      <c r="AC118" s="1283" t="s">
        <v>277</v>
      </c>
      <c r="AD118" s="1283" t="s">
        <v>278</v>
      </c>
      <c r="AE118" s="1283" t="s">
        <v>279</v>
      </c>
      <c r="AF118" s="1283" t="s">
        <v>280</v>
      </c>
      <c r="AG118" s="1283"/>
      <c r="AH118" s="1283" t="str">
        <f>IF($E$118=0,"",$E$118)</f>
        <v>Тариф на водоотведение</v>
      </c>
      <c r="AI118" s="1283" t="str">
        <f>IF($G$118=0,"",$G$118)</f>
        <v/>
      </c>
      <c r="AJ118" s="1283" t="str">
        <f>IF($J$118=0,"",$J$118)</f>
        <v/>
      </c>
      <c r="AK118" s="1283" t="str">
        <f>IF($K$118="нет","без дифференциации",IF($N$118=0,"",$N$118))</f>
        <v/>
      </c>
      <c r="AL118" s="1283" t="str">
        <f>IF($O$118="нет","без дифференциации",IF($R$118=0,"",$R$118))</f>
        <v/>
      </c>
      <c r="AM118" s="1283" t="str">
        <f>IF($S$118="нет","без дифференциации",IF($V$118=0,"",$V$118))</f>
        <v/>
      </c>
      <c r="AN118" s="1283">
        <f>$I$118</f>
        <v>0</v>
      </c>
      <c r="AO118" s="1283" t="str">
        <f>$I$118&amp;"."&amp;$M$118</f>
        <v>.</v>
      </c>
      <c r="AP118" s="1283" t="str">
        <f>$I$118&amp;"."&amp;$M$118&amp;"."&amp;$Q$118</f>
        <v>..</v>
      </c>
      <c r="AQ118" s="1283" t="str">
        <f>$I$118&amp;"."&amp;$M$118&amp;"."&amp;$Q$118&amp;"."&amp;$U$118</f>
        <v>...</v>
      </c>
    </row>
    <row s="1877" customFormat="1" customHeight="1" ht="17.25" hidden="1">
      <c r="A119" s="306"/>
      <c r="C119" s="305"/>
      <c r="D119" s="1973"/>
      <c r="E119" s="1975"/>
      <c r="F119" s="1978"/>
      <c r="G119" s="1975"/>
      <c r="H119" s="1981"/>
      <c r="I119" s="1983"/>
      <c r="J119" s="1985"/>
      <c r="K119" s="1972"/>
      <c r="L119" s="1972"/>
      <c r="M119" s="1972"/>
      <c r="N119" s="1988"/>
      <c r="O119" s="1972"/>
      <c r="P119" s="1972"/>
      <c r="Q119" s="1972"/>
      <c r="R119" s="1989"/>
      <c r="S119" s="1972"/>
      <c r="T119" s="1314"/>
      <c r="U119" s="1314"/>
      <c r="V119" s="1314"/>
      <c r="W119" s="1315"/>
      <c r="Y119" s="1275"/>
      <c r="Z119" s="1275"/>
      <c r="AA119" s="1275"/>
      <c r="AB119" s="1275"/>
      <c r="AC119" s="1275"/>
      <c r="AD119" s="1275"/>
      <c r="AE119" s="1275"/>
      <c r="AF119" s="1275"/>
      <c r="AG119" s="1275"/>
      <c r="AH119" s="1275"/>
      <c r="AI119" s="1275"/>
      <c r="AJ119" s="1275"/>
      <c r="AK119" s="1275"/>
      <c r="AL119" s="1275"/>
      <c r="AM119" s="1275"/>
      <c r="AN119" s="1275"/>
      <c r="AO119" s="1275"/>
      <c r="AP119" s="1275"/>
      <c r="AQ119" s="1275"/>
    </row>
    <row s="1877" customFormat="1" customHeight="1" ht="17.25" hidden="1">
      <c r="A120" s="306"/>
      <c r="C120" s="188"/>
      <c r="D120" s="1973"/>
      <c r="E120" s="1975"/>
      <c r="F120" s="1978"/>
      <c r="G120" s="1975"/>
      <c r="H120" s="1981"/>
      <c r="I120" s="1983"/>
      <c r="J120" s="1986"/>
      <c r="K120" s="1972"/>
      <c r="L120" s="1972"/>
      <c r="M120" s="1972"/>
      <c r="N120" s="1989"/>
      <c r="O120" s="1972"/>
      <c r="P120" s="1488"/>
      <c r="Q120" s="1314"/>
      <c r="R120" s="1314"/>
      <c r="S120" s="317"/>
      <c r="T120" s="317"/>
      <c r="U120" s="317"/>
      <c r="V120" s="317"/>
      <c r="W120" s="1315"/>
      <c r="Y120" s="1283"/>
      <c r="Z120" s="1283"/>
      <c r="AA120" s="1283"/>
      <c r="AB120" s="1283"/>
      <c r="AC120" s="1283"/>
      <c r="AD120" s="1283"/>
      <c r="AE120" s="1283"/>
      <c r="AF120" s="1283"/>
      <c r="AG120" s="1283"/>
      <c r="AH120" s="1283"/>
      <c r="AI120" s="1283"/>
      <c r="AJ120" s="1283"/>
      <c r="AK120" s="1283"/>
      <c r="AL120" s="1283"/>
      <c r="AM120" s="1283"/>
      <c r="AN120" s="1283"/>
      <c r="AO120" s="1283"/>
      <c r="AP120" s="1283"/>
      <c r="AQ120" s="1283"/>
    </row>
    <row s="1877" customFormat="1" customHeight="1" ht="17.25" hidden="1">
      <c r="A121" s="306"/>
      <c r="C121" s="305"/>
      <c r="D121" s="1973"/>
      <c r="E121" s="1975"/>
      <c r="F121" s="1978"/>
      <c r="G121" s="1975"/>
      <c r="H121" s="1981"/>
      <c r="I121" s="1983"/>
      <c r="J121" s="1986"/>
      <c r="K121" s="1972"/>
      <c r="L121" s="1314"/>
      <c r="M121" s="1314"/>
      <c r="N121" s="1314"/>
      <c r="O121" s="1314"/>
      <c r="P121" s="1314"/>
      <c r="Q121" s="1314"/>
      <c r="R121" s="1314"/>
      <c r="S121" s="317"/>
      <c r="T121" s="317"/>
      <c r="U121" s="317"/>
      <c r="V121" s="317"/>
      <c r="W121" s="1315"/>
      <c r="Y121" s="1275"/>
      <c r="Z121" s="1275"/>
      <c r="AA121" s="1275"/>
      <c r="AB121" s="1275"/>
      <c r="AC121" s="1275"/>
      <c r="AD121" s="1275"/>
      <c r="AE121" s="1275"/>
      <c r="AF121" s="1275"/>
      <c r="AG121" s="1275"/>
      <c r="AH121" s="1275"/>
      <c r="AI121" s="1275"/>
      <c r="AJ121" s="1275"/>
      <c r="AK121" s="1275"/>
      <c r="AL121" s="1275"/>
      <c r="AM121" s="1275"/>
      <c r="AN121" s="1275"/>
      <c r="AO121" s="1275"/>
      <c r="AP121" s="1275"/>
      <c r="AQ121" s="1275"/>
    </row>
    <row s="1877" customFormat="1" customHeight="1" ht="17.25" hidden="1">
      <c r="A122" s="306"/>
      <c r="C122" s="305"/>
      <c r="D122" s="1974"/>
      <c r="E122" s="1976"/>
      <c r="F122" s="1979"/>
      <c r="G122" s="1976"/>
      <c r="H122" s="1316"/>
      <c r="I122" s="1317"/>
      <c r="J122" s="1317"/>
      <c r="K122" s="1317"/>
      <c r="L122" s="1317"/>
      <c r="M122" s="1317"/>
      <c r="N122" s="1317"/>
      <c r="O122" s="1317"/>
      <c r="P122" s="1317"/>
      <c r="Q122" s="1317"/>
      <c r="R122" s="1317"/>
      <c r="S122" s="1318"/>
      <c r="T122" s="1318"/>
      <c r="U122" s="1318"/>
      <c r="V122" s="1318"/>
      <c r="W122" s="1319"/>
      <c r="Y122" s="1275"/>
      <c r="Z122" s="1275"/>
      <c r="AA122" s="1275"/>
      <c r="AB122" s="1275"/>
      <c r="AC122" s="1275"/>
      <c r="AD122" s="1275"/>
      <c r="AE122" s="1275"/>
      <c r="AF122" s="1275"/>
      <c r="AG122" s="1275"/>
      <c r="AH122" s="1275"/>
      <c r="AI122" s="1275"/>
      <c r="AJ122" s="1275"/>
      <c r="AK122" s="1275"/>
      <c r="AL122" s="1275"/>
      <c r="AM122" s="1275"/>
      <c r="AN122" s="1275"/>
      <c r="AO122" s="1275"/>
      <c r="AP122" s="1275"/>
      <c r="AQ122" s="1275"/>
    </row>
    <row s="1877" customFormat="1" customHeight="1" ht="17.25" hidden="1">
      <c r="A123" s="306"/>
      <c r="C123" s="188"/>
      <c r="D123" s="1973">
        <v>2</v>
      </c>
      <c r="E123" s="1975" t="s">
        <v>281</v>
      </c>
      <c r="F123" s="1977" t="s">
        <v>56</v>
      </c>
      <c r="G123" s="1975"/>
      <c r="H123" s="1980"/>
      <c r="I123" s="1982"/>
      <c r="J123" s="1984"/>
      <c r="K123" s="1971"/>
      <c r="L123" s="1971"/>
      <c r="M123" s="1971"/>
      <c r="N123" s="1987"/>
      <c r="O123" s="1971"/>
      <c r="P123" s="1971"/>
      <c r="Q123" s="1971"/>
      <c r="R123" s="1990"/>
      <c r="S123" s="1971"/>
      <c r="T123" s="1487"/>
      <c r="U123" s="1487"/>
      <c r="V123" s="1489"/>
      <c r="W123" s="1313"/>
      <c r="X123" s="1283"/>
      <c r="Y123" s="1283"/>
      <c r="Z123" s="1283"/>
      <c r="AA123" s="1283"/>
      <c r="AB123" s="1283"/>
      <c r="AC123" s="1283" t="s">
        <v>282</v>
      </c>
      <c r="AD123" s="1283" t="s">
        <v>283</v>
      </c>
      <c r="AE123" s="1283" t="s">
        <v>284</v>
      </c>
      <c r="AF123" s="1283" t="s">
        <v>285</v>
      </c>
      <c r="AG123" s="1283"/>
      <c r="AH123" s="1283" t="str">
        <f>IF($E$123=0,"",$E$123)</f>
        <v>Тариф на транспортировку сточных вод</v>
      </c>
      <c r="AI123" s="1283" t="str">
        <f>IF($G$123=0,"",$G$123)</f>
        <v/>
      </c>
      <c r="AJ123" s="1283" t="str">
        <f>IF($J$123=0,"",$J$123)</f>
        <v/>
      </c>
      <c r="AK123" s="1283" t="str">
        <f>IF($K$123="нет","без дифференциации",IF($N$123=0,"",$N$123))</f>
        <v/>
      </c>
      <c r="AL123" s="1283" t="str">
        <f>IF($O$123="нет","без дифференциации",IF($R$123=0,"",$R$123))</f>
        <v/>
      </c>
      <c r="AM123" s="1283" t="str">
        <f>IF($S$123="нет","без дифференциации",IF($V$123=0,"",$V$123))</f>
        <v/>
      </c>
      <c r="AN123" s="1797">
        <f>$I$123</f>
        <v>0</v>
      </c>
      <c r="AO123" s="1283" t="str">
        <f>$I$123&amp;"."&amp;$M$123</f>
        <v>.</v>
      </c>
      <c r="AP123" s="1275" t="str">
        <f>$I$123&amp;"."&amp;$M$123&amp;"."&amp;$Q$123</f>
        <v>..</v>
      </c>
      <c r="AQ123" s="1275" t="str">
        <f>$I$123&amp;"."&amp;$M$123&amp;"."&amp;$Q$123&amp;"."&amp;$U$123</f>
        <v>...</v>
      </c>
    </row>
    <row s="1877" customFormat="1" customHeight="1" ht="17.25" hidden="1">
      <c r="A124" s="306"/>
      <c r="C124" s="305"/>
      <c r="D124" s="1973"/>
      <c r="E124" s="1975"/>
      <c r="F124" s="1978"/>
      <c r="G124" s="1975"/>
      <c r="H124" s="1981"/>
      <c r="I124" s="1983"/>
      <c r="J124" s="1985"/>
      <c r="K124" s="1972"/>
      <c r="L124" s="1972"/>
      <c r="M124" s="1972"/>
      <c r="N124" s="1988"/>
      <c r="O124" s="1972"/>
      <c r="P124" s="1972"/>
      <c r="Q124" s="1972"/>
      <c r="R124" s="1989"/>
      <c r="S124" s="1972"/>
      <c r="T124" s="1314"/>
      <c r="U124" s="1314"/>
      <c r="V124" s="1314"/>
      <c r="W124" s="1315"/>
      <c r="X124" s="1275"/>
      <c r="Y124" s="1275"/>
      <c r="Z124" s="1275"/>
      <c r="AA124" s="1275"/>
      <c r="AB124" s="1275"/>
      <c r="AC124" s="1275"/>
      <c r="AD124" s="1275"/>
      <c r="AE124" s="1275"/>
      <c r="AF124" s="1275"/>
      <c r="AG124" s="1275"/>
      <c r="AH124" s="1275"/>
      <c r="AI124" s="1275"/>
      <c r="AJ124" s="1275"/>
      <c r="AK124" s="1275"/>
      <c r="AL124" s="1275"/>
      <c r="AM124" s="1275"/>
      <c r="AN124" s="1275"/>
      <c r="AO124" s="1275"/>
      <c r="AP124" s="1275"/>
      <c r="AQ124" s="1275"/>
    </row>
    <row s="1877" customFormat="1" customHeight="1" ht="17.25" hidden="1">
      <c r="A125" s="306"/>
      <c r="C125" s="305"/>
      <c r="D125" s="1974"/>
      <c r="E125" s="1976"/>
      <c r="F125" s="1978"/>
      <c r="G125" s="1976"/>
      <c r="H125" s="1981"/>
      <c r="I125" s="1983"/>
      <c r="J125" s="1986"/>
      <c r="K125" s="1972"/>
      <c r="L125" s="1972"/>
      <c r="M125" s="1972"/>
      <c r="N125" s="1989"/>
      <c r="O125" s="1972"/>
      <c r="P125" s="1488"/>
      <c r="Q125" s="1314"/>
      <c r="R125" s="1314"/>
      <c r="S125" s="317"/>
      <c r="T125" s="317"/>
      <c r="U125" s="317"/>
      <c r="V125" s="317"/>
      <c r="W125" s="1315"/>
      <c r="X125" s="1275"/>
      <c r="Y125" s="1275"/>
      <c r="Z125" s="1275"/>
      <c r="AA125" s="1275"/>
      <c r="AB125" s="1275"/>
      <c r="AC125" s="1275"/>
      <c r="AD125" s="1275"/>
      <c r="AE125" s="1275"/>
      <c r="AF125" s="1275"/>
      <c r="AG125" s="1275"/>
      <c r="AH125" s="1275"/>
      <c r="AI125" s="1275"/>
      <c r="AJ125" s="1275"/>
      <c r="AK125" s="1275"/>
      <c r="AL125" s="1275"/>
      <c r="AM125" s="1275"/>
      <c r="AN125" s="1275"/>
      <c r="AO125" s="1275"/>
      <c r="AP125" s="1275"/>
      <c r="AQ125" s="1275"/>
    </row>
    <row s="1877" customFormat="1" customHeight="1" ht="17.25" hidden="1">
      <c r="A126" s="306"/>
      <c r="C126" s="305"/>
      <c r="D126" s="1974"/>
      <c r="E126" s="1976"/>
      <c r="F126" s="1978"/>
      <c r="G126" s="1976"/>
      <c r="H126" s="1981"/>
      <c r="I126" s="1983"/>
      <c r="J126" s="1986"/>
      <c r="K126" s="1972"/>
      <c r="L126" s="1314"/>
      <c r="M126" s="1314"/>
      <c r="N126" s="1314"/>
      <c r="O126" s="1314"/>
      <c r="P126" s="1314"/>
      <c r="Q126" s="1314"/>
      <c r="R126" s="1314"/>
      <c r="S126" s="317"/>
      <c r="T126" s="317"/>
      <c r="U126" s="317"/>
      <c r="V126" s="317"/>
      <c r="W126" s="1315"/>
      <c r="X126" s="1275"/>
      <c r="Y126" s="1275"/>
      <c r="Z126" s="1275"/>
      <c r="AA126" s="1275"/>
      <c r="AB126" s="1275"/>
      <c r="AC126" s="1275"/>
      <c r="AD126" s="1275"/>
      <c r="AE126" s="1275"/>
      <c r="AF126" s="1275"/>
      <c r="AG126" s="1275"/>
      <c r="AH126" s="1275"/>
      <c r="AI126" s="1275"/>
      <c r="AJ126" s="1275"/>
      <c r="AK126" s="1275"/>
      <c r="AL126" s="1275"/>
      <c r="AM126" s="1275"/>
      <c r="AN126" s="1275"/>
      <c r="AO126" s="1275"/>
      <c r="AP126" s="1275"/>
      <c r="AQ126" s="1275"/>
    </row>
    <row s="1877" customFormat="1" customHeight="1" ht="17.25" hidden="1">
      <c r="A127" s="306"/>
      <c r="C127" s="305"/>
      <c r="D127" s="1974"/>
      <c r="E127" s="1976"/>
      <c r="F127" s="1979"/>
      <c r="G127" s="1976"/>
      <c r="H127" s="1316"/>
      <c r="I127" s="1317"/>
      <c r="J127" s="1317"/>
      <c r="K127" s="1317"/>
      <c r="L127" s="1317"/>
      <c r="M127" s="1317"/>
      <c r="N127" s="1317"/>
      <c r="O127" s="1317"/>
      <c r="P127" s="1317"/>
      <c r="Q127" s="1317"/>
      <c r="R127" s="1317"/>
      <c r="S127" s="1318"/>
      <c r="T127" s="1318"/>
      <c r="U127" s="1318"/>
      <c r="V127" s="1318"/>
      <c r="W127" s="1319"/>
      <c r="X127" s="1275"/>
      <c r="Y127" s="1275"/>
      <c r="Z127" s="1275"/>
      <c r="AA127" s="1275"/>
      <c r="AB127" s="1275"/>
      <c r="AC127" s="1275"/>
      <c r="AD127" s="1275"/>
      <c r="AE127" s="1275"/>
      <c r="AF127" s="1275"/>
      <c r="AG127" s="1275"/>
      <c r="AH127" s="1275"/>
      <c r="AI127" s="1275"/>
      <c r="AJ127" s="1275"/>
      <c r="AK127" s="1275"/>
      <c r="AL127" s="1275"/>
      <c r="AM127" s="1275"/>
      <c r="AN127" s="1275"/>
      <c r="AO127" s="1275"/>
      <c r="AP127" s="1275"/>
      <c r="AQ127" s="1275"/>
    </row>
    <row s="1877" customFormat="1" customHeight="1" ht="17.25" hidden="1">
      <c r="A128" s="306"/>
      <c r="C128" s="188"/>
      <c r="D128" s="1973">
        <v>3</v>
      </c>
      <c r="E128" s="1975" t="s">
        <v>286</v>
      </c>
      <c r="F128" s="1977" t="s">
        <v>56</v>
      </c>
      <c r="G128" s="1975"/>
      <c r="H128" s="1980"/>
      <c r="I128" s="1982"/>
      <c r="J128" s="1984"/>
      <c r="K128" s="1971"/>
      <c r="L128" s="1971"/>
      <c r="M128" s="1971"/>
      <c r="N128" s="1987"/>
      <c r="O128" s="1971"/>
      <c r="P128" s="1971"/>
      <c r="Q128" s="1971"/>
      <c r="R128" s="1990"/>
      <c r="S128" s="1971"/>
      <c r="T128" s="1487"/>
      <c r="U128" s="1487"/>
      <c r="V128" s="1489"/>
      <c r="W128" s="1313"/>
      <c r="X128" s="1283"/>
      <c r="Y128" s="1283"/>
      <c r="Z128" s="1283"/>
      <c r="AA128" s="1283"/>
      <c r="AB128" s="1283"/>
      <c r="AC128" s="1283" t="s">
        <v>287</v>
      </c>
      <c r="AD128" s="1283" t="s">
        <v>288</v>
      </c>
      <c r="AE128" s="1283" t="s">
        <v>289</v>
      </c>
      <c r="AF128" s="1283" t="s">
        <v>290</v>
      </c>
      <c r="AG128" s="1283"/>
      <c r="AH128" s="1283" t="str">
        <f>IF($E$128=0,"",$E$128)</f>
        <v>Тариф на подключение (технологическое присоединение) к централизованной системе водоотведения</v>
      </c>
      <c r="AI128" s="1283" t="str">
        <f>IF($G$128=0,"",$G$128)</f>
        <v/>
      </c>
      <c r="AJ128" s="1283" t="str">
        <f>IF($J$128=0,"",$J$128)</f>
        <v/>
      </c>
      <c r="AK128" s="1283" t="str">
        <f>IF($K$128="нет","без дифференциации",IF($N$128=0,"",$N$128))</f>
        <v/>
      </c>
      <c r="AL128" s="1283" t="str">
        <f>IF($O$128="нет","без дифференциации",IF($R$128=0,"",$R$128))</f>
        <v/>
      </c>
      <c r="AM128" s="1283" t="str">
        <f>IF($S$128="нет","без дифференциации",IF($V$128=0,"",$V$128))</f>
        <v/>
      </c>
      <c r="AN128" s="1797">
        <f>$I$128</f>
        <v>0</v>
      </c>
      <c r="AO128" s="1283" t="str">
        <f>$I$128&amp;"."&amp;$M$128</f>
        <v>.</v>
      </c>
      <c r="AP128" s="1275" t="str">
        <f>$I$128&amp;"."&amp;$M$128&amp;"."&amp;$Q$128</f>
        <v>..</v>
      </c>
      <c r="AQ128" s="1275" t="str">
        <f>$I$128&amp;"."&amp;$M$128&amp;"."&amp;$Q$128&amp;"."&amp;$U$128</f>
        <v>...</v>
      </c>
    </row>
    <row s="1877" customFormat="1" customHeight="1" ht="17.25" hidden="1">
      <c r="A129" s="306"/>
      <c r="C129" s="305"/>
      <c r="D129" s="1973"/>
      <c r="E129" s="1975"/>
      <c r="F129" s="1978"/>
      <c r="G129" s="1975"/>
      <c r="H129" s="1981"/>
      <c r="I129" s="1983"/>
      <c r="J129" s="1985"/>
      <c r="K129" s="1972"/>
      <c r="L129" s="1972"/>
      <c r="M129" s="1972"/>
      <c r="N129" s="1988"/>
      <c r="O129" s="1972"/>
      <c r="P129" s="1972"/>
      <c r="Q129" s="1972"/>
      <c r="R129" s="1989"/>
      <c r="S129" s="1972"/>
      <c r="T129" s="1314"/>
      <c r="U129" s="1314"/>
      <c r="V129" s="1314"/>
      <c r="W129" s="1315"/>
      <c r="X129" s="1275"/>
      <c r="Y129" s="1275"/>
      <c r="Z129" s="1275"/>
      <c r="AA129" s="1275"/>
      <c r="AB129" s="1275"/>
      <c r="AC129" s="1275"/>
      <c r="AD129" s="1275"/>
      <c r="AE129" s="1275"/>
      <c r="AF129" s="1275"/>
      <c r="AG129" s="1275"/>
      <c r="AH129" s="1275"/>
      <c r="AI129" s="1275"/>
      <c r="AJ129" s="1275"/>
      <c r="AK129" s="1275"/>
      <c r="AL129" s="1275"/>
      <c r="AM129" s="1275"/>
      <c r="AN129" s="1275"/>
      <c r="AO129" s="1275"/>
      <c r="AP129" s="1275"/>
      <c r="AQ129" s="1275"/>
    </row>
    <row s="1877" customFormat="1" customHeight="1" ht="17.25" hidden="1">
      <c r="A130" s="306"/>
      <c r="C130" s="305"/>
      <c r="D130" s="1974"/>
      <c r="E130" s="1976"/>
      <c r="F130" s="1978"/>
      <c r="G130" s="1976"/>
      <c r="H130" s="1981"/>
      <c r="I130" s="1983"/>
      <c r="J130" s="1986"/>
      <c r="K130" s="1972"/>
      <c r="L130" s="1972"/>
      <c r="M130" s="1972"/>
      <c r="N130" s="1989"/>
      <c r="O130" s="1972"/>
      <c r="P130" s="1488"/>
      <c r="Q130" s="1314"/>
      <c r="R130" s="1314"/>
      <c r="S130" s="317"/>
      <c r="T130" s="317"/>
      <c r="U130" s="317"/>
      <c r="V130" s="317"/>
      <c r="W130" s="1315"/>
      <c r="X130" s="1275"/>
      <c r="Y130" s="1275"/>
      <c r="Z130" s="1275"/>
      <c r="AA130" s="1275"/>
      <c r="AB130" s="1275"/>
      <c r="AC130" s="1275"/>
      <c r="AD130" s="1275"/>
      <c r="AE130" s="1275"/>
      <c r="AF130" s="1275"/>
      <c r="AG130" s="1275"/>
      <c r="AH130" s="1275"/>
      <c r="AI130" s="1275"/>
      <c r="AJ130" s="1275"/>
      <c r="AK130" s="1275"/>
      <c r="AL130" s="1275"/>
      <c r="AM130" s="1275"/>
      <c r="AN130" s="1275"/>
      <c r="AO130" s="1275"/>
      <c r="AP130" s="1275"/>
      <c r="AQ130" s="1275"/>
    </row>
    <row s="1877" customFormat="1" customHeight="1" ht="17.25" hidden="1">
      <c r="A131" s="306"/>
      <c r="C131" s="305"/>
      <c r="D131" s="1974"/>
      <c r="E131" s="1976"/>
      <c r="F131" s="1978"/>
      <c r="G131" s="1976"/>
      <c r="H131" s="1981"/>
      <c r="I131" s="1983"/>
      <c r="J131" s="1986"/>
      <c r="K131" s="1972"/>
      <c r="L131" s="1314"/>
      <c r="M131" s="1314"/>
      <c r="N131" s="1314"/>
      <c r="O131" s="1314"/>
      <c r="P131" s="1314"/>
      <c r="Q131" s="1314"/>
      <c r="R131" s="1314"/>
      <c r="S131" s="317"/>
      <c r="T131" s="317"/>
      <c r="U131" s="317"/>
      <c r="V131" s="317"/>
      <c r="W131" s="1315"/>
      <c r="X131" s="1275"/>
      <c r="Y131" s="1275"/>
      <c r="Z131" s="1275"/>
      <c r="AA131" s="1275"/>
      <c r="AB131" s="1275"/>
      <c r="AC131" s="1275"/>
      <c r="AD131" s="1275"/>
      <c r="AE131" s="1275"/>
      <c r="AF131" s="1275"/>
      <c r="AG131" s="1275"/>
      <c r="AH131" s="1275"/>
      <c r="AI131" s="1275"/>
      <c r="AJ131" s="1275"/>
      <c r="AK131" s="1275"/>
      <c r="AL131" s="1275"/>
      <c r="AM131" s="1275"/>
      <c r="AN131" s="1275"/>
      <c r="AO131" s="1275"/>
      <c r="AP131" s="1275"/>
      <c r="AQ131" s="1275"/>
    </row>
    <row s="1877" customFormat="1" customHeight="1" ht="17.25" hidden="1">
      <c r="A132" s="306"/>
      <c r="C132" s="305"/>
      <c r="D132" s="1974"/>
      <c r="E132" s="1976"/>
      <c r="F132" s="1979"/>
      <c r="G132" s="1976"/>
      <c r="H132" s="1316"/>
      <c r="I132" s="1317"/>
      <c r="J132" s="1317"/>
      <c r="K132" s="1317"/>
      <c r="L132" s="1317"/>
      <c r="M132" s="1317"/>
      <c r="N132" s="1317"/>
      <c r="O132" s="1317"/>
      <c r="P132" s="1317"/>
      <c r="Q132" s="1317"/>
      <c r="R132" s="1317"/>
      <c r="S132" s="1318"/>
      <c r="T132" s="1318"/>
      <c r="U132" s="1318"/>
      <c r="V132" s="1318"/>
      <c r="W132" s="1319"/>
      <c r="X132" s="1275"/>
      <c r="Y132" s="1275"/>
      <c r="Z132" s="1275"/>
      <c r="AA132" s="1275"/>
      <c r="AB132" s="1275"/>
      <c r="AC132" s="1275"/>
      <c r="AD132" s="1275"/>
      <c r="AE132" s="1275"/>
      <c r="AF132" s="1275"/>
      <c r="AG132" s="1275"/>
      <c r="AH132" s="1275"/>
      <c r="AI132" s="1275"/>
      <c r="AJ132" s="1275"/>
      <c r="AK132" s="1275"/>
      <c r="AL132" s="1275"/>
      <c r="AM132" s="1275"/>
      <c r="AN132" s="1275"/>
      <c r="AO132" s="1275"/>
      <c r="AP132" s="1275"/>
      <c r="AQ132" s="1275"/>
    </row>
    <row r="136" customHeight="1" ht="11.25">
      <c r="E136" s="1367"/>
    </row>
    <row customHeight="1" ht="11.25">
      <c r="E137" s="1367"/>
    </row>
    <row customHeight="1" ht="11.25">
      <c r="E138" s="1367"/>
    </row>
    <row customHeight="1" ht="11.25">
      <c r="E139" s="1367"/>
    </row>
    <row customHeight="1" ht="11.25">
      <c r="E140" s="1367"/>
    </row>
    <row customHeight="1" ht="11.25">
      <c r="E141" s="1367"/>
    </row>
    <row customHeight="1" ht="11.25">
      <c r="E142" s="1367"/>
    </row>
  </sheetData>
  <sheetProtection formatColumns="0" formatRows="0" autoFilter="0" sort="0" insertRows="0" insertColumns="1" deleteRows="0" deleteColumns="0"/>
  <mergeCells count="367">
    <mergeCell ref="M96:M98"/>
    <mergeCell ref="N96:N98"/>
    <mergeCell ref="O96:O98"/>
    <mergeCell ref="P96:P97"/>
    <mergeCell ref="Q96:Q97"/>
    <mergeCell ref="R96:R97"/>
    <mergeCell ref="S96:S97"/>
    <mergeCell ref="D96:D100"/>
    <mergeCell ref="E96:E100"/>
    <mergeCell ref="F96:F100"/>
    <mergeCell ref="G96:G100"/>
    <mergeCell ref="H96:H99"/>
    <mergeCell ref="I96:I99"/>
    <mergeCell ref="J96:J99"/>
    <mergeCell ref="K96:K99"/>
    <mergeCell ref="L96:L98"/>
    <mergeCell ref="M91:M93"/>
    <mergeCell ref="N91:N93"/>
    <mergeCell ref="O91:O93"/>
    <mergeCell ref="P91:P92"/>
    <mergeCell ref="Q91:Q92"/>
    <mergeCell ref="R91:R92"/>
    <mergeCell ref="S91:S92"/>
    <mergeCell ref="D86:D90"/>
    <mergeCell ref="E86:E90"/>
    <mergeCell ref="M86:M88"/>
    <mergeCell ref="D91:D95"/>
    <mergeCell ref="E91:E95"/>
    <mergeCell ref="F91:F95"/>
    <mergeCell ref="G91:G95"/>
    <mergeCell ref="H91:H94"/>
    <mergeCell ref="I91:I94"/>
    <mergeCell ref="J91:J94"/>
    <mergeCell ref="K91:K94"/>
    <mergeCell ref="L91:L93"/>
    <mergeCell ref="F86:F90"/>
    <mergeCell ref="G86:G90"/>
    <mergeCell ref="H86:H89"/>
    <mergeCell ref="I86:I89"/>
    <mergeCell ref="J86:J89"/>
    <mergeCell ref="L86:L88"/>
    <mergeCell ref="Q81:Q82"/>
    <mergeCell ref="R81:R82"/>
    <mergeCell ref="S81:S82"/>
    <mergeCell ref="K81:K84"/>
    <mergeCell ref="K76:K79"/>
    <mergeCell ref="N81:N83"/>
    <mergeCell ref="O81:O83"/>
    <mergeCell ref="P81:P82"/>
    <mergeCell ref="S86:S87"/>
    <mergeCell ref="N86:N88"/>
    <mergeCell ref="O86:O88"/>
    <mergeCell ref="P86:P87"/>
    <mergeCell ref="Q86:Q87"/>
    <mergeCell ref="R86:R87"/>
    <mergeCell ref="L81:L83"/>
    <mergeCell ref="N76:N78"/>
    <mergeCell ref="O76:O78"/>
    <mergeCell ref="P76:P77"/>
    <mergeCell ref="Q76:Q77"/>
    <mergeCell ref="R76:R77"/>
    <mergeCell ref="S76:S77"/>
    <mergeCell ref="M81:M83"/>
    <mergeCell ref="W9:W10"/>
    <mergeCell ref="O9:R9"/>
    <mergeCell ref="K9:N9"/>
    <mergeCell ref="T11:U11"/>
    <mergeCell ref="S9:V9"/>
    <mergeCell ref="T10:U10"/>
    <mergeCell ref="D76:D80"/>
    <mergeCell ref="E76:E80"/>
    <mergeCell ref="D81:D85"/>
    <mergeCell ref="E81:E85"/>
    <mergeCell ref="F81:F85"/>
    <mergeCell ref="G81:G85"/>
    <mergeCell ref="H81:H84"/>
    <mergeCell ref="I81:I84"/>
    <mergeCell ref="J81:J84"/>
    <mergeCell ref="F76:F80"/>
    <mergeCell ref="G76:G80"/>
    <mergeCell ref="H76:H79"/>
    <mergeCell ref="I76:I79"/>
    <mergeCell ref="J76:J79"/>
    <mergeCell ref="G30:G34"/>
    <mergeCell ref="K30:K33"/>
    <mergeCell ref="D5:J5"/>
    <mergeCell ref="D9:D10"/>
    <mergeCell ref="D7:J7"/>
    <mergeCell ref="G9:G10"/>
    <mergeCell ref="H9:I10"/>
    <mergeCell ref="D6:J6"/>
    <mergeCell ref="D13:D29"/>
    <mergeCell ref="E13:E29"/>
    <mergeCell ref="G13:G29"/>
    <mergeCell ref="J9:J10"/>
    <mergeCell ref="H11:I11"/>
    <mergeCell ref="E9:F9"/>
    <mergeCell ref="F13:F29"/>
    <mergeCell ref="L10:M10"/>
    <mergeCell ref="P10:Q10"/>
    <mergeCell ref="L11:M11"/>
    <mergeCell ref="P11:Q11"/>
    <mergeCell ref="P30:P31"/>
    <mergeCell ref="O30:O32"/>
    <mergeCell ref="D30:D34"/>
    <mergeCell ref="E30:E34"/>
    <mergeCell ref="F30:F34"/>
    <mergeCell ref="Q30:Q31"/>
    <mergeCell ref="R30:R31"/>
    <mergeCell ref="H30:H33"/>
    <mergeCell ref="I30:I33"/>
    <mergeCell ref="J30:J33"/>
    <mergeCell ref="D35:D39"/>
    <mergeCell ref="E35:E39"/>
    <mergeCell ref="F35:F39"/>
    <mergeCell ref="G35:G39"/>
    <mergeCell ref="L30:L32"/>
    <mergeCell ref="M30:M32"/>
    <mergeCell ref="N30:N32"/>
    <mergeCell ref="D60:D64"/>
    <mergeCell ref="E60:E64"/>
    <mergeCell ref="F60:F64"/>
    <mergeCell ref="N50:N52"/>
    <mergeCell ref="G45:G49"/>
    <mergeCell ref="K45:K48"/>
    <mergeCell ref="G60:G64"/>
    <mergeCell ref="L50:L52"/>
    <mergeCell ref="M50:M52"/>
    <mergeCell ref="K50:K53"/>
    <mergeCell ref="D50:D54"/>
    <mergeCell ref="I50:I53"/>
    <mergeCell ref="J50:J53"/>
    <mergeCell ref="I45:I48"/>
    <mergeCell ref="J45:J48"/>
    <mergeCell ref="L45:L47"/>
    <mergeCell ref="M45:M47"/>
    <mergeCell ref="D45:D49"/>
    <mergeCell ref="D55:D59"/>
    <mergeCell ref="E55:E59"/>
    <mergeCell ref="F55:F59"/>
    <mergeCell ref="G55:G59"/>
    <mergeCell ref="D40:D44"/>
    <mergeCell ref="E40:E44"/>
    <mergeCell ref="F40:F44"/>
    <mergeCell ref="P50:P51"/>
    <mergeCell ref="O45:O47"/>
    <mergeCell ref="Q50:Q51"/>
    <mergeCell ref="R50:R51"/>
    <mergeCell ref="O50:O52"/>
    <mergeCell ref="G40:G44"/>
    <mergeCell ref="S45:S46"/>
    <mergeCell ref="S50:S51"/>
    <mergeCell ref="E45:E49"/>
    <mergeCell ref="F45:F49"/>
    <mergeCell ref="H45:H48"/>
    <mergeCell ref="P45:P46"/>
    <mergeCell ref="Q45:Q46"/>
    <mergeCell ref="R45:R46"/>
    <mergeCell ref="S30:S31"/>
    <mergeCell ref="M102:M104"/>
    <mergeCell ref="N102:N104"/>
    <mergeCell ref="O102:O104"/>
    <mergeCell ref="P102:P103"/>
    <mergeCell ref="Q102:Q103"/>
    <mergeCell ref="R102:R103"/>
    <mergeCell ref="S102:S103"/>
    <mergeCell ref="E74:W74"/>
    <mergeCell ref="E66:W66"/>
    <mergeCell ref="E67:W67"/>
    <mergeCell ref="E68:W68"/>
    <mergeCell ref="E69:W69"/>
    <mergeCell ref="E70:W70"/>
    <mergeCell ref="L76:L78"/>
    <mergeCell ref="M76:M78"/>
    <mergeCell ref="E72:W72"/>
    <mergeCell ref="E73:W73"/>
    <mergeCell ref="K86:K89"/>
    <mergeCell ref="E50:E54"/>
    <mergeCell ref="F50:F54"/>
    <mergeCell ref="H50:H53"/>
    <mergeCell ref="G50:G54"/>
    <mergeCell ref="N45:N47"/>
    <mergeCell ref="D102:D106"/>
    <mergeCell ref="E102:E106"/>
    <mergeCell ref="F102:F106"/>
    <mergeCell ref="G102:G106"/>
    <mergeCell ref="H102:H105"/>
    <mergeCell ref="I102:I105"/>
    <mergeCell ref="J102:J105"/>
    <mergeCell ref="K102:K105"/>
    <mergeCell ref="L102:L104"/>
    <mergeCell ref="P112:P113"/>
    <mergeCell ref="Q112:Q113"/>
    <mergeCell ref="R112:R113"/>
    <mergeCell ref="S112:S113"/>
    <mergeCell ref="D107:D111"/>
    <mergeCell ref="E107:E111"/>
    <mergeCell ref="F107:F111"/>
    <mergeCell ref="G107:G111"/>
    <mergeCell ref="H107:H110"/>
    <mergeCell ref="I107:I110"/>
    <mergeCell ref="J107:J110"/>
    <mergeCell ref="K107:K110"/>
    <mergeCell ref="L107:L109"/>
    <mergeCell ref="S118:S119"/>
    <mergeCell ref="D118:D122"/>
    <mergeCell ref="E118:E122"/>
    <mergeCell ref="F118:F122"/>
    <mergeCell ref="G118:G122"/>
    <mergeCell ref="M107:M109"/>
    <mergeCell ref="N107:N109"/>
    <mergeCell ref="O107:O109"/>
    <mergeCell ref="P107:P108"/>
    <mergeCell ref="Q107:Q108"/>
    <mergeCell ref="R107:R108"/>
    <mergeCell ref="S107:S108"/>
    <mergeCell ref="D112:D116"/>
    <mergeCell ref="E112:E116"/>
    <mergeCell ref="F112:F116"/>
    <mergeCell ref="G112:G116"/>
    <mergeCell ref="H112:H115"/>
    <mergeCell ref="I112:I115"/>
    <mergeCell ref="J112:J115"/>
    <mergeCell ref="K112:K115"/>
    <mergeCell ref="L112:L114"/>
    <mergeCell ref="M112:M114"/>
    <mergeCell ref="N112:N114"/>
    <mergeCell ref="O112:O114"/>
    <mergeCell ref="O118:O120"/>
    <mergeCell ref="M123:M125"/>
    <mergeCell ref="N123:N125"/>
    <mergeCell ref="O123:O125"/>
    <mergeCell ref="P118:P119"/>
    <mergeCell ref="Q118:Q119"/>
    <mergeCell ref="R118:R119"/>
    <mergeCell ref="P123:P124"/>
    <mergeCell ref="Q123:Q124"/>
    <mergeCell ref="R123:R124"/>
    <mergeCell ref="K123:K126"/>
    <mergeCell ref="L123:L125"/>
    <mergeCell ref="H118:H121"/>
    <mergeCell ref="I118:I121"/>
    <mergeCell ref="J118:J121"/>
    <mergeCell ref="K118:K121"/>
    <mergeCell ref="L118:L120"/>
    <mergeCell ref="M118:M120"/>
    <mergeCell ref="N118:N120"/>
    <mergeCell ref="S123:S124"/>
    <mergeCell ref="D128:D132"/>
    <mergeCell ref="E128:E132"/>
    <mergeCell ref="F128:F132"/>
    <mergeCell ref="G128:G132"/>
    <mergeCell ref="H128:H131"/>
    <mergeCell ref="I128:I131"/>
    <mergeCell ref="J128:J131"/>
    <mergeCell ref="K128:K131"/>
    <mergeCell ref="L128:L130"/>
    <mergeCell ref="M128:M130"/>
    <mergeCell ref="N128:N130"/>
    <mergeCell ref="O128:O130"/>
    <mergeCell ref="P128:P129"/>
    <mergeCell ref="Q128:Q129"/>
    <mergeCell ref="R128:R129"/>
    <mergeCell ref="S128:S129"/>
    <mergeCell ref="D123:D127"/>
    <mergeCell ref="E123:E127"/>
    <mergeCell ref="F123:F127"/>
    <mergeCell ref="G123:G127"/>
    <mergeCell ref="H123:H126"/>
    <mergeCell ref="I123:I126"/>
    <mergeCell ref="J123:J126"/>
    <mergeCell ref="I13:I16"/>
    <mergeCell ref="L13:L15"/>
    <mergeCell ref="N13:N15"/>
    <mergeCell ref="J13:J16"/>
    <mergeCell ref="H13:H16"/>
    <mergeCell ref="M13:M15"/>
    <mergeCell ref="O13:O15"/>
    <mergeCell ref="S13:S14"/>
    <mergeCell ref="P13:P14"/>
    <mergeCell ref="Q13:Q14"/>
    <mergeCell ref="R13:R14"/>
    <mergeCell ref="K13:K16"/>
    <mergeCell ref="O17:O19"/>
    <mergeCell ref="P17:P18"/>
    <mergeCell ref="Q17:Q18"/>
    <mergeCell ref="R17:R18"/>
    <mergeCell ref="S17:S18"/>
    <mergeCell ref="H17:H20"/>
    <mergeCell ref="I17:I20"/>
    <mergeCell ref="J17:J20"/>
    <mergeCell ref="K17:K20"/>
    <mergeCell ref="L17:L19"/>
    <mergeCell ref="M17:M19"/>
    <mergeCell ref="N17:N19"/>
    <mergeCell ref="O21:O23"/>
    <mergeCell ref="P21:P22"/>
    <mergeCell ref="Q21:Q22"/>
    <mergeCell ref="R21:R22"/>
    <mergeCell ref="S21:S22"/>
    <mergeCell ref="H21:H24"/>
    <mergeCell ref="I21:I24"/>
    <mergeCell ref="J21:J24"/>
    <mergeCell ref="K21:K24"/>
    <mergeCell ref="L21:L23"/>
    <mergeCell ref="M21:M23"/>
    <mergeCell ref="N21:N23"/>
    <mergeCell ref="O25:O27"/>
    <mergeCell ref="P25:P26"/>
    <mergeCell ref="Q25:Q26"/>
    <mergeCell ref="R25:R26"/>
    <mergeCell ref="S25:S26"/>
    <mergeCell ref="H25:H28"/>
    <mergeCell ref="I25:I28"/>
    <mergeCell ref="J25:J28"/>
    <mergeCell ref="K25:K28"/>
    <mergeCell ref="L25:L27"/>
    <mergeCell ref="M25:M27"/>
    <mergeCell ref="N25:N27"/>
    <mergeCell ref="I35:I38"/>
    <mergeCell ref="L35:L37"/>
    <mergeCell ref="N35:N37"/>
    <mergeCell ref="J35:J38"/>
    <mergeCell ref="H35:H38"/>
    <mergeCell ref="M35:M37"/>
    <mergeCell ref="O35:O37"/>
    <mergeCell ref="S35:S36"/>
    <mergeCell ref="P35:P36"/>
    <mergeCell ref="Q35:Q36"/>
    <mergeCell ref="R35:R36"/>
    <mergeCell ref="K35:K38"/>
    <mergeCell ref="I40:I43"/>
    <mergeCell ref="L40:L42"/>
    <mergeCell ref="N40:N42"/>
    <mergeCell ref="J40:J43"/>
    <mergeCell ref="H40:H43"/>
    <mergeCell ref="M40:M42"/>
    <mergeCell ref="O40:O42"/>
    <mergeCell ref="S40:S41"/>
    <mergeCell ref="P40:P41"/>
    <mergeCell ref="Q40:Q41"/>
    <mergeCell ref="R40:R41"/>
    <mergeCell ref="K40:K43"/>
    <mergeCell ref="I55:I58"/>
    <mergeCell ref="L55:L57"/>
    <mergeCell ref="N55:N57"/>
    <mergeCell ref="J55:J58"/>
    <mergeCell ref="H55:H58"/>
    <mergeCell ref="M55:M57"/>
    <mergeCell ref="O55:O57"/>
    <mergeCell ref="S55:S56"/>
    <mergeCell ref="P55:P56"/>
    <mergeCell ref="Q55:Q56"/>
    <mergeCell ref="R55:R56"/>
    <mergeCell ref="K55:K58"/>
    <mergeCell ref="Q60:Q61"/>
    <mergeCell ref="R60:R61"/>
    <mergeCell ref="S60:S61"/>
    <mergeCell ref="P60:P61"/>
    <mergeCell ref="I60:I63"/>
    <mergeCell ref="H60:H63"/>
    <mergeCell ref="J60:J63"/>
    <mergeCell ref="K60:K63"/>
    <mergeCell ref="M60:M62"/>
    <mergeCell ref="O60:O62"/>
    <mergeCell ref="L60:L62"/>
    <mergeCell ref="N60:N62"/>
  </mergeCells>
  <dataValidations count="134">
    <dataValidation allowBlank="1" showInputMessage="1" showErrorMessage="1" prompt="Выберите виды деятельности, выполнив двойной щелчок левой кнопки мыши по ячейке." sqref="G13:G16 G29:G64 G76:G100 G102:G116 G118:G132"/>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0:N32 N50:N52 N45:N47 N76:N78 N91:N93 N96:N98 N81:N83 N86:N88 N102:N104 N107:N109 N112:N114 N123:N125 N118:N120 N128:N130">
      <formula1>DESCRIPTION_TERRITORY</formula1>
    </dataValidation>
    <dataValidation type="textLength" operator="lessThanOrEqual" allowBlank="1" showInputMessage="1" showErrorMessage="1" errorTitle="Ошибка" error="Допускается ввод не более 900 символов!" sqref="J45:J46 J30:J31 J50:J51 R45:R46 R30:R31 R50:R51 V45:W45 V30:W30 V50:W50 J76:J77 R76:R77 V76:W76 J81:J82 R81:R82 V81:W81 J91:J92 R91:R92 V91:W91 J86:J87 R86:R87 V86:W86 J96:J97 R96:R97 V96:W96 J102:J103 R102:R103 V102:W102 J107:J108 R107:R108 V107:W107 J112:J113 R112:R113 V112:W112 J123:J124 R123:R124 V123:W123 J118:J119 R118:R119 V118:W118 J128:J129 R128:R129 V128:W128">
      <formula1>900</formula1>
    </dataValidation>
    <dataValidation allowBlank="1" showInputMessage="1" showErrorMessage="1" prompt="Для выбора выполните двойной щелчок левой клавиши мыши по соответствующей ячейке." sqref="K45:K46 K30:K31 K50:K51 O45:O46 O30:O31 O50:O51 S45:S46 S30:S31 S50:S51 F13:F16 F29:F64 K76:K77 O76:O77 S76:S77 K81:K82 O81:O82 S81:S82 K91:K92 O91:O92 S91:S92 K86:K87 O86:O87 K96:K97 O96:O97 S86:S87 S96:S97 F76:F100 O102:O103 S102:S103 O107:O108 S107:S108 S112:S113 K102:K103 K107:K108 K112:K113 O112:O113 F102:F116 K123:K124 O123:O124 K118:K119 O118:O119 S123:S124 F118:F132 S118:S119 K128:K129 O128:O129 S128:S129"/>
    <dataValidation type="textLength" operator="lessThanOrEqual" allowBlank="1" showInputMessage="1" showErrorMessage="1" errorTitle="Ошибка" error="Допускается ввод не более 900 символов!" sqref="J13">
      <formula1>900</formula1>
    </dataValidation>
    <dataValidation allowBlank="1" showInputMessage="1" showErrorMessage="1" prompt="Для выбора выполните двойной щелчок левой клавиши мыши по соответствующей ячейке." sqref="K1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3"/>
    <dataValidation allowBlank="1" showInputMessage="1" showErrorMessage="1" prompt="Для выбора выполните двойной щелчок левой клавиши мыши по соответствующей ячейке." sqref="O13"/>
    <dataValidation type="textLength" operator="lessThanOrEqual" allowBlank="1" showInputMessage="1" showErrorMessage="1" errorTitle="Ошибка" error="Допускается ввод не более 900 символов!" sqref="R13">
      <formula1>900</formula1>
    </dataValidation>
    <dataValidation allowBlank="1" showInputMessage="1" showErrorMessage="1" prompt="Для выбора выполните двойной щелчок левой клавиши мыши по соответствующей ячейке." sqref="S13"/>
    <dataValidation type="textLength" operator="lessThanOrEqual" allowBlank="1" showInputMessage="1" showErrorMessage="1" errorTitle="Ошибка" error="Допускается ввод не более 900 символов!" sqref="V13">
      <formula1>900</formula1>
    </dataValidation>
    <dataValidation type="textLength" operator="lessThanOrEqual" allowBlank="1" showInputMessage="1" showErrorMessage="1" errorTitle="Ошибка" error="Допускается ввод не более 900 символов!" sqref="W13">
      <formula1>900</formula1>
    </dataValidation>
    <dataValidation type="textLength" operator="lessThanOrEqual" allowBlank="1" showInputMessage="1" showErrorMessage="1" errorTitle="Ошибка" error="Допускается ввод не более 900 символов!" sqref="J1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
    <dataValidation type="textLength" operator="lessThanOrEqual" allowBlank="1" showInputMessage="1" showErrorMessage="1" errorTitle="Ошибка" error="Допускается ввод не более 900 символов!" sqref="R14">
      <formula1>900</formula1>
    </dataValidation>
    <dataValidation allowBlank="1" showInputMessage="1" showErrorMessage="1" prompt="Для выбора выполните двойной щелчок левой клавиши мыши по соответствующей ячейке." sqref="S1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
    <dataValidation allowBlank="1" showInputMessage="1" showErrorMessage="1" prompt="Для выбора выполните двойной щелчок левой клавиши мыши по соответствующей ячейке." sqref="F17"/>
    <dataValidation allowBlank="1" showInputMessage="1" showErrorMessage="1" prompt="Выберите виды деятельности, выполнив двойной щелчок левой кнопки мыши по ячейке." sqref="G17"/>
    <dataValidation type="textLength" operator="lessThanOrEqual" allowBlank="1" showInputMessage="1" showErrorMessage="1" errorTitle="Ошибка" error="Допускается ввод не более 900 символов!" sqref="J17">
      <formula1>900</formula1>
    </dataValidation>
    <dataValidation allowBlank="1" showInputMessage="1" showErrorMessage="1" prompt="Для выбора выполните двойной щелчок левой клавиши мыши по соответствующей ячейке." sqref="K1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7"/>
    <dataValidation allowBlank="1" showInputMessage="1" showErrorMessage="1" prompt="Для выбора выполните двойной щелчок левой клавиши мыши по соответствующей ячейке." sqref="O17"/>
    <dataValidation type="textLength" operator="lessThanOrEqual" allowBlank="1" showInputMessage="1" showErrorMessage="1" errorTitle="Ошибка" error="Допускается ввод не более 900 символов!" sqref="R17">
      <formula1>900</formula1>
    </dataValidation>
    <dataValidation allowBlank="1" showInputMessage="1" showErrorMessage="1" prompt="Для выбора выполните двойной щелчок левой клавиши мыши по соответствующей ячейке." sqref="S17"/>
    <dataValidation type="textLength" operator="lessThanOrEqual" allowBlank="1" showInputMessage="1" showErrorMessage="1" errorTitle="Ошибка" error="Допускается ввод не более 900 символов!" sqref="V17">
      <formula1>900</formula1>
    </dataValidation>
    <dataValidation type="textLength" operator="lessThanOrEqual" allowBlank="1" showInputMessage="1" showErrorMessage="1" errorTitle="Ошибка" error="Допускается ввод не более 900 символов!" sqref="W17">
      <formula1>900</formula1>
    </dataValidation>
    <dataValidation allowBlank="1" showInputMessage="1" showErrorMessage="1" prompt="Для выбора выполните двойной щелчок левой клавиши мыши по соответствующей ячейке." sqref="F18"/>
    <dataValidation allowBlank="1" showInputMessage="1" showErrorMessage="1" prompt="Выберите виды деятельности, выполнив двойной щелчок левой кнопки мыши по ячейке." sqref="G18"/>
    <dataValidation type="textLength" operator="lessThanOrEqual" allowBlank="1" showInputMessage="1" showErrorMessage="1" errorTitle="Ошибка" error="Допускается ввод не более 900 символов!" sqref="J1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
    <dataValidation type="textLength" operator="lessThanOrEqual" allowBlank="1" showInputMessage="1" showErrorMessage="1" errorTitle="Ошибка" error="Допускается ввод не более 900 символов!" sqref="R18">
      <formula1>900</formula1>
    </dataValidation>
    <dataValidation allowBlank="1" showInputMessage="1" showErrorMessage="1" prompt="Для выбора выполните двойной щелчок левой клавиши мыши по соответствующей ячейке." sqref="S18"/>
    <dataValidation allowBlank="1" showInputMessage="1" showErrorMessage="1" prompt="Для выбора выполните двойной щелчок левой клавиши мыши по соответствующей ячейке." sqref="F19"/>
    <dataValidation allowBlank="1" showInputMessage="1" showErrorMessage="1" prompt="Выберите виды деятельности, выполнив двойной щелчок левой кнопки мыши по ячейке." sqref="G1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
    <dataValidation allowBlank="1" showInputMessage="1" showErrorMessage="1" prompt="Для выбора выполните двойной щелчок левой клавиши мыши по соответствующей ячейке." sqref="F20"/>
    <dataValidation allowBlank="1" showInputMessage="1" showErrorMessage="1" prompt="Выберите виды деятельности, выполнив двойной щелчок левой кнопки мыши по ячейке." sqref="G20"/>
    <dataValidation allowBlank="1" showInputMessage="1" showErrorMessage="1" prompt="Для выбора выполните двойной щелчок левой клавиши мыши по соответствующей ячейке." sqref="F21"/>
    <dataValidation allowBlank="1" showInputMessage="1" showErrorMessage="1" prompt="Выберите виды деятельности, выполнив двойной щелчок левой кнопки мыши по ячейке." sqref="G21"/>
    <dataValidation type="textLength" operator="lessThanOrEqual" allowBlank="1" showInputMessage="1" showErrorMessage="1" errorTitle="Ошибка" error="Допускается ввод не более 900 символов!" sqref="J21">
      <formula1>900</formula1>
    </dataValidation>
    <dataValidation allowBlank="1" showInputMessage="1" showErrorMessage="1" prompt="Для выбора выполните двойной щелчок левой клавиши мыши по соответствующей ячейке." sqref="K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1"/>
    <dataValidation allowBlank="1" showInputMessage="1" showErrorMessage="1" prompt="Для выбора выполните двойной щелчок левой клавиши мыши по соответствующей ячейке." sqref="O21"/>
    <dataValidation type="textLength" operator="lessThanOrEqual" allowBlank="1" showInputMessage="1" showErrorMessage="1" errorTitle="Ошибка" error="Допускается ввод не более 900 символов!" sqref="R21">
      <formula1>900</formula1>
    </dataValidation>
    <dataValidation allowBlank="1" showInputMessage="1" showErrorMessage="1" prompt="Для выбора выполните двойной щелчок левой клавиши мыши по соответствующей ячейке." sqref="S21"/>
    <dataValidation type="textLength" operator="lessThanOrEqual" allowBlank="1" showInputMessage="1" showErrorMessage="1" errorTitle="Ошибка" error="Допускается ввод не более 900 символов!" sqref="V21">
      <formula1>900</formula1>
    </dataValidation>
    <dataValidation type="textLength" operator="lessThanOrEqual" allowBlank="1" showInputMessage="1" showErrorMessage="1" errorTitle="Ошибка" error="Допускается ввод не более 900 символов!" sqref="W21">
      <formula1>900</formula1>
    </dataValidation>
    <dataValidation allowBlank="1" showInputMessage="1" showErrorMessage="1" prompt="Для выбора выполните двойной щелчок левой клавиши мыши по соответствующей ячейке." sqref="F22"/>
    <dataValidation allowBlank="1" showInputMessage="1" showErrorMessage="1" prompt="Выберите виды деятельности, выполнив двойной щелчок левой кнопки мыши по ячейке." sqref="G22"/>
    <dataValidation type="textLength" operator="lessThanOrEqual" allowBlank="1" showInputMessage="1" showErrorMessage="1" errorTitle="Ошибка" error="Допускается ввод не более 900 символов!" sqref="J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2"/>
    <dataValidation type="textLength" operator="lessThanOrEqual" allowBlank="1" showInputMessage="1" showErrorMessage="1" errorTitle="Ошибка" error="Допускается ввод не более 900 символов!" sqref="R22">
      <formula1>900</formula1>
    </dataValidation>
    <dataValidation allowBlank="1" showInputMessage="1" showErrorMessage="1" prompt="Для выбора выполните двойной щелчок левой клавиши мыши по соответствующей ячейке." sqref="S22"/>
    <dataValidation allowBlank="1" showInputMessage="1" showErrorMessage="1" prompt="Для выбора выполните двойной щелчок левой клавиши мыши по соответствующей ячейке." sqref="F23"/>
    <dataValidation allowBlank="1" showInputMessage="1" showErrorMessage="1" prompt="Выберите виды деятельности, выполнив двойной щелчок левой кнопки мыши по ячейке." sqref="G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allowBlank="1" showInputMessage="1" showErrorMessage="1" prompt="Для выбора выполните двойной щелчок левой клавиши мыши по соответствующей ячейке." sqref="F24"/>
    <dataValidation allowBlank="1" showInputMessage="1" showErrorMessage="1" prompt="Выберите виды деятельности, выполнив двойной щелчок левой кнопки мыши по ячейке." sqref="G24"/>
    <dataValidation allowBlank="1" showInputMessage="1" showErrorMessage="1" prompt="Для выбора выполните двойной щелчок левой клавиши мыши по соответствующей ячейке." sqref="F25"/>
    <dataValidation allowBlank="1" showInputMessage="1" showErrorMessage="1" prompt="Выберите виды деятельности, выполнив двойной щелчок левой кнопки мыши по ячейке." sqref="G25"/>
    <dataValidation type="textLength" operator="lessThanOrEqual" allowBlank="1" showInputMessage="1" showErrorMessage="1" errorTitle="Ошибка" error="Допускается ввод не более 900 символов!" sqref="J25">
      <formula1>900</formula1>
    </dataValidation>
    <dataValidation allowBlank="1" showInputMessage="1" showErrorMessage="1" prompt="Для выбора выполните двойной щелчок левой клавиши мыши по соответствующей ячейке." sqref="K2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dataValidation allowBlank="1" showInputMessage="1" showErrorMessage="1" prompt="Для выбора выполните двойной щелчок левой клавиши мыши по соответствующей ячейке." sqref="O25"/>
    <dataValidation type="textLength" operator="lessThanOrEqual" allowBlank="1" showInputMessage="1" showErrorMessage="1" errorTitle="Ошибка" error="Допускается ввод не более 900 символов!" sqref="R25">
      <formula1>900</formula1>
    </dataValidation>
    <dataValidation allowBlank="1" showInputMessage="1" showErrorMessage="1" prompt="Для выбора выполните двойной щелчок левой клавиши мыши по соответствующей ячейке." sqref="S25"/>
    <dataValidation type="textLength" operator="lessThanOrEqual" allowBlank="1" showInputMessage="1" showErrorMessage="1" errorTitle="Ошибка" error="Допускается ввод не более 900 символов!" sqref="V25">
      <formula1>900</formula1>
    </dataValidation>
    <dataValidation type="textLength" operator="lessThanOrEqual" allowBlank="1" showInputMessage="1" showErrorMessage="1" errorTitle="Ошибка" error="Допускается ввод не более 900 символов!" sqref="W25">
      <formula1>900</formula1>
    </dataValidation>
    <dataValidation allowBlank="1" showInputMessage="1" showErrorMessage="1" prompt="Для выбора выполните двойной щелчок левой клавиши мыши по соответствующей ячейке." sqref="F26"/>
    <dataValidation allowBlank="1" showInputMessage="1" showErrorMessage="1" prompt="Выберите виды деятельности, выполнив двойной щелчок левой кнопки мыши по ячейке." sqref="G26"/>
    <dataValidation type="textLength" operator="lessThanOrEqual" allowBlank="1" showInputMessage="1" showErrorMessage="1" errorTitle="Ошибка" error="Допускается ввод не более 900 символов!" sqref="J2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6"/>
    <dataValidation type="textLength" operator="lessThanOrEqual" allowBlank="1" showInputMessage="1" showErrorMessage="1" errorTitle="Ошибка" error="Допускается ввод не более 900 символов!" sqref="R26">
      <formula1>900</formula1>
    </dataValidation>
    <dataValidation allowBlank="1" showInputMessage="1" showErrorMessage="1" prompt="Для выбора выполните двойной щелчок левой клавиши мыши по соответствующей ячейке." sqref="S26"/>
    <dataValidation allowBlank="1" showInputMessage="1" showErrorMessage="1" prompt="Для выбора выполните двойной щелчок левой клавиши мыши по соответствующей ячейке." sqref="F27"/>
    <dataValidation allowBlank="1" showInputMessage="1" showErrorMessage="1" prompt="Выберите виды деятельности, выполнив двойной щелчок левой кнопки мыши по ячейке." sqref="G2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7"/>
    <dataValidation allowBlank="1" showInputMessage="1" showErrorMessage="1" prompt="Для выбора выполните двойной щелчок левой клавиши мыши по соответствующей ячейке." sqref="F28"/>
    <dataValidation allowBlank="1" showInputMessage="1" showErrorMessage="1" prompt="Выберите виды деятельности, выполнив двойной щелчок левой кнопки мыши по ячейке." sqref="G28"/>
    <dataValidation type="textLength" operator="lessThanOrEqual" allowBlank="1" showInputMessage="1" showErrorMessage="1" errorTitle="Ошибка" error="Допускается ввод не более 900 символов!" sqref="J35">
      <formula1>900</formula1>
    </dataValidation>
    <dataValidation allowBlank="1" showInputMessage="1" showErrorMessage="1" prompt="Для выбора выполните двойной щелчок левой клавиши мыши по соответствующей ячейке." sqref="K3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5"/>
    <dataValidation allowBlank="1" showInputMessage="1" showErrorMessage="1" prompt="Для выбора выполните двойной щелчок левой клавиши мыши по соответствующей ячейке." sqref="O35"/>
    <dataValidation type="textLength" operator="lessThanOrEqual" allowBlank="1" showInputMessage="1" showErrorMessage="1" errorTitle="Ошибка" error="Допускается ввод не более 900 символов!" sqref="R35">
      <formula1>900</formula1>
    </dataValidation>
    <dataValidation allowBlank="1" showInputMessage="1" showErrorMessage="1" prompt="Для выбора выполните двойной щелчок левой клавиши мыши по соответствующей ячейке." sqref="S35"/>
    <dataValidation type="textLength" operator="lessThanOrEqual" allowBlank="1" showInputMessage="1" showErrorMessage="1" errorTitle="Ошибка" error="Допускается ввод не более 900 символов!" sqref="V35">
      <formula1>900</formula1>
    </dataValidation>
    <dataValidation type="textLength" operator="lessThanOrEqual" allowBlank="1" showInputMessage="1" showErrorMessage="1" errorTitle="Ошибка" error="Допускается ввод не более 900 символов!" sqref="W35">
      <formula1>900</formula1>
    </dataValidation>
    <dataValidation type="textLength" operator="lessThanOrEqual" allowBlank="1" showInputMessage="1" showErrorMessage="1" errorTitle="Ошибка" error="Допускается ввод не более 900 символов!" sqref="J3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6"/>
    <dataValidation type="textLength" operator="lessThanOrEqual" allowBlank="1" showInputMessage="1" showErrorMessage="1" errorTitle="Ошибка" error="Допускается ввод не более 900 символов!" sqref="R36">
      <formula1>900</formula1>
    </dataValidation>
    <dataValidation allowBlank="1" showInputMessage="1" showErrorMessage="1" prompt="Для выбора выполните двойной щелчок левой клавиши мыши по соответствующей ячейке." sqref="S3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37"/>
    <dataValidation type="textLength" operator="lessThanOrEqual" allowBlank="1" showInputMessage="1" showErrorMessage="1" errorTitle="Ошибка" error="Допускается ввод не более 900 символов!" sqref="J40">
      <formula1>900</formula1>
    </dataValidation>
    <dataValidation allowBlank="1" showInputMessage="1" showErrorMessage="1" prompt="Для выбора выполните двойной щелчок левой клавиши мыши по соответствующей ячейке." sqref="K4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0"/>
    <dataValidation allowBlank="1" showInputMessage="1" showErrorMessage="1" prompt="Для выбора выполните двойной щелчок левой клавиши мыши по соответствующей ячейке." sqref="O40"/>
    <dataValidation type="textLength" operator="lessThanOrEqual" allowBlank="1" showInputMessage="1" showErrorMessage="1" errorTitle="Ошибка" error="Допускается ввод не более 900 символов!" sqref="R40">
      <formula1>900</formula1>
    </dataValidation>
    <dataValidation allowBlank="1" showInputMessage="1" showErrorMessage="1" prompt="Для выбора выполните двойной щелчок левой клавиши мыши по соответствующей ячейке." sqref="S40"/>
    <dataValidation type="textLength" operator="lessThanOrEqual" allowBlank="1" showInputMessage="1" showErrorMessage="1" errorTitle="Ошибка" error="Допускается ввод не более 900 символов!" sqref="V40">
      <formula1>900</formula1>
    </dataValidation>
    <dataValidation type="textLength" operator="lessThanOrEqual" allowBlank="1" showInputMessage="1" showErrorMessage="1" errorTitle="Ошибка" error="Допускается ввод не более 900 символов!" sqref="W40">
      <formula1>900</formula1>
    </dataValidation>
    <dataValidation type="textLength" operator="lessThanOrEqual" allowBlank="1" showInputMessage="1" showErrorMessage="1" errorTitle="Ошибка" error="Допускается ввод не более 900 символов!" sqref="J41">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1"/>
    <dataValidation type="textLength" operator="lessThanOrEqual" allowBlank="1" showInputMessage="1" showErrorMessage="1" errorTitle="Ошибка" error="Допускается ввод не более 900 символов!" sqref="R41">
      <formula1>900</formula1>
    </dataValidation>
    <dataValidation allowBlank="1" showInputMessage="1" showErrorMessage="1" prompt="Для выбора выполните двойной щелчок левой клавиши мыши по соответствующей ячейке." sqref="S4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2"/>
    <dataValidation type="textLength" operator="lessThanOrEqual" allowBlank="1" showInputMessage="1" showErrorMessage="1" errorTitle="Ошибка" error="Допускается ввод не более 900 символов!" sqref="J55">
      <formula1>900</formula1>
    </dataValidation>
    <dataValidation allowBlank="1" showInputMessage="1" showErrorMessage="1" prompt="Для выбора выполните двойной щелчок левой клавиши мыши по соответствующей ячейке." sqref="K5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5"/>
    <dataValidation allowBlank="1" showInputMessage="1" showErrorMessage="1" prompt="Для выбора выполните двойной щелчок левой клавиши мыши по соответствующей ячейке." sqref="O55"/>
    <dataValidation type="textLength" operator="lessThanOrEqual" allowBlank="1" showInputMessage="1" showErrorMessage="1" errorTitle="Ошибка" error="Допускается ввод не более 900 символов!" sqref="R55">
      <formula1>900</formula1>
    </dataValidation>
    <dataValidation allowBlank="1" showInputMessage="1" showErrorMessage="1" prompt="Для выбора выполните двойной щелчок левой клавиши мыши по соответствующей ячейке." sqref="S55"/>
    <dataValidation type="textLength" operator="lessThanOrEqual" allowBlank="1" showInputMessage="1" showErrorMessage="1" errorTitle="Ошибка" error="Допускается ввод не более 900 символов!" sqref="V55">
      <formula1>900</formula1>
    </dataValidation>
    <dataValidation type="textLength" operator="lessThanOrEqual" allowBlank="1" showInputMessage="1" showErrorMessage="1" errorTitle="Ошибка" error="Допускается ввод не более 900 символов!" sqref="W55">
      <formula1>900</formula1>
    </dataValidation>
    <dataValidation type="textLength" operator="lessThanOrEqual" allowBlank="1" showInputMessage="1" showErrorMessage="1" errorTitle="Ошибка" error="Допускается ввод не более 900 символов!" sqref="J5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6"/>
    <dataValidation type="textLength" operator="lessThanOrEqual" allowBlank="1" showInputMessage="1" showErrorMessage="1" errorTitle="Ошибка" error="Допускается ввод не более 900 символов!" sqref="R56">
      <formula1>900</formula1>
    </dataValidation>
    <dataValidation allowBlank="1" showInputMessage="1" showErrorMessage="1" prompt="Для выбора выполните двойной щелчок левой клавиши мыши по соответствующей ячейке." sqref="S56"/>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57"/>
    <dataValidation type="textLength" operator="lessThanOrEqual" allowBlank="1" showInputMessage="1" showErrorMessage="1" errorTitle="Ошибка" error="Допускается ввод не более 900 символов!" sqref="J60">
      <formula1>900</formula1>
    </dataValidation>
    <dataValidation allowBlank="1" showInputMessage="1" showErrorMessage="1" prompt="Для выбора выполните двойной щелчок левой клавиши мыши по соответствующей ячейке." sqref="K6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0">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60"/>
    <dataValidation type="textLength" operator="lessThanOrEqual" allowBlank="1" showInputMessage="1" showErrorMessage="1" errorTitle="Ошибка" error="Допускается ввод не более 900 символов!" sqref="R60">
      <formula1>900</formula1>
    </dataValidation>
    <dataValidation allowBlank="1" showInputMessage="1" showErrorMessage="1" prompt="Для выбора выполните двойной щелчок левой клавиши мыши по соответствующей ячейке." sqref="S60"/>
    <dataValidation type="textLength" operator="lessThanOrEqual" allowBlank="1" showInputMessage="1" showErrorMessage="1" errorTitle="Ошибка" error="Допускается ввод не более 900 символов!" sqref="V60">
      <formula1>900</formula1>
    </dataValidation>
    <dataValidation type="textLength" operator="lessThanOrEqual" allowBlank="1" showInputMessage="1" showErrorMessage="1" errorTitle="Ошибка" error="Допускается ввод не более 900 символов!" sqref="W60">
      <formula1>900</formula1>
    </dataValidation>
    <dataValidation type="textLength" operator="lessThanOrEqual" allowBlank="1" showInputMessage="1" showErrorMessage="1" errorTitle="Ошибка" error="Допускается ввод не более 900 символов!" sqref="J61">
      <formula1>900</formula1>
    </dataValidation>
    <dataValidation allowBlank="1" showInputMessage="1" showErrorMessage="1" prompt="Для выбора выполните двойной щелчок левой клавиши мыши по соответствующей ячейке." sqref="K61"/>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1">
      <formula1>DESCRIPTION_TERRITORY</formula1>
    </dataValidation>
    <dataValidation allowBlank="1" showInputMessage="1" showErrorMessage="1" prompt="Для выбора выполните двойной щелчок левой клавиши мыши по соответствующей ячейке." sqref="O61"/>
    <dataValidation type="textLength" operator="lessThanOrEqual" allowBlank="1" showInputMessage="1" showErrorMessage="1" errorTitle="Ошибка" error="Допускается ввод не более 900 символов!" sqref="R61">
      <formula1>900</formula1>
    </dataValidation>
    <dataValidation allowBlank="1" showInputMessage="1" showErrorMessage="1" prompt="Для выбора выполните двойной щелчок левой клавиши мыши по соответствующей ячейке." sqref="S61"/>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2">
      <formula1>DESCRIPTION_TERRITORY</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D6C871-BEDB-CF0E-32B5-BC3476244A28}"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437" width="9.140625" hidden="1"/>
    <col min="3" max="4" style="2437" width="3.7109375" customWidth="1"/>
    <col min="5" max="6" style="2437" width="16.00390625" customWidth="1"/>
    <col min="7" max="7" style="2437" width="11.57421875" customWidth="1"/>
    <col min="8" max="9" style="2437" width="3.7109375" customWidth="1"/>
    <col min="10" max="10" style="2437" width="13.140625" customWidth="1"/>
    <col min="11" max="11" style="2437" width="0.28125" customWidth="1"/>
    <col min="12" max="13" style="2437" width="10.7109375" customWidth="1"/>
    <col min="14" max="15" style="2437" width="3.7109375" customWidth="1"/>
    <col min="16" max="16" style="2437" width="19.7109375" customWidth="1"/>
    <col min="17" max="17" style="2437" width="0.28125" customWidth="1"/>
    <col min="18" max="19" style="2437" width="10.7109375" customWidth="1"/>
    <col min="20" max="21" style="2437" width="3.7109375" customWidth="1"/>
    <col min="22" max="22" style="2437" width="25.7109375" customWidth="1"/>
    <col min="23" max="23" style="2437" width="0.28125" customWidth="1"/>
    <col min="24" max="25" style="2437" width="10.7109375" customWidth="1"/>
    <col min="26" max="27" style="2437" width="3.7109375" customWidth="1"/>
    <col min="28" max="28" style="2437" width="16.421875" customWidth="1"/>
    <col min="29" max="29" style="2437" width="0.28125" customWidth="1"/>
    <col min="30" max="31" style="2437" width="10.7109375" customWidth="1"/>
    <col min="32" max="33" style="2437" width="3.7109375" customWidth="1"/>
    <col min="34" max="34" style="2437" width="8.7109375" customWidth="1"/>
    <col min="35" max="35" style="2437" width="21.7109375" customWidth="1"/>
    <col min="36" max="36" style="2437" width="9.140625"/>
    <col min="37" max="37" style="366" width="9.140625"/>
    <col min="38" max="64" style="2437" width="9.140625"/>
  </cols>
  <sheetData>
    <row s="1333" customFormat="1" customHeight="1" ht="11.25" hidden="1">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row>
    <row s="1580" customFormat="1" customHeight="1" ht="11.25" hidden="1">
      <c r="L2" s="1580" t="s">
        <v>291</v>
      </c>
      <c r="M2" s="1580" t="s">
        <v>292</v>
      </c>
      <c r="R2" s="1580" t="s">
        <v>293</v>
      </c>
      <c r="S2" s="1580" t="s">
        <v>292</v>
      </c>
      <c r="X2" s="1580" t="s">
        <v>291</v>
      </c>
      <c r="Y2" s="1580" t="s">
        <v>292</v>
      </c>
      <c r="AD2" s="1580" t="s">
        <v>291</v>
      </c>
      <c r="AE2" s="1580" t="s">
        <v>292</v>
      </c>
      <c r="AJ2" s="1601"/>
      <c r="AK2" s="1601"/>
      <c r="AL2" s="1601"/>
      <c r="AM2" s="1601"/>
      <c r="AN2" s="1601"/>
      <c r="AO2" s="1601"/>
      <c r="AP2" s="1601"/>
      <c r="AQ2" s="1601"/>
      <c r="AR2" s="1601"/>
      <c r="AS2" s="1601"/>
      <c r="AT2" s="1601"/>
      <c r="AU2" s="1601"/>
      <c r="AV2" s="1601"/>
      <c r="AW2" s="1601"/>
      <c r="AX2" s="1601"/>
      <c r="AY2" s="1601"/>
      <c r="AZ2" s="1601"/>
      <c r="BA2" s="1601"/>
      <c r="BB2" s="1601"/>
      <c r="BC2" s="1601"/>
      <c r="BD2" s="1601"/>
      <c r="BE2" s="1601"/>
      <c r="BF2" s="1601"/>
      <c r="BG2" s="1601"/>
      <c r="BH2" s="1601"/>
      <c r="BI2" s="1601"/>
      <c r="BJ2" s="1601"/>
      <c r="BK2" s="1601"/>
      <c r="BL2" s="1601"/>
    </row>
    <row s="1581" customFormat="1" customHeight="1" ht="11.25">
      <c r="AJ3" s="0"/>
      <c r="AK3" s="287"/>
      <c r="AL3" s="0"/>
      <c r="AM3" s="0"/>
      <c r="AN3" s="0"/>
      <c r="AO3" s="0"/>
      <c r="AP3" s="0"/>
      <c r="AQ3" s="0"/>
      <c r="AR3" s="0"/>
      <c r="AS3" s="0"/>
      <c r="AT3" s="0"/>
      <c r="AU3" s="0"/>
      <c r="AV3" s="0"/>
      <c r="AW3" s="0"/>
      <c r="AX3" s="0"/>
      <c r="AY3" s="0"/>
      <c r="AZ3" s="0"/>
      <c r="BA3" s="0"/>
      <c r="BB3" s="0"/>
      <c r="BC3" s="0"/>
      <c r="BD3" s="0"/>
      <c r="BE3" s="0"/>
      <c r="BF3" s="0"/>
      <c r="BG3" s="0"/>
      <c r="BH3" s="0"/>
      <c r="BI3" s="0"/>
      <c r="BJ3" s="0"/>
      <c r="BK3" s="0"/>
      <c r="BL3" s="0"/>
    </row>
    <row s="1844" customFormat="1" customHeight="1" ht="33">
      <c r="A4" s="1151"/>
      <c r="B4" s="1150"/>
      <c r="C4" s="1532"/>
      <c r="D4" s="2009" t="s">
        <v>294</v>
      </c>
      <c r="E4" s="2009"/>
      <c r="F4" s="2009"/>
      <c r="G4" s="2009"/>
      <c r="H4" s="2009"/>
      <c r="I4" s="2009"/>
      <c r="J4" s="2009"/>
      <c r="K4" s="694"/>
      <c r="T4" s="1582"/>
      <c r="AJ4" s="1602"/>
      <c r="AK4" s="1603"/>
      <c r="AL4" s="1602"/>
      <c r="AM4" s="1602"/>
      <c r="AN4" s="1602"/>
      <c r="AO4" s="1602"/>
      <c r="AP4" s="1602"/>
      <c r="AQ4" s="1602"/>
      <c r="AR4" s="1602"/>
      <c r="AS4" s="1602"/>
      <c r="AT4" s="1602"/>
      <c r="AU4" s="1602"/>
      <c r="AV4" s="1602"/>
      <c r="AW4" s="1602"/>
      <c r="AX4" s="1602"/>
      <c r="AY4" s="1602"/>
      <c r="AZ4" s="1602"/>
      <c r="BA4" s="1602"/>
      <c r="BB4" s="1602"/>
      <c r="BC4" s="1602"/>
      <c r="BD4" s="1602"/>
      <c r="BE4" s="1602"/>
      <c r="BF4" s="1602"/>
      <c r="BG4" s="1602"/>
      <c r="BH4" s="1602"/>
      <c r="BI4" s="1602"/>
      <c r="BJ4" s="1602"/>
      <c r="BK4" s="1602"/>
      <c r="BL4" s="1602"/>
    </row>
    <row s="1844" customFormat="1" customHeight="1" ht="14.25">
      <c r="A5" s="1657"/>
      <c r="B5" s="1656"/>
      <c r="C5" s="1532"/>
      <c r="D5" s="2035" t="str">
        <f>IF(org=0,"Не определено",org)</f>
        <v>ПАО "ТГК-1" филиал "Невский"</v>
      </c>
      <c r="E5" s="2035"/>
      <c r="F5" s="2035"/>
      <c r="G5" s="2035"/>
      <c r="H5" s="2035"/>
      <c r="I5" s="2035"/>
      <c r="J5" s="2035"/>
      <c r="K5" s="694"/>
      <c r="T5" s="1582"/>
      <c r="AJ5" s="1602"/>
      <c r="AK5" s="1603"/>
      <c r="AL5" s="1602"/>
      <c r="AM5" s="1602"/>
      <c r="AN5" s="1602"/>
      <c r="AO5" s="1602"/>
      <c r="AP5" s="1602"/>
      <c r="AQ5" s="1602"/>
      <c r="AR5" s="1602"/>
      <c r="AS5" s="1602"/>
      <c r="AT5" s="1602"/>
      <c r="AU5" s="1602"/>
      <c r="AV5" s="1602"/>
      <c r="AW5" s="1602"/>
      <c r="AX5" s="1602"/>
      <c r="AY5" s="1602"/>
      <c r="AZ5" s="1602"/>
      <c r="BA5" s="1602"/>
      <c r="BB5" s="1602"/>
      <c r="BC5" s="1602"/>
      <c r="BD5" s="1602"/>
      <c r="BE5" s="1602"/>
      <c r="BF5" s="1602"/>
      <c r="BG5" s="1602"/>
      <c r="BH5" s="1602"/>
      <c r="BI5" s="1602"/>
      <c r="BJ5" s="1602"/>
      <c r="BK5" s="1602"/>
      <c r="BL5" s="1602"/>
    </row>
    <row s="1844" customFormat="1" customHeight="1" ht="14.25">
      <c r="A6" s="1151"/>
      <c r="B6" s="1150"/>
      <c r="C6" s="1532"/>
      <c r="D6" s="694"/>
      <c r="E6" s="694"/>
      <c r="F6" s="694"/>
      <c r="G6" s="694"/>
      <c r="H6" s="694"/>
      <c r="I6" s="694"/>
      <c r="J6" s="694"/>
      <c r="K6" s="694"/>
      <c r="T6" s="1582"/>
      <c r="AJ6" s="1602"/>
      <c r="AK6" s="1603"/>
      <c r="AL6" s="1602"/>
      <c r="AM6" s="1602"/>
      <c r="AN6" s="1602"/>
      <c r="AO6" s="1602"/>
      <c r="AP6" s="1602"/>
      <c r="AQ6" s="1602"/>
      <c r="AR6" s="1602"/>
      <c r="AS6" s="1602"/>
      <c r="AT6" s="1602"/>
      <c r="AU6" s="1602"/>
      <c r="AV6" s="1602"/>
      <c r="AW6" s="1602"/>
      <c r="AX6" s="1602"/>
      <c r="AY6" s="1602"/>
      <c r="AZ6" s="1602"/>
      <c r="BA6" s="1602"/>
      <c r="BB6" s="1602"/>
      <c r="BC6" s="1602"/>
      <c r="BD6" s="1602"/>
      <c r="BE6" s="1602"/>
      <c r="BF6" s="1602"/>
      <c r="BG6" s="1602"/>
      <c r="BH6" s="1602"/>
      <c r="BI6" s="1602"/>
      <c r="BJ6" s="1602"/>
      <c r="BK6" s="1602"/>
      <c r="BL6" s="1602"/>
    </row>
    <row s="1333" customFormat="1" customHeight="1" ht="0.75">
      <c r="AJ7" s="419"/>
      <c r="AK7" s="419"/>
      <c r="AL7" s="419"/>
      <c r="AM7" s="419"/>
      <c r="AN7" s="419"/>
      <c r="AO7" s="419"/>
      <c r="AP7" s="419"/>
      <c r="AQ7" s="419"/>
      <c r="AR7" s="419"/>
      <c r="AS7" s="419"/>
      <c r="AT7" s="419"/>
      <c r="AU7" s="419"/>
      <c r="AV7" s="419"/>
      <c r="AW7" s="419"/>
      <c r="AX7" s="419"/>
      <c r="AY7" s="419"/>
      <c r="AZ7" s="419"/>
      <c r="BA7" s="419"/>
      <c r="BB7" s="419"/>
      <c r="BC7" s="419"/>
      <c r="BD7" s="419"/>
      <c r="BE7" s="419"/>
      <c r="BF7" s="419"/>
      <c r="BG7" s="419"/>
      <c r="BH7" s="419"/>
      <c r="BI7" s="419"/>
      <c r="BJ7" s="419"/>
      <c r="BK7" s="419"/>
      <c r="BL7" s="419"/>
    </row>
    <row customHeight="1" ht="31.5">
      <c r="D8" s="1953" t="s">
        <v>87</v>
      </c>
      <c r="E8" s="1953" t="s">
        <v>104</v>
      </c>
      <c r="F8" s="2011" t="s">
        <v>121</v>
      </c>
      <c r="G8" s="2012"/>
      <c r="H8" s="2011" t="s">
        <v>87</v>
      </c>
      <c r="I8" s="2012"/>
      <c r="J8" s="1953" t="s">
        <v>122</v>
      </c>
      <c r="K8" s="1583"/>
      <c r="L8" s="2015" t="s">
        <v>295</v>
      </c>
      <c r="M8" s="2015"/>
      <c r="N8" s="2015"/>
      <c r="O8" s="2015"/>
      <c r="P8" s="2015"/>
      <c r="Q8" s="1584"/>
      <c r="R8" s="1932" t="s">
        <v>296</v>
      </c>
      <c r="S8" s="2016"/>
      <c r="T8" s="2016"/>
      <c r="U8" s="2016"/>
      <c r="V8" s="2016"/>
      <c r="W8" s="1584"/>
      <c r="X8" s="2017" t="s">
        <v>297</v>
      </c>
      <c r="Y8" s="2017"/>
      <c r="Z8" s="2017"/>
      <c r="AA8" s="2017"/>
      <c r="AB8" s="2017"/>
      <c r="AC8" s="1585"/>
      <c r="AD8" s="1953" t="s">
        <v>298</v>
      </c>
      <c r="AE8" s="1953"/>
      <c r="AF8" s="1953"/>
      <c r="AG8" s="1953"/>
      <c r="AH8" s="1937"/>
      <c r="AI8" s="1953" t="s">
        <v>299</v>
      </c>
      <c r="AJ8" s="0"/>
    </row>
    <row customHeight="1" ht="22.5">
      <c r="D9" s="1953"/>
      <c r="E9" s="1953"/>
      <c r="F9" s="2010" t="s">
        <v>88</v>
      </c>
      <c r="G9" s="2010" t="s">
        <v>127</v>
      </c>
      <c r="H9" s="2013"/>
      <c r="I9" s="2014"/>
      <c r="J9" s="1937"/>
      <c r="K9" s="1586"/>
      <c r="L9" s="1953" t="s">
        <v>300</v>
      </c>
      <c r="M9" s="1937"/>
      <c r="N9" s="2011" t="s">
        <v>87</v>
      </c>
      <c r="O9" s="2012"/>
      <c r="P9" s="1953" t="s">
        <v>128</v>
      </c>
      <c r="Q9" s="1583"/>
      <c r="R9" s="1953" t="s">
        <v>300</v>
      </c>
      <c r="S9" s="1937"/>
      <c r="T9" s="2011" t="s">
        <v>87</v>
      </c>
      <c r="U9" s="2012"/>
      <c r="V9" s="1953" t="s">
        <v>128</v>
      </c>
      <c r="W9" s="1583"/>
      <c r="X9" s="1953" t="s">
        <v>300</v>
      </c>
      <c r="Y9" s="1937"/>
      <c r="Z9" s="2011" t="s">
        <v>87</v>
      </c>
      <c r="AA9" s="2012"/>
      <c r="AB9" s="1953" t="s">
        <v>301</v>
      </c>
      <c r="AC9" s="1583"/>
      <c r="AD9" s="1953" t="s">
        <v>300</v>
      </c>
      <c r="AE9" s="1937"/>
      <c r="AF9" s="2011" t="s">
        <v>87</v>
      </c>
      <c r="AG9" s="2012"/>
      <c r="AH9" s="1937" t="s">
        <v>301</v>
      </c>
      <c r="AI9" s="1953"/>
      <c r="AJ9" s="0"/>
    </row>
    <row customHeight="1" ht="22.5">
      <c r="D10" s="2010"/>
      <c r="E10" s="2010"/>
      <c r="F10" s="2018"/>
      <c r="G10" s="2018"/>
      <c r="H10" s="2019"/>
      <c r="I10" s="2020"/>
      <c r="J10" s="2011"/>
      <c r="K10" s="1586"/>
      <c r="L10" s="1604" t="s">
        <v>302</v>
      </c>
      <c r="M10" s="1600" t="s">
        <v>303</v>
      </c>
      <c r="N10" s="2013"/>
      <c r="O10" s="2014"/>
      <c r="P10" s="2010"/>
      <c r="Q10" s="1583"/>
      <c r="R10" s="1604" t="s">
        <v>302</v>
      </c>
      <c r="S10" s="1600" t="s">
        <v>303</v>
      </c>
      <c r="T10" s="2013"/>
      <c r="U10" s="2014"/>
      <c r="V10" s="2010"/>
      <c r="W10" s="1583"/>
      <c r="X10" s="1604" t="s">
        <v>302</v>
      </c>
      <c r="Y10" s="1600" t="s">
        <v>303</v>
      </c>
      <c r="Z10" s="2013"/>
      <c r="AA10" s="2014"/>
      <c r="AB10" s="2010"/>
      <c r="AC10" s="1583"/>
      <c r="AD10" s="1604" t="s">
        <v>302</v>
      </c>
      <c r="AE10" s="1600" t="s">
        <v>303</v>
      </c>
      <c r="AF10" s="2013"/>
      <c r="AG10" s="2014"/>
      <c r="AH10" s="2011"/>
      <c r="AI10" s="2010"/>
      <c r="AJ10" s="0"/>
      <c r="AK10" s="233" t="s">
        <v>304</v>
      </c>
      <c r="AL10" s="233" t="s">
        <v>129</v>
      </c>
    </row>
    <row customHeight="1" ht="14.25">
      <c r="D11" s="2021" t="s">
        <v>108</v>
      </c>
      <c r="E11" s="2023" t="s">
        <v>305</v>
      </c>
      <c r="F11" s="2023" t="s">
        <v>306</v>
      </c>
      <c r="G11" s="2026" t="s">
        <v>56</v>
      </c>
      <c r="H11" s="1625"/>
      <c r="I11" s="2028"/>
      <c r="J11" s="1984"/>
      <c r="K11" s="1531"/>
      <c r="L11" s="1971"/>
      <c r="M11" s="1971"/>
      <c r="N11" s="1610"/>
      <c r="O11" s="1971"/>
      <c r="P11" s="1984"/>
      <c r="Q11" s="1611"/>
      <c r="R11" s="1971"/>
      <c r="S11" s="1971"/>
      <c r="T11" s="1612"/>
      <c r="U11" s="1971"/>
      <c r="V11" s="1984"/>
      <c r="W11" s="1613"/>
      <c r="X11" s="1971"/>
      <c r="Y11" s="1971"/>
      <c r="Z11" s="1610"/>
      <c r="AA11" s="1971"/>
      <c r="AB11" s="1984"/>
      <c r="AC11" s="1614"/>
      <c r="AD11" s="1971"/>
      <c r="AE11" s="1971"/>
      <c r="AF11" s="1530"/>
      <c r="AG11" s="1530"/>
      <c r="AH11" s="1615"/>
      <c r="AI11" s="1313"/>
      <c r="AJ11" s="0"/>
    </row>
    <row customHeight="1" ht="14.25">
      <c r="D12" s="2021"/>
      <c r="E12" s="2023"/>
      <c r="F12" s="2023"/>
      <c r="G12" s="2027"/>
      <c r="H12" s="1626"/>
      <c r="I12" s="2029"/>
      <c r="J12" s="1985"/>
      <c r="K12" s="1635"/>
      <c r="L12" s="1972"/>
      <c r="M12" s="1972"/>
      <c r="N12" s="1616"/>
      <c r="O12" s="1972"/>
      <c r="P12" s="1985"/>
      <c r="Q12" s="1617"/>
      <c r="R12" s="1972"/>
      <c r="S12" s="1972"/>
      <c r="T12" s="1618"/>
      <c r="U12" s="1972"/>
      <c r="V12" s="1985"/>
      <c r="W12" s="1619"/>
      <c r="X12" s="1972"/>
      <c r="Y12" s="1972"/>
      <c r="Z12" s="1616"/>
      <c r="AA12" s="1972"/>
      <c r="AB12" s="1985"/>
      <c r="AC12" s="1620"/>
      <c r="AD12" s="1972"/>
      <c r="AE12" s="1972"/>
      <c r="AF12" s="1621"/>
      <c r="AG12" s="1621"/>
      <c r="AH12" s="2032"/>
      <c r="AI12" s="2033"/>
      <c r="AJ12" s="0"/>
    </row>
    <row customHeight="1" ht="14.25">
      <c r="D13" s="2021"/>
      <c r="E13" s="2023"/>
      <c r="F13" s="2023"/>
      <c r="G13" s="2027"/>
      <c r="H13" s="1626"/>
      <c r="I13" s="2029"/>
      <c r="J13" s="1985"/>
      <c r="K13" s="1635"/>
      <c r="L13" s="1972"/>
      <c r="M13" s="1972"/>
      <c r="N13" s="1616"/>
      <c r="O13" s="1972"/>
      <c r="P13" s="1985"/>
      <c r="Q13" s="1617"/>
      <c r="R13" s="1972"/>
      <c r="S13" s="1972"/>
      <c r="T13" s="1618"/>
      <c r="U13" s="1972"/>
      <c r="V13" s="1985"/>
      <c r="W13" s="1619"/>
      <c r="X13" s="1972"/>
      <c r="Y13" s="1972"/>
      <c r="Z13" s="1529"/>
      <c r="AA13" s="1621"/>
      <c r="AB13" s="2032"/>
      <c r="AC13" s="2032"/>
      <c r="AD13" s="2032"/>
      <c r="AE13" s="2032"/>
      <c r="AF13" s="2032"/>
      <c r="AG13" s="2032"/>
      <c r="AH13" s="2032"/>
      <c r="AI13" s="2033"/>
      <c r="AJ13" s="0"/>
    </row>
    <row customHeight="1" ht="14.25">
      <c r="D14" s="2021"/>
      <c r="E14" s="2023"/>
      <c r="F14" s="2023"/>
      <c r="G14" s="2027"/>
      <c r="H14" s="1626"/>
      <c r="I14" s="2029"/>
      <c r="J14" s="1985"/>
      <c r="K14" s="1635"/>
      <c r="L14" s="1972"/>
      <c r="M14" s="1972"/>
      <c r="N14" s="1616"/>
      <c r="O14" s="1972"/>
      <c r="P14" s="1985"/>
      <c r="Q14" s="1617"/>
      <c r="R14" s="1972"/>
      <c r="S14" s="1972"/>
      <c r="T14" s="1622"/>
      <c r="U14" s="1623"/>
      <c r="V14" s="2032"/>
      <c r="W14" s="2032"/>
      <c r="X14" s="2032"/>
      <c r="Y14" s="2032"/>
      <c r="Z14" s="2032"/>
      <c r="AA14" s="2032"/>
      <c r="AB14" s="2032"/>
      <c r="AC14" s="2032"/>
      <c r="AD14" s="2032"/>
      <c r="AE14" s="2032"/>
      <c r="AF14" s="2032"/>
      <c r="AG14" s="2032"/>
      <c r="AH14" s="2032"/>
      <c r="AI14" s="2033"/>
      <c r="AJ14" s="0"/>
    </row>
    <row customHeight="1" ht="11.25">
      <c r="D15" s="2021"/>
      <c r="E15" s="2023"/>
      <c r="F15" s="2023"/>
      <c r="G15" s="2027"/>
      <c r="H15" s="1627"/>
      <c r="I15" s="2029"/>
      <c r="J15" s="1985"/>
      <c r="K15" s="1635"/>
      <c r="L15" s="1972"/>
      <c r="M15" s="1972"/>
      <c r="N15" s="1621"/>
      <c r="O15" s="1621"/>
      <c r="P15" s="2032"/>
      <c r="Q15" s="2032"/>
      <c r="R15" s="2032"/>
      <c r="S15" s="2032"/>
      <c r="T15" s="2032"/>
      <c r="U15" s="2032"/>
      <c r="V15" s="2032"/>
      <c r="W15" s="2032"/>
      <c r="X15" s="2032"/>
      <c r="Y15" s="2032"/>
      <c r="Z15" s="2032"/>
      <c r="AA15" s="2032"/>
      <c r="AB15" s="2032"/>
      <c r="AC15" s="2032"/>
      <c r="AD15" s="2032"/>
      <c r="AE15" s="2032"/>
      <c r="AF15" s="2032"/>
      <c r="AG15" s="2032"/>
      <c r="AH15" s="2032"/>
      <c r="AI15" s="2033"/>
      <c r="AJ15" s="0"/>
    </row>
    <row s="1581" customFormat="1" customHeight="1" ht="11.25">
      <c r="D16" s="2022"/>
      <c r="E16" s="2024"/>
      <c r="F16" s="2025"/>
      <c r="G16" s="1968"/>
      <c r="H16" s="1624"/>
      <c r="I16" s="1628"/>
      <c r="J16" s="2030"/>
      <c r="K16" s="2030"/>
      <c r="L16" s="2030"/>
      <c r="M16" s="2030"/>
      <c r="N16" s="2030"/>
      <c r="O16" s="2030"/>
      <c r="P16" s="2030"/>
      <c r="Q16" s="2030"/>
      <c r="R16" s="2030"/>
      <c r="S16" s="2030"/>
      <c r="T16" s="2030"/>
      <c r="U16" s="2030"/>
      <c r="V16" s="2030"/>
      <c r="W16" s="2030"/>
      <c r="X16" s="2030"/>
      <c r="Y16" s="2030"/>
      <c r="Z16" s="2030"/>
      <c r="AA16" s="2030"/>
      <c r="AB16" s="2030"/>
      <c r="AC16" s="2030"/>
      <c r="AD16" s="2030"/>
      <c r="AE16" s="2030"/>
      <c r="AF16" s="2030"/>
      <c r="AG16" s="2030"/>
      <c r="AH16" s="2030"/>
      <c r="AI16" s="2031"/>
      <c r="AJ16" s="0"/>
      <c r="AK16" s="287"/>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row>
    <row customHeight="1" ht="14.25">
      <c r="D17" s="2021" t="s">
        <v>109</v>
      </c>
      <c r="E17" s="2023" t="s">
        <v>305</v>
      </c>
      <c r="F17" s="2023" t="s">
        <v>307</v>
      </c>
      <c r="G17" s="2026" t="s">
        <v>56</v>
      </c>
      <c r="H17" s="1625"/>
      <c r="I17" s="2028"/>
      <c r="J17" s="1984"/>
      <c r="K17" s="1531"/>
      <c r="L17" s="1971"/>
      <c r="M17" s="1971"/>
      <c r="N17" s="1610"/>
      <c r="O17" s="1971"/>
      <c r="P17" s="1984"/>
      <c r="Q17" s="1611"/>
      <c r="R17" s="1971"/>
      <c r="S17" s="1971"/>
      <c r="T17" s="1612"/>
      <c r="U17" s="1971"/>
      <c r="V17" s="1984"/>
      <c r="W17" s="1613"/>
      <c r="X17" s="1971"/>
      <c r="Y17" s="1971"/>
      <c r="Z17" s="1610"/>
      <c r="AA17" s="1971"/>
      <c r="AB17" s="1984"/>
      <c r="AC17" s="1614"/>
      <c r="AD17" s="1971"/>
      <c r="AE17" s="1971"/>
      <c r="AF17" s="1530"/>
      <c r="AG17" s="1530"/>
      <c r="AH17" s="1615"/>
      <c r="AI17" s="1313"/>
      <c r="AJ17" s="0"/>
    </row>
    <row customHeight="1" ht="14.25">
      <c r="D18" s="2021"/>
      <c r="E18" s="2023"/>
      <c r="F18" s="2023"/>
      <c r="G18" s="2027"/>
      <c r="H18" s="1626"/>
      <c r="I18" s="2029"/>
      <c r="J18" s="1985"/>
      <c r="K18" s="1609"/>
      <c r="L18" s="1972"/>
      <c r="M18" s="1972"/>
      <c r="N18" s="1616"/>
      <c r="O18" s="1972"/>
      <c r="P18" s="1985"/>
      <c r="Q18" s="1617"/>
      <c r="R18" s="1972"/>
      <c r="S18" s="1972"/>
      <c r="T18" s="1618"/>
      <c r="U18" s="1972"/>
      <c r="V18" s="1985"/>
      <c r="W18" s="1619"/>
      <c r="X18" s="1972"/>
      <c r="Y18" s="1972"/>
      <c r="Z18" s="1616"/>
      <c r="AA18" s="1972"/>
      <c r="AB18" s="1985"/>
      <c r="AC18" s="1620"/>
      <c r="AD18" s="1972"/>
      <c r="AE18" s="1972"/>
      <c r="AF18" s="1621"/>
      <c r="AG18" s="1621"/>
      <c r="AH18" s="2032"/>
      <c r="AI18" s="2033"/>
      <c r="AJ18" s="0"/>
    </row>
    <row customHeight="1" ht="14.25">
      <c r="D19" s="2021"/>
      <c r="E19" s="2023"/>
      <c r="F19" s="2023"/>
      <c r="G19" s="2027"/>
      <c r="H19" s="1626"/>
      <c r="I19" s="2029"/>
      <c r="J19" s="1985"/>
      <c r="K19" s="1609"/>
      <c r="L19" s="1972"/>
      <c r="M19" s="1972"/>
      <c r="N19" s="1616"/>
      <c r="O19" s="1972"/>
      <c r="P19" s="1985"/>
      <c r="Q19" s="1617"/>
      <c r="R19" s="1972"/>
      <c r="S19" s="1972"/>
      <c r="T19" s="1618"/>
      <c r="U19" s="1972"/>
      <c r="V19" s="1985"/>
      <c r="W19" s="1619"/>
      <c r="X19" s="1972"/>
      <c r="Y19" s="1972"/>
      <c r="Z19" s="1529"/>
      <c r="AA19" s="1621"/>
      <c r="AB19" s="2032"/>
      <c r="AC19" s="2032"/>
      <c r="AD19" s="2032"/>
      <c r="AE19" s="2032"/>
      <c r="AF19" s="2032"/>
      <c r="AG19" s="2032"/>
      <c r="AH19" s="2032"/>
      <c r="AI19" s="2033"/>
      <c r="AJ19" s="0"/>
    </row>
    <row customHeight="1" ht="14.25">
      <c r="D20" s="2021"/>
      <c r="E20" s="2023"/>
      <c r="F20" s="2023"/>
      <c r="G20" s="2027"/>
      <c r="H20" s="1626"/>
      <c r="I20" s="2029"/>
      <c r="J20" s="1985"/>
      <c r="K20" s="1609"/>
      <c r="L20" s="1972"/>
      <c r="M20" s="1972"/>
      <c r="N20" s="1616"/>
      <c r="O20" s="1972"/>
      <c r="P20" s="1985"/>
      <c r="Q20" s="1617"/>
      <c r="R20" s="1972"/>
      <c r="S20" s="1972"/>
      <c r="T20" s="1622"/>
      <c r="U20" s="1623"/>
      <c r="V20" s="2032"/>
      <c r="W20" s="2032"/>
      <c r="X20" s="2032"/>
      <c r="Y20" s="2032"/>
      <c r="Z20" s="2032"/>
      <c r="AA20" s="2032"/>
      <c r="AB20" s="2032"/>
      <c r="AC20" s="2032"/>
      <c r="AD20" s="2032"/>
      <c r="AE20" s="2032"/>
      <c r="AF20" s="2032"/>
      <c r="AG20" s="2032"/>
      <c r="AH20" s="2032"/>
      <c r="AI20" s="2033"/>
      <c r="AJ20" s="0"/>
    </row>
    <row customHeight="1" ht="11.25">
      <c r="D21" s="2021"/>
      <c r="E21" s="2023"/>
      <c r="F21" s="2023"/>
      <c r="G21" s="2027"/>
      <c r="H21" s="1627"/>
      <c r="I21" s="2029"/>
      <c r="J21" s="1985"/>
      <c r="K21" s="1609"/>
      <c r="L21" s="1972"/>
      <c r="M21" s="1972"/>
      <c r="N21" s="1621"/>
      <c r="O21" s="1621"/>
      <c r="P21" s="2032"/>
      <c r="Q21" s="2032"/>
      <c r="R21" s="2032"/>
      <c r="S21" s="2032"/>
      <c r="T21" s="2032"/>
      <c r="U21" s="2032"/>
      <c r="V21" s="2032"/>
      <c r="W21" s="2032"/>
      <c r="X21" s="2032"/>
      <c r="Y21" s="2032"/>
      <c r="Z21" s="2032"/>
      <c r="AA21" s="2032"/>
      <c r="AB21" s="2032"/>
      <c r="AC21" s="2032"/>
      <c r="AD21" s="2032"/>
      <c r="AE21" s="2032"/>
      <c r="AF21" s="2032"/>
      <c r="AG21" s="2032"/>
      <c r="AH21" s="2032"/>
      <c r="AI21" s="2033"/>
      <c r="AJ21" s="0"/>
    </row>
    <row s="1581" customFormat="1" customHeight="1" ht="11.25">
      <c r="D22" s="2022"/>
      <c r="E22" s="2024"/>
      <c r="F22" s="2025"/>
      <c r="G22" s="1968"/>
      <c r="H22" s="1624"/>
      <c r="I22" s="1628"/>
      <c r="J22" s="2030"/>
      <c r="K22" s="2030"/>
      <c r="L22" s="2030"/>
      <c r="M22" s="2030"/>
      <c r="N22" s="2030"/>
      <c r="O22" s="2030"/>
      <c r="P22" s="2030"/>
      <c r="Q22" s="2030"/>
      <c r="R22" s="2030"/>
      <c r="S22" s="2030"/>
      <c r="T22" s="2030"/>
      <c r="U22" s="2030"/>
      <c r="V22" s="2030"/>
      <c r="W22" s="2030"/>
      <c r="X22" s="2030"/>
      <c r="Y22" s="2030"/>
      <c r="Z22" s="2030"/>
      <c r="AA22" s="2030"/>
      <c r="AB22" s="2030"/>
      <c r="AC22" s="2030"/>
      <c r="AD22" s="2030"/>
      <c r="AE22" s="2030"/>
      <c r="AF22" s="2030"/>
      <c r="AG22" s="2030"/>
      <c r="AH22" s="2030"/>
      <c r="AI22" s="2031"/>
      <c r="AJ22" s="0"/>
      <c r="AK22" s="287"/>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row>
    <row customHeight="1" ht="14.25">
      <c r="D23" s="2021" t="s">
        <v>89</v>
      </c>
      <c r="E23" s="2023" t="s">
        <v>305</v>
      </c>
      <c r="F23" s="2023" t="s">
        <v>308</v>
      </c>
      <c r="G23" s="2026" t="s">
        <v>56</v>
      </c>
      <c r="H23" s="1625"/>
      <c r="I23" s="2028"/>
      <c r="J23" s="1984"/>
      <c r="K23" s="1531"/>
      <c r="L23" s="1971"/>
      <c r="M23" s="1971"/>
      <c r="N23" s="1610"/>
      <c r="O23" s="1971"/>
      <c r="P23" s="1984"/>
      <c r="Q23" s="1611"/>
      <c r="R23" s="1971"/>
      <c r="S23" s="1971"/>
      <c r="T23" s="1612"/>
      <c r="U23" s="1971"/>
      <c r="V23" s="1984"/>
      <c r="W23" s="1613"/>
      <c r="X23" s="1971"/>
      <c r="Y23" s="1971"/>
      <c r="Z23" s="1610"/>
      <c r="AA23" s="1971"/>
      <c r="AB23" s="1984"/>
      <c r="AC23" s="1614"/>
      <c r="AD23" s="1971"/>
      <c r="AE23" s="1971"/>
      <c r="AF23" s="1530"/>
      <c r="AG23" s="1530"/>
      <c r="AH23" s="1615"/>
      <c r="AI23" s="1313"/>
      <c r="AJ23" s="0"/>
      <c r="AK23" s="287" t="s">
        <v>97</v>
      </c>
    </row>
    <row customHeight="1" ht="14.25">
      <c r="D24" s="2021"/>
      <c r="E24" s="2023"/>
      <c r="F24" s="2023"/>
      <c r="G24" s="2027"/>
      <c r="H24" s="1626"/>
      <c r="I24" s="2029"/>
      <c r="J24" s="1985"/>
      <c r="K24" s="1635"/>
      <c r="L24" s="1972"/>
      <c r="M24" s="1972"/>
      <c r="N24" s="1616"/>
      <c r="O24" s="1972"/>
      <c r="P24" s="1985"/>
      <c r="Q24" s="1617"/>
      <c r="R24" s="1972"/>
      <c r="S24" s="1972"/>
      <c r="T24" s="1618"/>
      <c r="U24" s="1972"/>
      <c r="V24" s="1985"/>
      <c r="W24" s="1619"/>
      <c r="X24" s="1972"/>
      <c r="Y24" s="1972"/>
      <c r="Z24" s="1616"/>
      <c r="AA24" s="1972"/>
      <c r="AB24" s="1985"/>
      <c r="AC24" s="1620"/>
      <c r="AD24" s="1972"/>
      <c r="AE24" s="1972"/>
      <c r="AF24" s="1621"/>
      <c r="AG24" s="1621"/>
      <c r="AH24" s="2032"/>
      <c r="AI24" s="2033"/>
      <c r="AJ24" s="0"/>
    </row>
    <row customHeight="1" ht="14.25">
      <c r="D25" s="2021"/>
      <c r="E25" s="2023"/>
      <c r="F25" s="2023"/>
      <c r="G25" s="2027"/>
      <c r="H25" s="1626"/>
      <c r="I25" s="2029"/>
      <c r="J25" s="1985"/>
      <c r="K25" s="1635"/>
      <c r="L25" s="1972"/>
      <c r="M25" s="1972"/>
      <c r="N25" s="1616"/>
      <c r="O25" s="1972"/>
      <c r="P25" s="1985"/>
      <c r="Q25" s="1617"/>
      <c r="R25" s="1972"/>
      <c r="S25" s="1972"/>
      <c r="T25" s="1618"/>
      <c r="U25" s="1972"/>
      <c r="V25" s="1985"/>
      <c r="W25" s="1619"/>
      <c r="X25" s="1972"/>
      <c r="Y25" s="1972"/>
      <c r="Z25" s="1529"/>
      <c r="AA25" s="1621"/>
      <c r="AB25" s="2032"/>
      <c r="AC25" s="2032"/>
      <c r="AD25" s="2032"/>
      <c r="AE25" s="2032"/>
      <c r="AF25" s="2032"/>
      <c r="AG25" s="2032"/>
      <c r="AH25" s="2032"/>
      <c r="AI25" s="2033"/>
      <c r="AJ25" s="0"/>
    </row>
    <row customHeight="1" ht="14.25">
      <c r="D26" s="2021"/>
      <c r="E26" s="2023"/>
      <c r="F26" s="2023"/>
      <c r="G26" s="2027"/>
      <c r="H26" s="1626"/>
      <c r="I26" s="2029"/>
      <c r="J26" s="1985"/>
      <c r="K26" s="1635"/>
      <c r="L26" s="1972"/>
      <c r="M26" s="1972"/>
      <c r="N26" s="1616"/>
      <c r="O26" s="1972"/>
      <c r="P26" s="1985"/>
      <c r="Q26" s="1617"/>
      <c r="R26" s="1972"/>
      <c r="S26" s="1972"/>
      <c r="T26" s="1622"/>
      <c r="U26" s="1623"/>
      <c r="V26" s="2032"/>
      <c r="W26" s="2032"/>
      <c r="X26" s="2032"/>
      <c r="Y26" s="2032"/>
      <c r="Z26" s="2032"/>
      <c r="AA26" s="2032"/>
      <c r="AB26" s="2032"/>
      <c r="AC26" s="2032"/>
      <c r="AD26" s="2032"/>
      <c r="AE26" s="2032"/>
      <c r="AF26" s="2032"/>
      <c r="AG26" s="2032"/>
      <c r="AH26" s="2032"/>
      <c r="AI26" s="2033"/>
      <c r="AJ26" s="0"/>
    </row>
    <row customHeight="1" ht="11.25">
      <c r="D27" s="2021"/>
      <c r="E27" s="2023"/>
      <c r="F27" s="2023"/>
      <c r="G27" s="2027"/>
      <c r="H27" s="1627"/>
      <c r="I27" s="2029"/>
      <c r="J27" s="1985"/>
      <c r="K27" s="1635"/>
      <c r="L27" s="1972"/>
      <c r="M27" s="1972"/>
      <c r="N27" s="1621"/>
      <c r="O27" s="1621"/>
      <c r="P27" s="2032"/>
      <c r="Q27" s="2032"/>
      <c r="R27" s="2032"/>
      <c r="S27" s="2032"/>
      <c r="T27" s="2032"/>
      <c r="U27" s="2032"/>
      <c r="V27" s="2032"/>
      <c r="W27" s="2032"/>
      <c r="X27" s="2032"/>
      <c r="Y27" s="2032"/>
      <c r="Z27" s="2032"/>
      <c r="AA27" s="2032"/>
      <c r="AB27" s="2032"/>
      <c r="AC27" s="2032"/>
      <c r="AD27" s="2032"/>
      <c r="AE27" s="2032"/>
      <c r="AF27" s="2032"/>
      <c r="AG27" s="2032"/>
      <c r="AH27" s="2032"/>
      <c r="AI27" s="2033"/>
      <c r="AJ27" s="0"/>
    </row>
    <row s="1581" customFormat="1" customHeight="1" ht="11.25">
      <c r="D28" s="2022"/>
      <c r="E28" s="2024"/>
      <c r="F28" s="2025"/>
      <c r="G28" s="1968"/>
      <c r="H28" s="1624"/>
      <c r="I28" s="1628"/>
      <c r="J28" s="2030"/>
      <c r="K28" s="2030"/>
      <c r="L28" s="2030"/>
      <c r="M28" s="2030"/>
      <c r="N28" s="2030"/>
      <c r="O28" s="2030"/>
      <c r="P28" s="2030"/>
      <c r="Q28" s="2030"/>
      <c r="R28" s="2030"/>
      <c r="S28" s="2030"/>
      <c r="T28" s="2030"/>
      <c r="U28" s="2030"/>
      <c r="V28" s="2030"/>
      <c r="W28" s="2030"/>
      <c r="X28" s="2030"/>
      <c r="Y28" s="2030"/>
      <c r="Z28" s="2030"/>
      <c r="AA28" s="2030"/>
      <c r="AB28" s="2030"/>
      <c r="AC28" s="2030"/>
      <c r="AD28" s="2030"/>
      <c r="AE28" s="2030"/>
      <c r="AF28" s="2030"/>
      <c r="AG28" s="2030"/>
      <c r="AH28" s="2030"/>
      <c r="AI28" s="2031"/>
      <c r="AJ28" s="0"/>
      <c r="AK28" s="287"/>
      <c r="AL28" s="0"/>
      <c r="AM28" s="0"/>
      <c r="AN28" s="0"/>
      <c r="AO28" s="0"/>
      <c r="AP28" s="0"/>
      <c r="AQ28" s="0"/>
      <c r="AR28" s="0"/>
      <c r="AS28" s="0"/>
      <c r="AT28" s="0"/>
      <c r="AU28" s="0"/>
      <c r="AV28" s="0"/>
      <c r="AW28" s="0"/>
      <c r="AX28" s="0"/>
      <c r="AY28" s="0"/>
      <c r="AZ28" s="0"/>
      <c r="BA28" s="0"/>
      <c r="BB28" s="0"/>
      <c r="BC28" s="0"/>
      <c r="BD28" s="0"/>
      <c r="BE28" s="0"/>
      <c r="BF28" s="0"/>
      <c r="BG28" s="0"/>
      <c r="BH28" s="0"/>
      <c r="BI28" s="0"/>
      <c r="BJ28" s="0"/>
      <c r="BK28" s="0"/>
      <c r="BL28" s="0"/>
    </row>
    <row customHeight="1" ht="14.25">
      <c r="D29" s="2021" t="s">
        <v>90</v>
      </c>
      <c r="E29" s="2023" t="s">
        <v>305</v>
      </c>
      <c r="F29" s="2023" t="s">
        <v>309</v>
      </c>
      <c r="G29" s="2026" t="s">
        <v>56</v>
      </c>
      <c r="H29" s="1625"/>
      <c r="I29" s="2028"/>
      <c r="J29" s="1984"/>
      <c r="K29" s="1531"/>
      <c r="L29" s="1971"/>
      <c r="M29" s="1971"/>
      <c r="N29" s="1610"/>
      <c r="O29" s="1971"/>
      <c r="P29" s="1984"/>
      <c r="Q29" s="1611"/>
      <c r="R29" s="1971"/>
      <c r="S29" s="1971"/>
      <c r="T29" s="1612"/>
      <c r="U29" s="1971"/>
      <c r="V29" s="1984"/>
      <c r="W29" s="1613"/>
      <c r="X29" s="1971"/>
      <c r="Y29" s="1971"/>
      <c r="Z29" s="1610"/>
      <c r="AA29" s="1971"/>
      <c r="AB29" s="1984"/>
      <c r="AC29" s="1614"/>
      <c r="AD29" s="1971"/>
      <c r="AE29" s="1971"/>
      <c r="AF29" s="1530"/>
      <c r="AG29" s="1530"/>
      <c r="AH29" s="1615"/>
      <c r="AI29" s="1313"/>
      <c r="AJ29" s="0"/>
    </row>
    <row customHeight="1" ht="14.25">
      <c r="D30" s="2021"/>
      <c r="E30" s="2023"/>
      <c r="F30" s="2023"/>
      <c r="G30" s="2027"/>
      <c r="H30" s="1626"/>
      <c r="I30" s="2029"/>
      <c r="J30" s="1985"/>
      <c r="K30" s="1609"/>
      <c r="L30" s="1972"/>
      <c r="M30" s="1972"/>
      <c r="N30" s="1616"/>
      <c r="O30" s="1972"/>
      <c r="P30" s="1985"/>
      <c r="Q30" s="1617"/>
      <c r="R30" s="1972"/>
      <c r="S30" s="1972"/>
      <c r="T30" s="1618"/>
      <c r="U30" s="1972"/>
      <c r="V30" s="1985"/>
      <c r="W30" s="1619"/>
      <c r="X30" s="1972"/>
      <c r="Y30" s="1972"/>
      <c r="Z30" s="1616"/>
      <c r="AA30" s="1972"/>
      <c r="AB30" s="1985"/>
      <c r="AC30" s="1620"/>
      <c r="AD30" s="1972"/>
      <c r="AE30" s="1972"/>
      <c r="AF30" s="1621"/>
      <c r="AG30" s="1621"/>
      <c r="AH30" s="2032"/>
      <c r="AI30" s="2033"/>
      <c r="AJ30" s="0"/>
    </row>
    <row customHeight="1" ht="14.25">
      <c r="D31" s="2021"/>
      <c r="E31" s="2023"/>
      <c r="F31" s="2023"/>
      <c r="G31" s="2027"/>
      <c r="H31" s="1626"/>
      <c r="I31" s="2029"/>
      <c r="J31" s="1985"/>
      <c r="K31" s="1609"/>
      <c r="L31" s="1972"/>
      <c r="M31" s="1972"/>
      <c r="N31" s="1616"/>
      <c r="O31" s="1972"/>
      <c r="P31" s="1985"/>
      <c r="Q31" s="1617"/>
      <c r="R31" s="1972"/>
      <c r="S31" s="1972"/>
      <c r="T31" s="1618"/>
      <c r="U31" s="1972"/>
      <c r="V31" s="1985"/>
      <c r="W31" s="1619"/>
      <c r="X31" s="1972"/>
      <c r="Y31" s="1972"/>
      <c r="Z31" s="1529"/>
      <c r="AA31" s="1621"/>
      <c r="AB31" s="2032"/>
      <c r="AC31" s="2032"/>
      <c r="AD31" s="2032"/>
      <c r="AE31" s="2032"/>
      <c r="AF31" s="2032"/>
      <c r="AG31" s="2032"/>
      <c r="AH31" s="2032"/>
      <c r="AI31" s="2033"/>
      <c r="AJ31" s="0"/>
    </row>
    <row customHeight="1" ht="14.25">
      <c r="D32" s="2021"/>
      <c r="E32" s="2023"/>
      <c r="F32" s="2023"/>
      <c r="G32" s="2027"/>
      <c r="H32" s="1626"/>
      <c r="I32" s="2029"/>
      <c r="J32" s="1985"/>
      <c r="K32" s="1609"/>
      <c r="L32" s="1972"/>
      <c r="M32" s="1972"/>
      <c r="N32" s="1616"/>
      <c r="O32" s="1972"/>
      <c r="P32" s="1985"/>
      <c r="Q32" s="1617"/>
      <c r="R32" s="1972"/>
      <c r="S32" s="1972"/>
      <c r="T32" s="1622"/>
      <c r="U32" s="1623"/>
      <c r="V32" s="2032"/>
      <c r="W32" s="2032"/>
      <c r="X32" s="2032"/>
      <c r="Y32" s="2032"/>
      <c r="Z32" s="2032"/>
      <c r="AA32" s="2032"/>
      <c r="AB32" s="2032"/>
      <c r="AC32" s="2032"/>
      <c r="AD32" s="2032"/>
      <c r="AE32" s="2032"/>
      <c r="AF32" s="2032"/>
      <c r="AG32" s="2032"/>
      <c r="AH32" s="2032"/>
      <c r="AI32" s="2033"/>
      <c r="AJ32" s="0"/>
    </row>
    <row customHeight="1" ht="11.25">
      <c r="D33" s="2021"/>
      <c r="E33" s="2023"/>
      <c r="F33" s="2023"/>
      <c r="G33" s="2027"/>
      <c r="H33" s="1627"/>
      <c r="I33" s="2029"/>
      <c r="J33" s="1985"/>
      <c r="K33" s="1609"/>
      <c r="L33" s="1972"/>
      <c r="M33" s="1972"/>
      <c r="N33" s="1621"/>
      <c r="O33" s="1621"/>
      <c r="P33" s="2032"/>
      <c r="Q33" s="2032"/>
      <c r="R33" s="2032"/>
      <c r="S33" s="2032"/>
      <c r="T33" s="2032"/>
      <c r="U33" s="2032"/>
      <c r="V33" s="2032"/>
      <c r="W33" s="2032"/>
      <c r="X33" s="2032"/>
      <c r="Y33" s="2032"/>
      <c r="Z33" s="2032"/>
      <c r="AA33" s="2032"/>
      <c r="AB33" s="2032"/>
      <c r="AC33" s="2032"/>
      <c r="AD33" s="2032"/>
      <c r="AE33" s="2032"/>
      <c r="AF33" s="2032"/>
      <c r="AG33" s="2032"/>
      <c r="AH33" s="2032"/>
      <c r="AI33" s="2033"/>
      <c r="AJ33" s="0"/>
    </row>
    <row s="1581" customFormat="1" customHeight="1" ht="11.25">
      <c r="D34" s="2022"/>
      <c r="E34" s="2024"/>
      <c r="F34" s="2025"/>
      <c r="G34" s="1968"/>
      <c r="H34" s="1624"/>
      <c r="I34" s="1628"/>
      <c r="J34" s="2030"/>
      <c r="K34" s="2030"/>
      <c r="L34" s="2030"/>
      <c r="M34" s="2030"/>
      <c r="N34" s="2030"/>
      <c r="O34" s="2030"/>
      <c r="P34" s="2030"/>
      <c r="Q34" s="2030"/>
      <c r="R34" s="2030"/>
      <c r="S34" s="2030"/>
      <c r="T34" s="2030"/>
      <c r="U34" s="2030"/>
      <c r="V34" s="2030"/>
      <c r="W34" s="2030"/>
      <c r="X34" s="2030"/>
      <c r="Y34" s="2030"/>
      <c r="Z34" s="2030"/>
      <c r="AA34" s="2030"/>
      <c r="AB34" s="2030"/>
      <c r="AC34" s="2030"/>
      <c r="AD34" s="2030"/>
      <c r="AE34" s="2030"/>
      <c r="AF34" s="2030"/>
      <c r="AG34" s="2030"/>
      <c r="AH34" s="2030"/>
      <c r="AI34" s="2031"/>
      <c r="AJ34" s="0"/>
      <c r="AK34" s="287"/>
      <c r="AL34" s="0"/>
      <c r="AM34" s="0"/>
      <c r="AN34" s="0"/>
      <c r="AO34" s="0"/>
      <c r="AP34" s="0"/>
      <c r="AQ34" s="0"/>
      <c r="AR34" s="0"/>
      <c r="AS34" s="0"/>
      <c r="AT34" s="0"/>
      <c r="AU34" s="0"/>
      <c r="AV34" s="0"/>
      <c r="AW34" s="0"/>
      <c r="AX34" s="0"/>
      <c r="AY34" s="0"/>
      <c r="AZ34" s="0"/>
      <c r="BA34" s="0"/>
      <c r="BB34" s="0"/>
      <c r="BC34" s="0"/>
      <c r="BD34" s="0"/>
      <c r="BE34" s="0"/>
      <c r="BF34" s="0"/>
      <c r="BG34" s="0"/>
      <c r="BH34" s="0"/>
      <c r="BI34" s="0"/>
      <c r="BJ34" s="0"/>
      <c r="BK34" s="0"/>
      <c r="BL34" s="0"/>
    </row>
    <row customHeight="1" ht="14.25">
      <c r="D35" s="2021" t="s">
        <v>110</v>
      </c>
      <c r="E35" s="2023" t="s">
        <v>305</v>
      </c>
      <c r="F35" s="2023" t="s">
        <v>310</v>
      </c>
      <c r="G35" s="2026" t="s">
        <v>56</v>
      </c>
      <c r="H35" s="1625"/>
      <c r="I35" s="2028"/>
      <c r="J35" s="1984"/>
      <c r="K35" s="1531"/>
      <c r="L35" s="1971"/>
      <c r="M35" s="1971"/>
      <c r="N35" s="1610"/>
      <c r="O35" s="1971"/>
      <c r="P35" s="1984"/>
      <c r="Q35" s="1611"/>
      <c r="R35" s="1971"/>
      <c r="S35" s="1971"/>
      <c r="T35" s="1612"/>
      <c r="U35" s="1971"/>
      <c r="V35" s="1984"/>
      <c r="W35" s="1613"/>
      <c r="X35" s="1971"/>
      <c r="Y35" s="1971"/>
      <c r="Z35" s="1610"/>
      <c r="AA35" s="1971"/>
      <c r="AB35" s="1984"/>
      <c r="AC35" s="1614"/>
      <c r="AD35" s="1971"/>
      <c r="AE35" s="1971"/>
      <c r="AF35" s="1530"/>
      <c r="AG35" s="1530"/>
      <c r="AH35" s="1615"/>
      <c r="AI35" s="1313"/>
      <c r="AJ35" s="0"/>
    </row>
    <row customHeight="1" ht="14.25">
      <c r="D36" s="2021"/>
      <c r="E36" s="2023"/>
      <c r="F36" s="2023"/>
      <c r="G36" s="2027"/>
      <c r="H36" s="1626"/>
      <c r="I36" s="2029"/>
      <c r="J36" s="1985"/>
      <c r="K36" s="1609"/>
      <c r="L36" s="1972"/>
      <c r="M36" s="1972"/>
      <c r="N36" s="1616"/>
      <c r="O36" s="1972"/>
      <c r="P36" s="1985"/>
      <c r="Q36" s="1617"/>
      <c r="R36" s="1972"/>
      <c r="S36" s="1972"/>
      <c r="T36" s="1618"/>
      <c r="U36" s="1972"/>
      <c r="V36" s="1985"/>
      <c r="W36" s="1619"/>
      <c r="X36" s="1972"/>
      <c r="Y36" s="1972"/>
      <c r="Z36" s="1616"/>
      <c r="AA36" s="1972"/>
      <c r="AB36" s="1985"/>
      <c r="AC36" s="1620"/>
      <c r="AD36" s="1972"/>
      <c r="AE36" s="1972"/>
      <c r="AF36" s="1621"/>
      <c r="AG36" s="1621"/>
      <c r="AH36" s="2032"/>
      <c r="AI36" s="2033"/>
      <c r="AJ36" s="0"/>
    </row>
    <row customHeight="1" ht="14.25">
      <c r="D37" s="2021"/>
      <c r="E37" s="2023"/>
      <c r="F37" s="2023"/>
      <c r="G37" s="2027"/>
      <c r="H37" s="1626"/>
      <c r="I37" s="2029"/>
      <c r="J37" s="1985"/>
      <c r="K37" s="1609"/>
      <c r="L37" s="1972"/>
      <c r="M37" s="1972"/>
      <c r="N37" s="1616"/>
      <c r="O37" s="1972"/>
      <c r="P37" s="1985"/>
      <c r="Q37" s="1617"/>
      <c r="R37" s="1972"/>
      <c r="S37" s="1972"/>
      <c r="T37" s="1618"/>
      <c r="U37" s="1972"/>
      <c r="V37" s="1985"/>
      <c r="W37" s="1619"/>
      <c r="X37" s="1972"/>
      <c r="Y37" s="1972"/>
      <c r="Z37" s="1529"/>
      <c r="AA37" s="1621"/>
      <c r="AB37" s="2032"/>
      <c r="AC37" s="2032"/>
      <c r="AD37" s="2032"/>
      <c r="AE37" s="2032"/>
      <c r="AF37" s="2032"/>
      <c r="AG37" s="2032"/>
      <c r="AH37" s="2032"/>
      <c r="AI37" s="2033"/>
      <c r="AJ37" s="0"/>
    </row>
    <row customHeight="1" ht="14.25">
      <c r="D38" s="2021"/>
      <c r="E38" s="2023"/>
      <c r="F38" s="2023"/>
      <c r="G38" s="2027"/>
      <c r="H38" s="1626"/>
      <c r="I38" s="2029"/>
      <c r="J38" s="1985"/>
      <c r="K38" s="1609"/>
      <c r="L38" s="1972"/>
      <c r="M38" s="1972"/>
      <c r="N38" s="1616"/>
      <c r="O38" s="1972"/>
      <c r="P38" s="1985"/>
      <c r="Q38" s="1617"/>
      <c r="R38" s="1972"/>
      <c r="S38" s="1972"/>
      <c r="T38" s="1622"/>
      <c r="U38" s="1623"/>
      <c r="V38" s="2032"/>
      <c r="W38" s="2032"/>
      <c r="X38" s="2032"/>
      <c r="Y38" s="2032"/>
      <c r="Z38" s="2032"/>
      <c r="AA38" s="2032"/>
      <c r="AB38" s="2032"/>
      <c r="AC38" s="2032"/>
      <c r="AD38" s="2032"/>
      <c r="AE38" s="2032"/>
      <c r="AF38" s="2032"/>
      <c r="AG38" s="2032"/>
      <c r="AH38" s="2032"/>
      <c r="AI38" s="2033"/>
      <c r="AJ38" s="0"/>
    </row>
    <row customHeight="1" ht="11.25">
      <c r="D39" s="2021"/>
      <c r="E39" s="2023"/>
      <c r="F39" s="2023"/>
      <c r="G39" s="2027"/>
      <c r="H39" s="1627"/>
      <c r="I39" s="2029"/>
      <c r="J39" s="1985"/>
      <c r="K39" s="1609"/>
      <c r="L39" s="1972"/>
      <c r="M39" s="1972"/>
      <c r="N39" s="1621"/>
      <c r="O39" s="1621"/>
      <c r="P39" s="2032"/>
      <c r="Q39" s="2032"/>
      <c r="R39" s="2032"/>
      <c r="S39" s="2032"/>
      <c r="T39" s="2032"/>
      <c r="U39" s="2032"/>
      <c r="V39" s="2032"/>
      <c r="W39" s="2032"/>
      <c r="X39" s="2032"/>
      <c r="Y39" s="2032"/>
      <c r="Z39" s="2032"/>
      <c r="AA39" s="2032"/>
      <c r="AB39" s="2032"/>
      <c r="AC39" s="2032"/>
      <c r="AD39" s="2032"/>
      <c r="AE39" s="2032"/>
      <c r="AF39" s="2032"/>
      <c r="AG39" s="2032"/>
      <c r="AH39" s="2032"/>
      <c r="AI39" s="2033"/>
      <c r="AJ39" s="0"/>
    </row>
    <row s="1581" customFormat="1" customHeight="1" ht="11.25">
      <c r="D40" s="2021"/>
      <c r="E40" s="2023"/>
      <c r="F40" s="2034"/>
      <c r="G40" s="1968"/>
      <c r="H40" s="1624"/>
      <c r="I40" s="1628"/>
      <c r="J40" s="2030"/>
      <c r="K40" s="2030"/>
      <c r="L40" s="2030"/>
      <c r="M40" s="2030"/>
      <c r="N40" s="2030"/>
      <c r="O40" s="2030"/>
      <c r="P40" s="2030"/>
      <c r="Q40" s="2030"/>
      <c r="R40" s="2030"/>
      <c r="S40" s="2030"/>
      <c r="T40" s="2030"/>
      <c r="U40" s="2030"/>
      <c r="V40" s="2030"/>
      <c r="W40" s="2030"/>
      <c r="X40" s="2030"/>
      <c r="Y40" s="2030"/>
      <c r="Z40" s="2030"/>
      <c r="AA40" s="2030"/>
      <c r="AB40" s="2030"/>
      <c r="AC40" s="2030"/>
      <c r="AD40" s="2030"/>
      <c r="AE40" s="2030"/>
      <c r="AF40" s="2030"/>
      <c r="AG40" s="2030"/>
      <c r="AH40" s="2030"/>
      <c r="AI40" s="2031"/>
      <c r="AJ40" s="0"/>
      <c r="AK40" s="287"/>
      <c r="AL40" s="0"/>
      <c r="AM40" s="0"/>
      <c r="AN40" s="0"/>
      <c r="AO40" s="0"/>
      <c r="AP40" s="0"/>
      <c r="AQ40" s="0"/>
      <c r="AR40" s="0"/>
      <c r="AS40" s="0"/>
      <c r="AT40" s="0"/>
      <c r="AU40" s="0"/>
      <c r="AV40" s="0"/>
      <c r="AW40" s="0"/>
      <c r="AX40" s="0"/>
      <c r="AY40" s="0"/>
      <c r="AZ40" s="0"/>
      <c r="BA40" s="0"/>
      <c r="BB40" s="0"/>
      <c r="BC40" s="0"/>
      <c r="BD40" s="0"/>
      <c r="BE40" s="0"/>
      <c r="BF40" s="0"/>
      <c r="BG40" s="0"/>
      <c r="BH40" s="0"/>
      <c r="BI40" s="0"/>
      <c r="BJ40" s="0"/>
      <c r="BK40" s="0"/>
      <c r="BL40" s="0"/>
    </row>
    <row customHeight="1" ht="11.25">
      <c r="AK41" s="0"/>
    </row>
    <row customHeight="1" ht="11.25">
      <c r="AK42" s="0"/>
    </row>
    <row customHeight="1" ht="11.25">
      <c r="AK43" s="0"/>
    </row>
    <row customHeight="1" ht="11.25">
      <c r="AK44" s="0"/>
    </row>
    <row customHeight="1" ht="11.25">
      <c r="AK45" s="0"/>
    </row>
    <row customHeight="1" ht="11.25">
      <c r="AK46" s="0"/>
    </row>
    <row customHeight="1" ht="11.25">
      <c r="AK47" s="0"/>
    </row>
    <row customHeight="1" ht="11.25">
      <c r="AK48" s="0"/>
    </row>
    <row customHeight="1" ht="11.25">
      <c r="AK49" s="0"/>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76376D-C296-F6DE-49CE-89BF5D3CF9ED}"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1711" width="15.00390625" hidden="1" customWidth="1"/>
    <col min="2"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121.7109375" customWidth="1"/>
    <col min="8" max="8" style="451" width="9.140625"/>
    <col min="9" max="9" style="451" width="65.00390625" customWidth="1"/>
  </cols>
  <sheetData>
    <row customHeight="1" ht="11.25" hidden="1">
      <c r="A1" s="1711" t="s">
        <v>311</v>
      </c>
    </row>
    <row customHeight="1" ht="11.25" hidden="1"/>
    <row s="473" customFormat="1" customHeight="1" ht="11.25">
      <c r="A3" s="1711"/>
      <c r="B3" s="497"/>
      <c r="D3" s="474"/>
    </row>
    <row customHeight="1" ht="25.5">
      <c r="D4" s="2001"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02"/>
      <c r="F4" s="2003"/>
      <c r="I4" s="710"/>
    </row>
    <row customHeight="1" ht="17.25">
      <c r="D5" s="2035" t="str">
        <f>IF(org=0,"Не определено",org)</f>
        <v>ПАО "ТГК-1" филиал "Невский"</v>
      </c>
      <c r="E5" s="2035"/>
      <c r="F5" s="2035"/>
      <c r="I5" s="710"/>
    </row>
    <row s="473" customFormat="1" customHeight="1" ht="11.25">
      <c r="A6" s="1711"/>
      <c r="B6" s="497"/>
      <c r="D6" s="709"/>
      <c r="E6" s="709"/>
      <c r="F6" s="747"/>
      <c r="G6" s="709"/>
    </row>
    <row customHeight="1" ht="11.25" hidden="1">
      <c r="A7" s="453"/>
      <c r="B7" s="498"/>
      <c r="C7" s="453"/>
      <c r="D7" s="459"/>
      <c r="E7" s="2042"/>
      <c r="F7" s="2042"/>
    </row>
    <row customHeight="1" ht="11.25">
      <c r="A8" s="453"/>
      <c r="B8" s="498"/>
      <c r="C8" s="453"/>
      <c r="D8" s="2038" t="s">
        <v>312</v>
      </c>
      <c r="E8" s="2039"/>
      <c r="F8" s="2039"/>
      <c r="G8" s="2043" t="s">
        <v>313</v>
      </c>
    </row>
    <row customHeight="1" ht="11.25">
      <c r="A9" s="453"/>
      <c r="B9" s="498"/>
      <c r="C9" s="453"/>
      <c r="D9" s="468" t="s">
        <v>87</v>
      </c>
      <c r="E9" s="442" t="s">
        <v>314</v>
      </c>
      <c r="F9" s="442" t="s">
        <v>315</v>
      </c>
      <c r="G9" s="2044"/>
    </row>
    <row customHeight="1" ht="12" hidden="1">
      <c r="A10" s="453"/>
      <c r="B10" s="498"/>
      <c r="C10" s="453"/>
      <c r="D10" s="460"/>
      <c r="E10" s="460"/>
      <c r="F10" s="460"/>
      <c r="G10" s="460"/>
    </row>
    <row customHeight="1" ht="22.5" hidden="1">
      <c r="A11" s="453"/>
      <c r="B11" s="498"/>
      <c r="C11" s="453"/>
      <c r="D11" s="1004" t="s">
        <v>108</v>
      </c>
      <c r="E11" s="1007" t="s">
        <v>316</v>
      </c>
      <c r="F11" s="1006" t="str">
        <f>IF(region_name="","",region_name)</f>
        <v>г.Санкт-Петербург</v>
      </c>
      <c r="G11" s="1007" t="s">
        <v>317</v>
      </c>
      <c r="H11" s="471"/>
    </row>
    <row customHeight="1" ht="22.5" hidden="1">
      <c r="A12" s="453"/>
      <c r="B12" s="498"/>
      <c r="C12" s="453"/>
      <c r="D12" s="441" t="s">
        <v>108</v>
      </c>
      <c r="E12" s="44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39" t="s">
        <v>318</v>
      </c>
      <c r="G12" s="470"/>
      <c r="H12" s="471"/>
    </row>
    <row customHeight="1" ht="22.5">
      <c r="A13" s="453"/>
      <c r="B13" s="498"/>
      <c r="C13" s="453"/>
      <c r="D13" s="441" t="s">
        <v>108</v>
      </c>
      <c r="E13" s="438" t="str">
        <f>"Наименование юридического лица"&amp;IF(TEMPLATE_SPHERE="TKO"," (индивидуального предпринимателя)","")</f>
        <v>Наименование юридического лица</v>
      </c>
      <c r="F13" s="437"/>
      <c r="G13" s="44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71"/>
    </row>
    <row customHeight="1" ht="22.5" hidden="1">
      <c r="A14" s="453"/>
      <c r="B14" s="498"/>
      <c r="C14" s="453"/>
      <c r="D14" s="1004" t="s">
        <v>319</v>
      </c>
      <c r="E14" s="1005" t="s">
        <v>320</v>
      </c>
      <c r="F14" s="1006" t="str">
        <f>IF(inn="","",inn)</f>
        <v>7841312071</v>
      </c>
      <c r="G14" s="1007" t="s">
        <v>321</v>
      </c>
      <c r="H14" s="471"/>
    </row>
    <row customHeight="1" ht="22.5" hidden="1">
      <c r="A15" s="453"/>
      <c r="B15" s="498"/>
      <c r="C15" s="453"/>
      <c r="D15" s="1004" t="s">
        <v>322</v>
      </c>
      <c r="E15" s="1005" t="s">
        <v>323</v>
      </c>
      <c r="F15" s="1006" t="str">
        <f>IF(kpp="","",kpp)</f>
        <v>781301001</v>
      </c>
      <c r="G15" s="1007" t="s">
        <v>324</v>
      </c>
      <c r="H15" s="471"/>
    </row>
    <row customHeight="1" ht="36.75">
      <c r="A16" s="453"/>
      <c r="B16" s="498"/>
      <c r="C16" s="453"/>
      <c r="D16" s="441" t="s">
        <v>109</v>
      </c>
      <c r="E16" s="43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37"/>
      <c r="G16" s="44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1"/>
    </row>
    <row customHeight="1" ht="22.5">
      <c r="A17" s="453"/>
      <c r="B17" s="498"/>
      <c r="C17" s="453"/>
      <c r="D17" s="441" t="s">
        <v>89</v>
      </c>
      <c r="E17" s="438" t="str">
        <f>"Дата присвоения ОГРН"&amp;IF(TEMPLATE_SPHERE="TKO",""," (ОГРНИП)")</f>
        <v>Дата присвоения ОГРН (ОГРНИП)</v>
      </c>
      <c r="F17" s="1756" t="s">
        <v>24</v>
      </c>
      <c r="G17" s="440" t="str">
        <f>"Дата присвоения ОГРН"&amp;IF(TEMPLATE_SPHERE="TKO",""," (ОГРНИП)")&amp;" указывается в виде «ДД.ММ.ГГГГ»."</f>
        <v>Дата присвоения ОГРН (ОГРНИП) указывается в виде «ДД.ММ.ГГГГ».</v>
      </c>
      <c r="H17" s="471"/>
    </row>
    <row customHeight="1" ht="56.25">
      <c r="A18" s="453"/>
      <c r="B18" s="498"/>
      <c r="C18" s="453"/>
      <c r="D18" s="441" t="s">
        <v>90</v>
      </c>
      <c r="E18" s="43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37"/>
      <c r="G18" s="470"/>
      <c r="H18" s="471"/>
    </row>
    <row customHeight="1" ht="22.5">
      <c r="A19" s="2040">
        <v>1</v>
      </c>
      <c r="B19" s="498"/>
      <c r="C19" s="2045"/>
      <c r="D19" s="436">
        <v>5</v>
      </c>
      <c r="E19" s="438" t="s">
        <v>325</v>
      </c>
      <c r="F19" s="439" t="s">
        <v>318</v>
      </c>
      <c r="G19" s="440" t="s">
        <v>326</v>
      </c>
      <c r="H19" s="471"/>
      <c r="I19" s="846"/>
    </row>
    <row customHeight="1" ht="33.75">
      <c r="A20" s="2040"/>
      <c r="B20" s="498"/>
      <c r="C20" s="2045"/>
      <c r="D20" s="441" t="s">
        <v>327</v>
      </c>
      <c r="E20" s="435" t="s">
        <v>328</v>
      </c>
      <c r="F20" s="2612" t="s">
        <v>24</v>
      </c>
      <c r="G20" s="470"/>
      <c r="H20" s="471"/>
      <c r="I20" s="846"/>
    </row>
    <row customHeight="1" ht="22.5">
      <c r="A21" s="2040"/>
      <c r="B21" s="498"/>
      <c r="C21" s="2045"/>
      <c r="D21" s="441" t="s">
        <v>329</v>
      </c>
      <c r="E21" s="435" t="s">
        <v>330</v>
      </c>
      <c r="F21" s="2613" t="s">
        <v>24</v>
      </c>
      <c r="G21" s="440" t="s">
        <v>331</v>
      </c>
      <c r="H21" s="471"/>
      <c r="I21" s="846"/>
    </row>
    <row customHeight="1" ht="22.5">
      <c r="A22" s="2040"/>
      <c r="B22" s="498"/>
      <c r="C22" s="2045"/>
      <c r="D22" s="441" t="s">
        <v>332</v>
      </c>
      <c r="E22" s="435" t="s">
        <v>333</v>
      </c>
      <c r="F22" s="2612" t="s">
        <v>24</v>
      </c>
      <c r="G22" s="470"/>
      <c r="H22" s="471"/>
      <c r="I22" s="846"/>
    </row>
    <row customHeight="1" ht="22.5">
      <c r="A23" s="2040"/>
      <c r="B23" s="498"/>
      <c r="C23" s="2045"/>
      <c r="D23" s="441" t="s">
        <v>334</v>
      </c>
      <c r="E23" s="435" t="s">
        <v>335</v>
      </c>
      <c r="F23" s="2612" t="s">
        <v>24</v>
      </c>
      <c r="G23" s="440" t="s">
        <v>336</v>
      </c>
      <c r="H23" s="471"/>
      <c r="I23" s="846"/>
    </row>
    <row s="497" customFormat="1" customHeight="1" ht="24.75" hidden="1">
      <c r="A24" s="453"/>
      <c r="B24" s="498"/>
      <c r="C24" s="498"/>
      <c r="D24" s="1001" t="s">
        <v>89</v>
      </c>
      <c r="E24" s="1003" t="s">
        <v>337</v>
      </c>
      <c r="F24" s="1008" t="s">
        <v>318</v>
      </c>
      <c r="G24" s="1003"/>
    </row>
    <row s="497" customFormat="1" customHeight="1" ht="11.25" hidden="1">
      <c r="A25" s="453"/>
      <c r="B25" s="498"/>
      <c r="C25" s="498"/>
      <c r="D25" s="1001" t="s">
        <v>338</v>
      </c>
      <c r="E25" s="1002" t="s">
        <v>339</v>
      </c>
      <c r="F25" s="1008" t="s">
        <v>318</v>
      </c>
      <c r="G25" s="1003"/>
    </row>
    <row s="497" customFormat="1" customHeight="1" ht="11.25" hidden="1">
      <c r="A26" s="453"/>
      <c r="B26" s="498"/>
      <c r="C26" s="498"/>
      <c r="D26" s="1001" t="s">
        <v>340</v>
      </c>
      <c r="E26" s="1009" t="s">
        <v>341</v>
      </c>
      <c r="F26" s="1010"/>
      <c r="G26" s="1003"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7" s="453"/>
      <c r="B27" s="498"/>
      <c r="C27" s="498"/>
      <c r="D27" s="1001" t="s">
        <v>342</v>
      </c>
      <c r="E27" s="1009" t="s">
        <v>343</v>
      </c>
      <c r="F27" s="1010"/>
      <c r="G27" s="1003"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497" customFormat="1" customHeight="1" ht="11.25" hidden="1">
      <c r="A28" s="453"/>
      <c r="B28" s="498"/>
      <c r="C28" s="498"/>
      <c r="D28" s="1001" t="s">
        <v>344</v>
      </c>
      <c r="E28" s="1009" t="s">
        <v>345</v>
      </c>
      <c r="F28" s="1010"/>
      <c r="G28" s="1003"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497" customFormat="1" customHeight="1" ht="11.25" hidden="1">
      <c r="A29" s="453"/>
      <c r="B29" s="498"/>
      <c r="C29" s="498"/>
      <c r="D29" s="1001" t="s">
        <v>346</v>
      </c>
      <c r="E29" s="1002" t="s">
        <v>347</v>
      </c>
      <c r="F29" s="1010"/>
      <c r="G29" s="1003"/>
    </row>
    <row s="497" customFormat="1" customHeight="1" ht="11.25" hidden="1">
      <c r="A30" s="453"/>
      <c r="B30" s="498"/>
      <c r="C30" s="498"/>
      <c r="D30" s="1001" t="s">
        <v>348</v>
      </c>
      <c r="E30" s="1002" t="s">
        <v>349</v>
      </c>
      <c r="F30" s="1010"/>
      <c r="G30" s="1003"/>
    </row>
    <row s="497" customFormat="1" customHeight="1" ht="11.25" hidden="1">
      <c r="A31" s="453"/>
      <c r="B31" s="498"/>
      <c r="C31" s="498"/>
      <c r="D31" s="1001" t="s">
        <v>350</v>
      </c>
      <c r="E31" s="1002" t="s">
        <v>351</v>
      </c>
      <c r="F31" s="1011"/>
      <c r="G31" s="1003"/>
    </row>
    <row customHeight="1" ht="22.5">
      <c r="A32" s="453" t="str">
        <f>IF(TEMPLATE_SPHERE="HEAT","6","5")</f>
        <v>6</v>
      </c>
      <c r="B32" s="498"/>
      <c r="C32" s="453"/>
      <c r="D32" s="436" t="str">
        <f>A32</f>
        <v>6</v>
      </c>
      <c r="E32" s="43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39" t="s">
        <v>318</v>
      </c>
      <c r="G32" s="470"/>
      <c r="H32" s="471"/>
    </row>
    <row customHeight="1" ht="22.5">
      <c r="A33" s="453"/>
      <c r="B33" s="498"/>
      <c r="C33" s="453"/>
      <c r="D33" s="436" t="str">
        <f>D32&amp;".1"</f>
        <v>6.1</v>
      </c>
      <c r="E33" s="438" t="str">
        <f>"фамилия"&amp;IF(TEMPLATE_SPHERE&lt;&gt;"HEAT"," руководителя","")</f>
        <v>фамилия</v>
      </c>
      <c r="F33" s="437"/>
      <c r="G33" s="44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71"/>
    </row>
    <row customHeight="1" ht="22.5">
      <c r="A34" s="453"/>
      <c r="B34" s="498"/>
      <c r="C34" s="453"/>
      <c r="D34" s="436" t="str">
        <f>D32&amp;".2"</f>
        <v>6.2</v>
      </c>
      <c r="E34" s="438" t="str">
        <f>"имя"&amp;IF(TEMPLATE_SPHERE&lt;&gt;"HEAT"," руководителя","")</f>
        <v>имя</v>
      </c>
      <c r="F34" s="437"/>
      <c r="G34" s="44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71"/>
    </row>
    <row customHeight="1" ht="22.5">
      <c r="A35" s="453"/>
      <c r="B35" s="498"/>
      <c r="C35" s="453"/>
      <c r="D35" s="436" t="str">
        <f>D32&amp;".3"</f>
        <v>6.3</v>
      </c>
      <c r="E35" s="438" t="str">
        <f>"отчество"&amp;IF(TEMPLATE_SPHERE&lt;&gt;"HEAT"," руководителя","")</f>
        <v>отчество</v>
      </c>
      <c r="F35" s="693"/>
      <c r="G35" s="44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71"/>
    </row>
    <row customHeight="1" ht="33.75">
      <c r="A36" s="453"/>
      <c r="B36" s="498"/>
      <c r="C36" s="453"/>
      <c r="D36" s="436">
        <f>D32+1</f>
        <v>7</v>
      </c>
      <c r="E36" s="43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37"/>
      <c r="G36" s="440" t="s">
        <v>352</v>
      </c>
      <c r="H36" s="471"/>
    </row>
    <row customHeight="1" ht="33.75">
      <c r="A37" s="453"/>
      <c r="B37" s="498"/>
      <c r="C37" s="453"/>
      <c r="D37" s="436">
        <f>D36+1</f>
        <v>8</v>
      </c>
      <c r="E37" s="43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37"/>
      <c r="G37" s="440" t="s">
        <v>352</v>
      </c>
      <c r="H37" s="471"/>
    </row>
    <row customHeight="1" ht="22.5">
      <c r="A38" s="453"/>
      <c r="B38" s="498"/>
      <c r="C38" s="453"/>
      <c r="D38" s="436">
        <f>D37+1</f>
        <v>9</v>
      </c>
      <c r="E38" s="43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39" t="s">
        <v>318</v>
      </c>
      <c r="G38" s="2046"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71"/>
    </row>
    <row customHeight="1" ht="22.5" hidden="1">
      <c r="A39" s="453"/>
      <c r="B39" s="498"/>
      <c r="C39" s="453"/>
      <c r="D39" s="436" t="str">
        <f>D38&amp;".0"</f>
        <v>9.0</v>
      </c>
      <c r="E39" s="1631"/>
      <c r="F39" s="875"/>
      <c r="G39" s="2047"/>
      <c r="H39" s="471"/>
    </row>
    <row customHeight="1" ht="22.5">
      <c r="A40" s="453"/>
      <c r="B40" s="453"/>
      <c r="C40" s="1713"/>
      <c r="D40" s="436" t="str">
        <f>D38&amp;".1"</f>
        <v>9.1</v>
      </c>
      <c r="E40" s="854"/>
      <c r="F40" s="855"/>
      <c r="G40" s="2047"/>
      <c r="H40" s="471"/>
    </row>
    <row customHeight="1" ht="15">
      <c r="A41" s="453"/>
      <c r="B41" s="498"/>
      <c r="C41" s="453"/>
      <c r="D41" s="463"/>
      <c r="E41" s="412" t="s">
        <v>353</v>
      </c>
      <c r="F41" s="465"/>
      <c r="G41" s="2048"/>
      <c r="H41" s="472"/>
    </row>
    <row customHeight="1" ht="25.5">
      <c r="A42" s="453"/>
      <c r="B42" s="498"/>
      <c r="C42" s="453"/>
      <c r="D42" s="436">
        <f>D38+1</f>
        <v>10</v>
      </c>
      <c r="E42" s="43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56"/>
      <c r="G42" s="44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71"/>
    </row>
    <row customHeight="1" ht="22.5">
      <c r="A43" s="453"/>
      <c r="B43" s="498"/>
      <c r="C43" s="453"/>
      <c r="D43" s="436">
        <f>D42+1</f>
        <v>11</v>
      </c>
      <c r="E43" s="43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72"/>
      <c r="G43" s="470" t="s">
        <v>354</v>
      </c>
      <c r="H43" s="471"/>
    </row>
    <row customHeight="1" ht="22.5">
      <c r="A44" s="453"/>
      <c r="B44" s="498"/>
      <c r="C44" s="453"/>
      <c r="D44" s="436">
        <f>D43+1</f>
        <v>12</v>
      </c>
      <c r="E44" s="434" t="s">
        <v>355</v>
      </c>
      <c r="F44" s="439" t="s">
        <v>318</v>
      </c>
      <c r="G44" s="433" t="str">
        <f>IF(TEMPLATE_SPHERE="TKO","Указывается режим работы организации.","")</f>
        <v/>
      </c>
      <c r="H44" s="471"/>
    </row>
    <row customHeight="1" ht="22.5">
      <c r="A45" s="453"/>
      <c r="B45" s="498"/>
      <c r="C45" s="453"/>
      <c r="D45" s="436" t="str">
        <f>D44&amp;".1"</f>
        <v>12.1</v>
      </c>
      <c r="E45" s="438" t="str">
        <f>"режим работы регулируемой организации"&amp;IF(TEMPLATE_SPHERE="HEAT",", ЕТО, ТО","")</f>
        <v>режим работы регулируемой организации, ЕТО, ТО</v>
      </c>
      <c r="F45" s="1709"/>
      <c r="G45" s="433" t="s">
        <v>356</v>
      </c>
      <c r="H45" s="471"/>
    </row>
    <row customHeight="1" ht="22.5">
      <c r="A46" s="2036"/>
      <c r="B46" s="498"/>
      <c r="C46" s="488"/>
      <c r="D46" s="436" t="str">
        <f>D44&amp;".2"</f>
        <v>12.2</v>
      </c>
      <c r="E46" s="438" t="s">
        <v>357</v>
      </c>
      <c r="F46" s="486"/>
      <c r="G46" s="433" t="s">
        <v>358</v>
      </c>
      <c r="H46" s="471"/>
    </row>
    <row customHeight="1" ht="22.5">
      <c r="A47" s="2036"/>
      <c r="B47" s="498"/>
      <c r="C47" s="488"/>
      <c r="D47" s="436" t="str">
        <f>D44&amp;".3"</f>
        <v>12.3</v>
      </c>
      <c r="E47" s="438" t="s">
        <v>359</v>
      </c>
      <c r="F47" s="486"/>
      <c r="G47" s="433" t="s">
        <v>360</v>
      </c>
      <c r="H47" s="471"/>
    </row>
    <row customHeight="1" ht="22.5">
      <c r="A48" s="2036"/>
      <c r="B48" s="498"/>
      <c r="C48" s="488"/>
      <c r="D48" s="436" t="str">
        <f>IF(TEMPLATE_SPHERE="TKO",D44&amp;".0",D44&amp;".4")</f>
        <v>12.4</v>
      </c>
      <c r="E48" s="432" t="s">
        <v>361</v>
      </c>
      <c r="F48" s="1710"/>
      <c r="G48" s="1786" t="s">
        <v>362</v>
      </c>
      <c r="H48" s="471"/>
    </row>
    <row customHeight="1" ht="22.5">
      <c r="A49" s="453"/>
      <c r="B49" s="498"/>
      <c r="C49" s="453"/>
      <c r="D49" s="463"/>
      <c r="E49" s="412" t="s">
        <v>363</v>
      </c>
      <c r="F49" s="464"/>
      <c r="G49" s="1786" t="s">
        <v>364</v>
      </c>
      <c r="H49" s="472"/>
    </row>
    <row customHeight="1" ht="22.5">
      <c r="A50" s="852"/>
      <c r="B50" s="498"/>
      <c r="C50" s="488"/>
      <c r="D50" s="436">
        <f>D44+1</f>
        <v>13</v>
      </c>
      <c r="E50" s="524" t="s">
        <v>365</v>
      </c>
      <c r="F50" s="486"/>
      <c r="G50" s="1714"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71"/>
    </row>
    <row customHeight="1" ht="11.25">
      <c r="A51" s="453"/>
      <c r="B51" s="498"/>
      <c r="C51" s="453"/>
    </row>
    <row s="456" customFormat="1" customHeight="1" ht="30">
      <c r="A52" s="1712"/>
      <c r="B52" s="499"/>
      <c r="C52" s="2037"/>
      <c r="D52" s="204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41"/>
      <c r="F52" s="2041"/>
      <c r="G52" s="2041"/>
      <c r="H52" s="450"/>
      <c r="I52" s="450"/>
    </row>
    <row s="456" customFormat="1" customHeight="1" ht="39.75">
      <c r="A53" s="453"/>
      <c r="B53" s="498"/>
      <c r="C53" s="2037"/>
      <c r="D53" s="204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41"/>
      <c r="F53" s="2041"/>
      <c r="G53" s="2041"/>
    </row>
    <row customHeight="1" ht="11.25">
      <c r="D54" s="454"/>
      <c r="E54" s="455"/>
      <c r="F54" s="455"/>
      <c r="G54" s="455"/>
    </row>
    <row customHeight="1" ht="27">
      <c r="D55" s="457"/>
      <c r="E55" s="454"/>
      <c r="F55" s="466"/>
      <c r="G55" s="466"/>
    </row>
    <row customHeight="1" ht="11.25">
      <c r="D56" s="454"/>
      <c r="E56" s="454"/>
      <c r="F56" s="455"/>
      <c r="G56" s="455"/>
    </row>
    <row customHeight="1" ht="39">
      <c r="D57" s="458"/>
      <c r="E57" s="467"/>
      <c r="F57" s="467"/>
      <c r="G57" s="467"/>
    </row>
    <row customHeight="1" ht="27">
      <c r="D58" s="458"/>
      <c r="E58" s="467"/>
      <c r="F58" s="467"/>
      <c r="G58" s="46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E16494-C3A1-0494-8107-AA4AE6E16351}"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48.421875" customWidth="1"/>
    <col min="6" max="6" style="1660" width="38.140625" customWidth="1"/>
    <col min="7" max="7" style="1660" width="1.7109375" hidden="1" customWidth="1"/>
    <col min="8" max="11" style="1660" width="19.8515625" customWidth="1"/>
    <col min="12" max="12" style="1660" width="9.7109375" customWidth="1"/>
    <col min="13" max="18" style="1660" width="19.8515625" customWidth="1"/>
    <col min="19" max="19" style="1660" width="1.7109375" hidden="1" customWidth="1"/>
    <col min="20" max="22" style="1660" width="19.8515625" hidden="1" customWidth="1"/>
    <col min="23" max="23" style="1660" width="1.7109375" hidden="1" customWidth="1"/>
    <col min="24" max="26" style="1660" width="19.8515625" hidden="1" customWidth="1"/>
    <col min="27" max="27" style="1660" width="1.7109375" hidden="1" customWidth="1"/>
    <col min="28" max="29" style="1660" width="19.8515625" hidden="1" customWidth="1"/>
    <col min="30" max="30" style="1660" width="1.7109375" hidden="1" customWidth="1"/>
    <col min="31" max="31" style="1660" width="103.7109375" customWidth="1"/>
    <col min="32" max="34" style="1660" width="103.7109375" hidden="1" customWidth="1"/>
    <col min="35" max="35" style="1844" width="3.7109375" customWidth="1"/>
    <col min="36" max="38" style="1667" width="10.57421875"/>
    <col min="39" max="39" style="1667" width="13.7109375" hidden="1" customWidth="1"/>
    <col min="40" max="40" style="1667" width="15.421875" customWidth="1"/>
    <col min="41" max="41" style="1667" width="16.28125" customWidth="1"/>
    <col min="42" max="45" style="1667" width="10.57421875"/>
  </cols>
  <sheetData>
    <row customHeight="1" ht="14.25" hidden="1">
      <c r="E1" s="409"/>
      <c r="F1" s="409"/>
      <c r="G1" s="409"/>
      <c r="H1" s="2064" t="s">
        <v>366</v>
      </c>
      <c r="I1" s="2064"/>
      <c r="J1" s="2064"/>
      <c r="K1" s="2064"/>
      <c r="L1" s="2064"/>
      <c r="M1" s="2064"/>
      <c r="N1" s="2064"/>
      <c r="O1" s="2064"/>
      <c r="P1" s="2064"/>
      <c r="Q1" s="2064"/>
      <c r="R1" s="2064"/>
      <c r="T1" s="2064" t="s">
        <v>367</v>
      </c>
      <c r="U1" s="2064"/>
      <c r="V1" s="2064"/>
      <c r="X1" s="2064" t="s">
        <v>368</v>
      </c>
      <c r="Y1" s="2064"/>
      <c r="Z1" s="2064"/>
      <c r="AB1" s="2064" t="s">
        <v>369</v>
      </c>
      <c r="AC1" s="2064"/>
    </row>
    <row customHeight="1" ht="14.25" hidden="1"/>
    <row s="1638" customFormat="1" customHeight="1" ht="6">
      <c r="C3" s="696"/>
      <c r="D3" s="697"/>
      <c r="E3" s="697"/>
      <c r="F3" s="697"/>
      <c r="G3" s="697"/>
      <c r="H3" s="697" t="s">
        <v>370</v>
      </c>
      <c r="I3" s="697"/>
      <c r="J3" s="697"/>
      <c r="K3" s="697"/>
      <c r="L3" s="697"/>
      <c r="M3" s="697"/>
      <c r="N3" s="697"/>
      <c r="O3" s="697"/>
      <c r="P3" s="697"/>
      <c r="Q3" s="697"/>
      <c r="R3" s="697"/>
      <c r="S3" s="697"/>
      <c r="T3" s="697"/>
      <c r="U3" s="697"/>
      <c r="V3" s="697"/>
      <c r="W3" s="697"/>
      <c r="X3" s="697"/>
      <c r="Y3" s="697"/>
      <c r="Z3" s="697"/>
      <c r="AA3" s="697"/>
      <c r="AB3" s="697"/>
      <c r="AC3" s="697"/>
      <c r="AD3" s="697"/>
      <c r="AE3" s="697"/>
      <c r="AF3" s="697"/>
      <c r="AG3" s="697"/>
      <c r="AH3" s="697"/>
      <c r="AJ3" s="507"/>
      <c r="AK3" s="507"/>
      <c r="AL3" s="507"/>
      <c r="AM3" s="507"/>
      <c r="AN3" s="507"/>
      <c r="AO3" s="507"/>
      <c r="AP3" s="507"/>
      <c r="AQ3" s="507"/>
      <c r="AR3" s="507"/>
      <c r="AS3" s="507"/>
    </row>
    <row customHeight="1" ht="37.5">
      <c r="C4" s="446"/>
      <c r="D4" s="2001"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02"/>
      <c r="F4" s="2002"/>
      <c r="G4" s="2002"/>
      <c r="H4" s="2002"/>
      <c r="I4" s="2002"/>
      <c r="J4" s="2002"/>
      <c r="K4" s="2002"/>
      <c r="L4" s="2002"/>
      <c r="M4" s="2002"/>
      <c r="N4" s="2002"/>
      <c r="O4" s="2002"/>
      <c r="P4" s="2002"/>
      <c r="Q4" s="2002"/>
      <c r="R4" s="2003"/>
      <c r="S4" s="847"/>
      <c r="T4" s="694"/>
      <c r="U4" s="694"/>
      <c r="V4" s="694"/>
      <c r="W4" s="694"/>
      <c r="X4" s="694"/>
      <c r="Y4" s="694"/>
      <c r="Z4" s="694"/>
      <c r="AA4" s="694"/>
      <c r="AB4" s="694"/>
      <c r="AC4" s="694"/>
      <c r="AD4" s="694"/>
      <c r="AE4" s="487"/>
      <c r="AF4" s="487"/>
      <c r="AG4" s="487"/>
      <c r="AH4" s="487"/>
      <c r="AI4" s="484"/>
    </row>
    <row s="1660" customFormat="1" customHeight="1" ht="17.25">
      <c r="A5" s="754"/>
      <c r="C5" s="816"/>
      <c r="D5" s="2061" t="str">
        <f>IF(org=0,"Не определено",org)</f>
        <v>ПАО "ТГК-1" филиал "Невский"</v>
      </c>
      <c r="E5" s="2062"/>
      <c r="F5" s="2062"/>
      <c r="G5" s="2062"/>
      <c r="H5" s="2062"/>
      <c r="I5" s="2062"/>
      <c r="J5" s="2062"/>
      <c r="K5" s="2062"/>
      <c r="L5" s="2062"/>
      <c r="M5" s="2062"/>
      <c r="N5" s="2062"/>
      <c r="O5" s="2062"/>
      <c r="P5" s="2062"/>
      <c r="Q5" s="2062"/>
      <c r="R5" s="2063"/>
      <c r="S5" s="847"/>
      <c r="T5" s="694"/>
      <c r="U5" s="694"/>
      <c r="V5" s="694"/>
      <c r="W5" s="694"/>
      <c r="X5" s="694"/>
      <c r="Y5" s="694"/>
      <c r="Z5" s="694"/>
      <c r="AA5" s="694"/>
      <c r="AB5" s="694"/>
      <c r="AC5" s="694"/>
      <c r="AD5" s="694"/>
      <c r="AE5" s="487"/>
      <c r="AF5" s="487"/>
      <c r="AG5" s="487"/>
      <c r="AH5" s="487"/>
      <c r="AI5" s="484"/>
      <c r="AJ5" s="507"/>
      <c r="AK5" s="507"/>
      <c r="AL5" s="507"/>
      <c r="AM5" s="507"/>
      <c r="AN5" s="507"/>
      <c r="AO5" s="507"/>
      <c r="AP5" s="507"/>
      <c r="AQ5" s="507"/>
      <c r="AR5" s="507"/>
      <c r="AS5" s="507"/>
    </row>
    <row s="1637" customFormat="1" customHeight="1" ht="11.25">
      <c r="A6" s="475"/>
      <c r="C6" s="482"/>
      <c r="D6" s="481"/>
      <c r="E6" s="481"/>
      <c r="F6" s="481"/>
      <c r="G6" s="481"/>
      <c r="H6" s="481"/>
      <c r="I6" s="481"/>
      <c r="J6" s="481"/>
      <c r="K6" s="481"/>
      <c r="L6" s="481"/>
      <c r="M6" s="481"/>
      <c r="N6" s="481"/>
      <c r="O6" s="481"/>
      <c r="P6" s="481"/>
      <c r="Q6" s="481"/>
      <c r="R6" s="747"/>
      <c r="S6" s="747"/>
      <c r="T6" s="481"/>
      <c r="U6" s="481"/>
      <c r="V6" s="707"/>
      <c r="W6" s="707"/>
      <c r="X6" s="481"/>
      <c r="Y6" s="481"/>
      <c r="Z6" s="707"/>
      <c r="AA6" s="707"/>
      <c r="AB6" s="481"/>
      <c r="AC6" s="707"/>
      <c r="AD6" s="707"/>
      <c r="AE6" s="481"/>
      <c r="AF6" s="481"/>
      <c r="AG6" s="481"/>
      <c r="AH6" s="481"/>
      <c r="AJ6" s="485"/>
      <c r="AK6" s="485"/>
      <c r="AL6" s="485"/>
      <c r="AM6" s="485"/>
      <c r="AN6" s="485"/>
      <c r="AO6" s="485"/>
      <c r="AP6" s="485"/>
      <c r="AQ6" s="485"/>
      <c r="AR6" s="485"/>
      <c r="AS6" s="485"/>
    </row>
    <row customHeight="1" ht="14.25">
      <c r="C7" s="446"/>
      <c r="D7" s="2050" t="s">
        <v>312</v>
      </c>
      <c r="E7" s="2065"/>
      <c r="F7" s="2065"/>
      <c r="G7" s="2065"/>
      <c r="H7" s="2065"/>
      <c r="I7" s="2065"/>
      <c r="J7" s="2065"/>
      <c r="K7" s="2065"/>
      <c r="L7" s="2065"/>
      <c r="M7" s="2065"/>
      <c r="N7" s="2065"/>
      <c r="O7" s="2065"/>
      <c r="P7" s="2065"/>
      <c r="Q7" s="2065"/>
      <c r="R7" s="2065"/>
      <c r="S7" s="2065"/>
      <c r="T7" s="2065"/>
      <c r="U7" s="2065"/>
      <c r="V7" s="2065"/>
      <c r="W7" s="2065"/>
      <c r="X7" s="2065"/>
      <c r="Y7" s="2065"/>
      <c r="Z7" s="2065"/>
      <c r="AA7" s="2065"/>
      <c r="AB7" s="2065"/>
      <c r="AC7" s="2065"/>
      <c r="AD7" s="2066"/>
      <c r="AE7" s="2049" t="s">
        <v>313</v>
      </c>
      <c r="AF7" s="2049" t="s">
        <v>313</v>
      </c>
      <c r="AG7" s="2049" t="s">
        <v>313</v>
      </c>
      <c r="AH7" s="2049" t="s">
        <v>313</v>
      </c>
    </row>
    <row customHeight="1" ht="25.5">
      <c r="C8" s="446"/>
      <c r="D8" s="1953" t="s">
        <v>87</v>
      </c>
      <c r="E8" s="2049" t="str">
        <f>"Наименование "&amp;IF(TEMPLATE_SPHERE&lt;&gt;"HEAT","централизованной ","")&amp;"системы "&amp;TEMPLATE_SPHERE_RUS</f>
        <v>Наименование системы теплоснабжения</v>
      </c>
      <c r="F8" s="2049" t="str">
        <f>IF(TEMPLATE_SPHERE&lt;&gt;"HEAT","Регулируемый вид деятельности","Вид регулируемой деятельности")</f>
        <v>Вид регулируемой деятельности</v>
      </c>
      <c r="G8" s="822"/>
      <c r="H8" s="2055" t="s">
        <v>371</v>
      </c>
      <c r="I8" s="2057" t="s">
        <v>372</v>
      </c>
      <c r="J8" s="2049" t="s">
        <v>373</v>
      </c>
      <c r="K8" s="2049"/>
      <c r="L8" s="2049"/>
      <c r="M8" s="2050"/>
      <c r="N8" s="2049" t="s">
        <v>374</v>
      </c>
      <c r="O8" s="2049"/>
      <c r="P8" s="2049" t="s">
        <v>375</v>
      </c>
      <c r="Q8" s="2049"/>
      <c r="R8" s="2053" t="s">
        <v>376</v>
      </c>
      <c r="S8" s="818"/>
      <c r="T8" s="2051" t="s">
        <v>377</v>
      </c>
      <c r="U8" s="2051" t="s">
        <v>378</v>
      </c>
      <c r="V8" s="2051" t="s">
        <v>379</v>
      </c>
      <c r="W8" s="820"/>
      <c r="X8" s="2051" t="s">
        <v>380</v>
      </c>
      <c r="Y8" s="2051" t="s">
        <v>381</v>
      </c>
      <c r="Z8" s="2051" t="s">
        <v>382</v>
      </c>
      <c r="AA8" s="820"/>
      <c r="AB8" s="2051" t="s">
        <v>383</v>
      </c>
      <c r="AC8" s="2051" t="s">
        <v>376</v>
      </c>
      <c r="AD8" s="820"/>
      <c r="AE8" s="2049"/>
      <c r="AF8" s="2049"/>
      <c r="AG8" s="2049"/>
      <c r="AH8" s="2049"/>
    </row>
    <row customHeight="1" ht="43.5">
      <c r="C9" s="446"/>
      <c r="D9" s="1953"/>
      <c r="E9" s="2049"/>
      <c r="F9" s="2049"/>
      <c r="G9" s="823"/>
      <c r="H9" s="2056"/>
      <c r="I9" s="2058"/>
      <c r="J9" s="421" t="s">
        <v>384</v>
      </c>
      <c r="K9" s="421" t="s">
        <v>385</v>
      </c>
      <c r="L9" s="421" t="s">
        <v>386</v>
      </c>
      <c r="M9" s="427" t="s">
        <v>387</v>
      </c>
      <c r="N9" s="421" t="s">
        <v>388</v>
      </c>
      <c r="O9" s="421" t="s">
        <v>387</v>
      </c>
      <c r="P9" s="421" t="s">
        <v>389</v>
      </c>
      <c r="Q9" s="421" t="s">
        <v>387</v>
      </c>
      <c r="R9" s="2054"/>
      <c r="S9" s="819"/>
      <c r="T9" s="2052"/>
      <c r="U9" s="2052"/>
      <c r="V9" s="2052"/>
      <c r="W9" s="821"/>
      <c r="X9" s="2052"/>
      <c r="Y9" s="2052"/>
      <c r="Z9" s="2052"/>
      <c r="AA9" s="821"/>
      <c r="AB9" s="2052"/>
      <c r="AC9" s="2052"/>
      <c r="AD9" s="821"/>
      <c r="AE9" s="2049"/>
      <c r="AF9" s="2049"/>
      <c r="AG9" s="2049"/>
      <c r="AH9" s="2049"/>
    </row>
    <row customHeight="1" ht="12" hidden="1">
      <c r="C10" s="483"/>
      <c r="D10" s="444"/>
      <c r="E10" s="444"/>
      <c r="F10" s="444"/>
      <c r="G10" s="444"/>
      <c r="H10" s="444"/>
      <c r="I10" s="444"/>
      <c r="J10" s="444"/>
      <c r="K10" s="444"/>
      <c r="L10" s="444"/>
      <c r="M10" s="444"/>
      <c r="N10" s="444"/>
      <c r="O10" s="444"/>
      <c r="P10" s="444"/>
      <c r="Q10" s="444"/>
      <c r="R10" s="444"/>
      <c r="S10" s="444"/>
      <c r="T10" s="444"/>
      <c r="U10" s="444"/>
      <c r="V10" s="444"/>
      <c r="W10" s="444"/>
      <c r="X10" s="444"/>
      <c r="Y10" s="444"/>
      <c r="Z10" s="444"/>
      <c r="AA10" s="444"/>
      <c r="AB10" s="444"/>
      <c r="AC10" s="444"/>
      <c r="AD10" s="444"/>
      <c r="AE10" s="444"/>
      <c r="AF10" s="444"/>
      <c r="AG10" s="444"/>
      <c r="AH10" s="444"/>
      <c r="AI10" s="443"/>
      <c r="AP10" s="496"/>
      <c r="AQ10" s="496"/>
    </row>
    <row s="1666" customFormat="1" customHeight="1" ht="11.25" hidden="1">
      <c r="C11" s="494"/>
      <c r="D11" s="495" t="s">
        <v>390</v>
      </c>
      <c r="E11" s="495"/>
      <c r="F11" s="495"/>
      <c r="G11" s="495"/>
      <c r="H11" s="493"/>
      <c r="I11" s="493"/>
      <c r="J11" s="493"/>
      <c r="K11" s="493"/>
      <c r="L11" s="493"/>
      <c r="M11" s="493"/>
      <c r="N11" s="493"/>
      <c r="O11" s="493"/>
      <c r="P11" s="493"/>
      <c r="Q11" s="493"/>
      <c r="R11" s="493"/>
      <c r="S11" s="493"/>
      <c r="T11" s="493"/>
      <c r="U11" s="493"/>
      <c r="V11" s="493"/>
      <c r="W11" s="493"/>
      <c r="X11" s="493"/>
      <c r="Y11" s="493"/>
      <c r="Z11" s="493"/>
      <c r="AA11" s="493"/>
      <c r="AB11" s="493"/>
      <c r="AC11" s="493"/>
      <c r="AD11" s="493"/>
      <c r="AE11" s="431"/>
      <c r="AF11" s="431"/>
      <c r="AG11" s="431"/>
      <c r="AH11" s="431"/>
      <c r="AJ11" s="485"/>
      <c r="AK11" s="485"/>
      <c r="AL11" s="485"/>
      <c r="AM11" s="485"/>
      <c r="AN11" s="485"/>
      <c r="AO11" s="485"/>
      <c r="AP11" s="485"/>
      <c r="AQ11" s="485"/>
      <c r="AR11" s="485"/>
      <c r="AS11" s="485"/>
    </row>
    <row customHeight="1" ht="14.25">
      <c r="A12" s="443"/>
      <c r="C12" s="446"/>
      <c r="D12" s="430" t="s">
        <v>108</v>
      </c>
      <c r="E12" s="1802" t="s">
        <v>24</v>
      </c>
      <c r="F12" s="849"/>
      <c r="G12" s="850"/>
      <c r="H12" s="1803"/>
      <c r="I12" s="1803"/>
      <c r="J12" s="429"/>
      <c r="K12" s="1888"/>
      <c r="L12" s="428"/>
      <c r="M12" s="1888"/>
      <c r="N12" s="429"/>
      <c r="O12" s="1888"/>
      <c r="P12" s="429"/>
      <c r="Q12" s="1888"/>
      <c r="R12" s="429"/>
      <c r="S12" s="848"/>
      <c r="T12" s="1803"/>
      <c r="U12" s="429"/>
      <c r="V12" s="429"/>
      <c r="W12" s="821"/>
      <c r="X12" s="1803"/>
      <c r="Y12" s="429"/>
      <c r="Z12" s="429"/>
      <c r="AA12" s="821"/>
      <c r="AB12" s="1803"/>
      <c r="AC12" s="429"/>
      <c r="AD12" s="821"/>
      <c r="AE12" s="2059" t="s">
        <v>391</v>
      </c>
      <c r="AF12" s="2059" t="s">
        <v>392</v>
      </c>
      <c r="AG12" s="2059" t="s">
        <v>393</v>
      </c>
      <c r="AH12" s="2059" t="s">
        <v>394</v>
      </c>
      <c r="AI12" s="443"/>
      <c r="AM12" s="507"/>
      <c r="AP12" s="496" t="s">
        <v>395</v>
      </c>
      <c r="AQ12" s="496" t="s">
        <v>395</v>
      </c>
    </row>
    <row customHeight="1" ht="17.25">
      <c r="A13" s="443"/>
      <c r="C13" s="446"/>
      <c r="D13" s="402"/>
      <c r="E13" s="863" t="str">
        <f>IF(TITLE_DIFFERENTIATION_TYPE="нет","","Добавить систему")</f>
        <v/>
      </c>
      <c r="F13" s="863" t="str">
        <f>IF(TITLE_DIFFERENTIATION_TYPE="нет","Добавить вид деятельности","")</f>
        <v>Добавить вид деятельности</v>
      </c>
      <c r="G13" s="295"/>
      <c r="H13" s="403"/>
      <c r="I13" s="403"/>
      <c r="J13" s="403"/>
      <c r="K13" s="403"/>
      <c r="L13" s="403"/>
      <c r="M13" s="403"/>
      <c r="N13" s="403"/>
      <c r="O13" s="403"/>
      <c r="P13" s="403"/>
      <c r="Q13" s="403"/>
      <c r="R13" s="403"/>
      <c r="S13" s="403"/>
      <c r="T13" s="403"/>
      <c r="U13" s="403"/>
      <c r="V13" s="403"/>
      <c r="W13" s="403"/>
      <c r="X13" s="403"/>
      <c r="Y13" s="403"/>
      <c r="Z13" s="403"/>
      <c r="AA13" s="403"/>
      <c r="AB13" s="403"/>
      <c r="AC13" s="403"/>
      <c r="AD13" s="851"/>
      <c r="AE13" s="2060"/>
      <c r="AF13" s="2060"/>
      <c r="AG13" s="2060"/>
      <c r="AH13" s="2060"/>
      <c r="AI13" s="443"/>
    </row>
    <row customHeight="1" ht="14.25">
      <c r="AI14" s="443"/>
    </row>
    <row customHeight="1" ht="14.25">
      <c r="E15" s="753"/>
      <c r="L15" s="753"/>
    </row>
    <row customHeight="1" ht="14.25">
      <c r="L16" s="753"/>
    </row>
    <row customHeight="1" ht="14.25">
      <c r="L17" s="753"/>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1FF96C-6CF5-F14D-F58B-62CCF454B47D}"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1657" width="9.140625" hidden="1" customWidth="1"/>
    <col min="2" max="2" style="1660" width="9.140625" hidden="1" customWidth="1"/>
    <col min="3" max="3" style="1866" width="3.7109375" customWidth="1"/>
    <col min="4" max="4" style="1660" width="5.57421875" customWidth="1"/>
    <col min="5" max="5" style="1660" width="38.140625" customWidth="1"/>
    <col min="6" max="7" style="1660" width="3.7109375" customWidth="1"/>
    <col min="8" max="8" style="1660" width="38.28125" customWidth="1"/>
    <col min="9" max="9" style="1660" width="35.7109375" customWidth="1"/>
    <col min="10" max="10" style="1660" width="103.7109375" customWidth="1"/>
    <col min="11" max="11" style="1844" width="3.7109375" customWidth="1"/>
    <col min="12" max="14" style="1667" width="10.57421875"/>
    <col min="15" max="15" style="1667" width="13.7109375" customWidth="1"/>
    <col min="16" max="16" style="1667" width="15.421875" customWidth="1"/>
    <col min="17" max="17" style="1667" width="16.28125" customWidth="1"/>
    <col min="18" max="21" style="1667" width="10.57421875"/>
  </cols>
  <sheetData>
    <row customHeight="1" ht="14.25" hidden="1">
      <c r="E1" s="409"/>
      <c r="F1" s="409"/>
      <c r="G1" s="409"/>
      <c r="H1" s="2064" t="s">
        <v>366</v>
      </c>
      <c r="I1" s="2064"/>
    </row>
    <row s="1660" customFormat="1" customHeight="1" ht="14.25" hidden="1">
      <c r="C2" s="1644"/>
      <c r="D2" s="2068" t="s">
        <v>108</v>
      </c>
      <c r="E2" s="2070"/>
      <c r="F2" s="1650"/>
      <c r="G2" s="1645" t="s">
        <v>108</v>
      </c>
      <c r="H2" s="1648"/>
      <c r="I2" s="1646"/>
      <c r="L2" s="1647"/>
      <c r="M2" s="1647"/>
      <c r="N2" s="1647"/>
      <c r="O2" s="1647" t="s">
        <v>396</v>
      </c>
      <c r="P2" s="1647"/>
      <c r="Q2" s="1647"/>
      <c r="R2" s="1649" t="s">
        <v>395</v>
      </c>
      <c r="S2" s="1649" t="s">
        <v>395</v>
      </c>
      <c r="T2" s="1647"/>
      <c r="U2" s="1647"/>
    </row>
    <row s="1660" customFormat="1" customHeight="1" ht="14.25" hidden="1">
      <c r="C3" s="1644"/>
      <c r="D3" s="2069"/>
      <c r="E3" s="2071"/>
      <c r="F3" s="402"/>
      <c r="G3" s="863"/>
      <c r="H3" s="863" t="s">
        <v>397</v>
      </c>
      <c r="I3" s="295"/>
      <c r="L3" s="1647"/>
      <c r="M3" s="1647"/>
      <c r="N3" s="1647"/>
      <c r="O3" s="1647"/>
      <c r="P3" s="1647"/>
      <c r="Q3" s="1647"/>
      <c r="R3" s="1649"/>
      <c r="S3" s="1649"/>
      <c r="T3" s="1647"/>
      <c r="U3" s="1647"/>
    </row>
    <row customHeight="1" ht="14.25" hidden="1"/>
    <row s="1638" customFormat="1" customHeight="1" ht="6">
      <c r="C5" s="696"/>
      <c r="D5" s="697"/>
      <c r="E5" s="697"/>
      <c r="F5" s="697"/>
      <c r="G5" s="697"/>
      <c r="H5" s="697" t="s">
        <v>370</v>
      </c>
      <c r="I5" s="697"/>
      <c r="J5" s="697"/>
      <c r="L5" s="1639"/>
      <c r="M5" s="1639"/>
      <c r="N5" s="1639"/>
      <c r="O5" s="1639"/>
      <c r="P5" s="1639"/>
      <c r="Q5" s="1639"/>
      <c r="R5" s="1639"/>
      <c r="S5" s="1639"/>
      <c r="T5" s="1639"/>
      <c r="U5" s="1639"/>
    </row>
    <row customHeight="1" ht="27.75">
      <c r="C6" s="1533"/>
      <c r="D6" s="2067" t="s">
        <v>398</v>
      </c>
      <c r="E6" s="2067"/>
      <c r="F6" s="2067"/>
      <c r="G6" s="2067"/>
      <c r="H6" s="2067"/>
      <c r="I6" s="2067"/>
      <c r="J6" s="487"/>
      <c r="K6" s="1640"/>
    </row>
    <row customHeight="1" ht="17.25">
      <c r="C7" s="1533"/>
      <c r="D7" s="2035" t="str">
        <f>IF(org=0,"Не определено",org)</f>
        <v>ПАО "ТГК-1" филиал "Невский"</v>
      </c>
      <c r="E7" s="2035"/>
      <c r="F7" s="2035"/>
      <c r="G7" s="2035"/>
      <c r="H7" s="2035"/>
      <c r="I7" s="2035"/>
      <c r="J7" s="487"/>
      <c r="K7" s="1640"/>
    </row>
    <row s="1637" customFormat="1" customHeight="1" ht="6">
      <c r="A8" s="1636"/>
      <c r="C8" s="482"/>
      <c r="D8" s="481"/>
      <c r="E8" s="481"/>
      <c r="F8" s="481"/>
      <c r="G8" s="481"/>
      <c r="H8" s="481"/>
      <c r="I8" s="481"/>
      <c r="J8" s="481"/>
      <c r="L8" s="1639"/>
      <c r="M8" s="1639"/>
      <c r="N8" s="1639"/>
      <c r="O8" s="1639"/>
      <c r="P8" s="1639"/>
      <c r="Q8" s="1639"/>
      <c r="R8" s="1639"/>
      <c r="S8" s="1639"/>
      <c r="T8" s="1639"/>
      <c r="U8" s="1639"/>
    </row>
    <row s="1637" customFormat="1" customHeight="1" ht="6">
      <c r="A9" s="1636"/>
      <c r="C9" s="482"/>
      <c r="D9" s="481"/>
      <c r="E9" s="481"/>
      <c r="F9" s="481"/>
      <c r="G9" s="481"/>
      <c r="H9" s="481"/>
      <c r="I9" s="481"/>
      <c r="J9" s="481"/>
      <c r="L9" s="1647"/>
      <c r="M9" s="1647"/>
      <c r="N9" s="1647"/>
      <c r="O9" s="1647"/>
      <c r="P9" s="1647"/>
      <c r="Q9" s="1647"/>
      <c r="R9" s="1647"/>
      <c r="S9" s="1647"/>
      <c r="T9" s="1647"/>
      <c r="U9" s="1647"/>
    </row>
    <row customHeight="1" ht="14.25">
      <c r="C10" s="1533"/>
      <c r="D10" s="2050" t="s">
        <v>312</v>
      </c>
      <c r="E10" s="2065"/>
      <c r="F10" s="2065"/>
      <c r="G10" s="2065"/>
      <c r="H10" s="2065"/>
      <c r="I10" s="2065"/>
      <c r="J10" s="2049" t="s">
        <v>313</v>
      </c>
    </row>
    <row customHeight="1" ht="25.5">
      <c r="C11" s="1533"/>
      <c r="D11" s="1953" t="s">
        <v>87</v>
      </c>
      <c r="E11" s="2049" t="str">
        <f>IF(TEMPLATE_SPHERE&lt;&gt;"HEAT","Регулируемый вид деятельности","Вид регулируемой деятельности")</f>
        <v>Вид регулируемой деятельности</v>
      </c>
      <c r="F11" s="2011" t="s">
        <v>87</v>
      </c>
      <c r="G11" s="2012"/>
      <c r="H11" s="2010" t="s">
        <v>399</v>
      </c>
      <c r="I11" s="2010" t="s">
        <v>400</v>
      </c>
      <c r="J11" s="2049"/>
    </row>
    <row customHeight="1" ht="14.25">
      <c r="C12" s="1533"/>
      <c r="D12" s="1953"/>
      <c r="E12" s="2049"/>
      <c r="F12" s="2019"/>
      <c r="G12" s="2020"/>
      <c r="H12" s="2072"/>
      <c r="I12" s="2072"/>
      <c r="J12" s="2049"/>
    </row>
    <row s="1666" customFormat="1" customHeight="1" ht="11.25" hidden="1">
      <c r="C13" s="494"/>
      <c r="D13" s="495" t="s">
        <v>390</v>
      </c>
      <c r="E13" s="495"/>
      <c r="F13" s="495"/>
      <c r="G13" s="495"/>
      <c r="H13" s="493"/>
      <c r="I13" s="493"/>
      <c r="J13" s="431"/>
      <c r="L13" s="1639"/>
      <c r="M13" s="1639"/>
      <c r="N13" s="1639"/>
      <c r="O13" s="1639"/>
      <c r="P13" s="1639"/>
      <c r="Q13" s="1639"/>
      <c r="R13" s="1639"/>
      <c r="S13" s="1639"/>
      <c r="T13" s="1639"/>
      <c r="U13" s="1639"/>
    </row>
    <row customHeight="1" ht="14.25">
      <c r="A14" s="1632"/>
      <c r="C14" s="1533"/>
      <c r="D14" s="2068" t="s">
        <v>108</v>
      </c>
      <c r="E14" s="2070"/>
      <c r="F14" s="1642"/>
      <c r="G14" s="1641" t="s">
        <v>108</v>
      </c>
      <c r="H14" s="1648"/>
      <c r="I14" s="1646"/>
      <c r="J14" s="1997" t="s">
        <v>401</v>
      </c>
      <c r="K14" s="1632"/>
      <c r="R14" s="496" t="s">
        <v>395</v>
      </c>
      <c r="S14" s="496" t="s">
        <v>395</v>
      </c>
    </row>
    <row customHeight="1" ht="14.25">
      <c r="A15" s="1632"/>
      <c r="C15" s="1533"/>
      <c r="D15" s="2069"/>
      <c r="E15" s="2071"/>
      <c r="F15" s="402"/>
      <c r="G15" s="863"/>
      <c r="H15" s="863" t="s">
        <v>397</v>
      </c>
      <c r="I15" s="295"/>
      <c r="J15" s="1998"/>
      <c r="K15" s="1632"/>
      <c r="R15" s="496"/>
      <c r="S15" s="496"/>
    </row>
    <row customHeight="1" ht="14.25">
      <c r="A16" s="1632"/>
      <c r="C16" s="1533"/>
      <c r="D16" s="402"/>
      <c r="E16" s="863" t="s">
        <v>120</v>
      </c>
      <c r="F16" s="295"/>
      <c r="G16" s="295"/>
      <c r="H16" s="403"/>
      <c r="I16" s="403"/>
      <c r="J16" s="1999"/>
      <c r="K16" s="1632"/>
    </row>
    <row customHeight="1" ht="14.25">
      <c r="K17" s="1632"/>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0599BD-0752-69DA-E638-45624A10E7E5}"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1657" width="9.140625" hidden="1" customWidth="1"/>
    <col min="2" max="3" style="1660" width="9.140625" hidden="1" customWidth="1"/>
    <col min="4" max="4" style="1866" width="3.7109375" customWidth="1"/>
    <col min="5" max="5" style="1660" width="6.28125" customWidth="1"/>
    <col min="6" max="6" style="1660" width="1.7109375" hidden="1" customWidth="1"/>
    <col min="7" max="8" style="1660" width="30.7109375" customWidth="1"/>
    <col min="9" max="9" style="1660" width="9.00390625" customWidth="1"/>
    <col min="10" max="10" style="1660" width="12.140625" customWidth="1"/>
    <col min="11" max="11" style="1660" width="46.7109375" customWidth="1"/>
    <col min="12" max="12" style="1660" width="100.28125" customWidth="1"/>
    <col min="13" max="13" style="1844" width="7.57421875" customWidth="1"/>
    <col min="14" max="22" style="1660" width="10.57421875"/>
  </cols>
  <sheetData>
    <row s="1667" customFormat="1" customHeight="1" ht="5.25" hidden="1">
      <c r="C1" s="507"/>
      <c r="D1" s="490"/>
      <c r="F1" s="507"/>
      <c r="G1" s="485" t="s">
        <v>82</v>
      </c>
      <c r="H1" s="485" t="s">
        <v>83</v>
      </c>
      <c r="I1" s="485" t="s">
        <v>84</v>
      </c>
      <c r="P1" s="485" t="s">
        <v>82</v>
      </c>
      <c r="Q1" s="485" t="s">
        <v>83</v>
      </c>
      <c r="R1" s="485" t="s">
        <v>84</v>
      </c>
    </row>
    <row s="1667" customFormat="1" customHeight="1" ht="5.25" hidden="1">
      <c r="C2" s="507"/>
      <c r="D2" s="490"/>
      <c r="F2" s="507"/>
    </row>
    <row s="1637" customFormat="1" customHeight="1" ht="6">
      <c r="A3" s="475"/>
      <c r="D3" s="482"/>
      <c r="E3" s="477"/>
      <c r="F3" s="477"/>
      <c r="G3" s="477"/>
      <c r="H3" s="477"/>
      <c r="I3" s="478"/>
      <c r="J3" s="479"/>
      <c r="K3" s="479"/>
      <c r="L3" s="479"/>
    </row>
    <row customHeight="1" ht="22.5">
      <c r="D4" s="446"/>
      <c r="E4" s="2073" t="s">
        <v>402</v>
      </c>
      <c r="F4" s="2073"/>
      <c r="G4" s="2074"/>
      <c r="H4" s="2074"/>
      <c r="I4" s="2075"/>
      <c r="J4" s="487"/>
      <c r="K4" s="449"/>
      <c r="L4" s="449"/>
    </row>
    <row s="1660" customFormat="1" customHeight="1" ht="17.25">
      <c r="A5" s="754"/>
      <c r="D5" s="816"/>
      <c r="E5" s="2061" t="str">
        <f>IF(org=0,"Не определено",org)</f>
        <v>ПАО "ТГК-1" филиал "Невский"</v>
      </c>
      <c r="F5" s="2061"/>
      <c r="G5" s="2062"/>
      <c r="H5" s="2062"/>
      <c r="I5" s="2063"/>
      <c r="J5" s="487"/>
      <c r="K5" s="449"/>
      <c r="L5" s="449"/>
      <c r="M5" s="503"/>
    </row>
    <row s="1637" customFormat="1" customHeight="1" ht="11.25">
      <c r="A6" s="475"/>
      <c r="D6" s="482"/>
      <c r="E6" s="477"/>
      <c r="F6" s="477"/>
      <c r="G6" s="480"/>
      <c r="H6" s="480"/>
      <c r="I6" s="481"/>
      <c r="J6" s="481"/>
      <c r="K6" s="747"/>
      <c r="L6" s="481"/>
    </row>
    <row customHeight="1" ht="14.25">
      <c r="D7" s="446"/>
      <c r="E7" s="2043" t="s">
        <v>312</v>
      </c>
      <c r="F7" s="2043"/>
      <c r="G7" s="2044"/>
      <c r="H7" s="2044"/>
      <c r="I7" s="2044"/>
      <c r="J7" s="2044"/>
      <c r="K7" s="2044"/>
      <c r="L7" s="2049" t="s">
        <v>313</v>
      </c>
    </row>
    <row customHeight="1" ht="45">
      <c r="D8" s="446"/>
      <c r="E8" s="469" t="s">
        <v>87</v>
      </c>
      <c r="F8" s="817"/>
      <c r="G8" s="461" t="s">
        <v>85</v>
      </c>
      <c r="H8" s="461" t="s">
        <v>86</v>
      </c>
      <c r="I8" s="411" t="s">
        <v>84</v>
      </c>
      <c r="J8" s="411" t="s">
        <v>403</v>
      </c>
      <c r="K8" s="411" t="s">
        <v>404</v>
      </c>
      <c r="L8" s="2049"/>
    </row>
    <row customHeight="1" ht="12" hidden="1">
      <c r="D9" s="483"/>
      <c r="E9" s="489"/>
      <c r="F9" s="824"/>
      <c r="G9" s="489"/>
      <c r="H9" s="489"/>
      <c r="I9" s="489"/>
      <c r="J9" s="489"/>
      <c r="K9" s="489"/>
      <c r="L9" s="489"/>
      <c r="M9" s="443"/>
    </row>
    <row customHeight="1" ht="14.25" hidden="1">
      <c r="A10" s="501"/>
      <c r="B10" s="501"/>
      <c r="D10" s="502"/>
      <c r="E10" s="508">
        <v>0</v>
      </c>
      <c r="F10" s="815"/>
      <c r="G10" s="504"/>
      <c r="H10" s="504"/>
      <c r="I10" s="504"/>
      <c r="J10" s="504"/>
      <c r="K10" s="504"/>
      <c r="L10" s="2059" t="s">
        <v>405</v>
      </c>
      <c r="M10" s="503"/>
      <c r="N10" s="501"/>
      <c r="O10" s="501"/>
      <c r="P10" s="501"/>
      <c r="Q10" s="501"/>
      <c r="R10" s="501"/>
      <c r="S10" s="501"/>
      <c r="T10" s="501"/>
      <c r="U10" s="501"/>
      <c r="V10" s="501"/>
    </row>
    <row customHeight="1" ht="15" hidden="1">
      <c r="A11" s="1935"/>
      <c r="B11" s="500"/>
      <c r="C11" s="500"/>
      <c r="D11" s="859"/>
      <c r="E11" s="509"/>
      <c r="F11" s="509"/>
      <c r="G11" s="509"/>
      <c r="H11" s="509"/>
      <c r="I11" s="510"/>
      <c r="J11" s="511"/>
      <c r="K11" s="708"/>
      <c r="L11" s="2076"/>
      <c r="M11" s="507"/>
      <c r="N11" s="507"/>
      <c r="O11" s="507"/>
      <c r="P11" s="512"/>
      <c r="Q11" s="512"/>
      <c r="R11" s="513"/>
      <c r="S11" s="507"/>
      <c r="T11" s="507"/>
      <c r="U11" s="507"/>
      <c r="V11" s="507"/>
    </row>
    <row s="1637" customFormat="1" customHeight="1" ht="14.25">
      <c r="A12" s="1935"/>
      <c r="B12" s="500"/>
      <c r="C12" s="500"/>
      <c r="D12" s="860"/>
      <c r="E12" s="817">
        <v>1</v>
      </c>
      <c r="F12" s="858">
        <v>23</v>
      </c>
      <c r="G12" s="857"/>
      <c r="H12" s="787"/>
      <c r="I12" s="785"/>
      <c r="J12" s="516" t="s">
        <v>61</v>
      </c>
      <c r="K12" s="1159" t="s">
        <v>24</v>
      </c>
      <c r="L12" s="2076"/>
      <c r="M12" s="507"/>
      <c r="N12" s="507"/>
      <c r="O12" s="507"/>
      <c r="P12" s="512" t="s">
        <v>406</v>
      </c>
      <c r="Q12" s="512" t="s">
        <v>407</v>
      </c>
      <c r="R12" s="513" t="s">
        <v>408</v>
      </c>
      <c r="S12" s="507" t="s">
        <v>409</v>
      </c>
      <c r="T12" s="507"/>
      <c r="U12" s="507"/>
      <c r="V12" s="507"/>
    </row>
    <row customHeight="1" ht="15">
      <c r="A13" s="1935"/>
      <c r="B13" s="501"/>
      <c r="D13" s="502"/>
      <c r="E13" s="402"/>
      <c r="F13" s="525"/>
      <c r="G13" s="413" t="s">
        <v>101</v>
      </c>
      <c r="H13" s="401"/>
      <c r="I13" s="401"/>
      <c r="J13" s="401"/>
      <c r="K13" s="400"/>
      <c r="L13" s="2060"/>
      <c r="M13" s="505"/>
      <c r="N13" s="501"/>
      <c r="O13" s="501"/>
      <c r="P13" s="501"/>
      <c r="Q13" s="501"/>
      <c r="R13" s="501"/>
      <c r="S13" s="501"/>
      <c r="T13" s="501"/>
      <c r="U13" s="501"/>
      <c r="V13" s="501"/>
    </row>
    <row customHeight="1" ht="11.25">
      <c r="A14" s="475"/>
      <c r="B14" s="476"/>
      <c r="C14" s="476"/>
      <c r="D14" s="491"/>
      <c r="E14" s="476"/>
      <c r="F14" s="476"/>
      <c r="G14" s="476"/>
      <c r="H14" s="476"/>
      <c r="I14" s="476"/>
      <c r="J14" s="476"/>
      <c r="K14" s="476"/>
      <c r="L14" s="476"/>
      <c r="M14" s="476"/>
      <c r="N14" s="476"/>
      <c r="O14" s="476"/>
      <c r="P14" s="476"/>
      <c r="Q14" s="476"/>
      <c r="R14" s="476"/>
      <c r="S14" s="476"/>
      <c r="T14" s="476"/>
      <c r="U14" s="476"/>
      <c r="V14" s="476"/>
    </row>
    <row customHeight="1" ht="14.25">
      <c r="D15" s="462"/>
      <c r="E15" s="324"/>
      <c r="F15" s="324"/>
      <c r="G15" s="65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62"/>
      <c r="I15" s="462"/>
      <c r="J15" s="462"/>
      <c r="K15" s="462"/>
      <c r="L15" s="462"/>
    </row>
    <row r="18" customHeight="1" ht="14.25">
      <c r="G18" s="50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433115-94B4-37AA-75AD-0678CB1E829E}" mc:Ignorable="x14ac xr xr2 xr3">
  <sheetPr>
    <tabColor theme="6" tint="0.4"/>
  </sheetPr>
  <dimension ref="A1:DL114"/>
  <sheetViews>
    <sheetView topLeftCell="P76" showGridLines="0" zoomScale="90" workbookViewId="0">
      <selection activeCell="BJ85" sqref="BJ85"/>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customWidth="1"/>
    <col min="109" max="109" width="10.57421875" hidden="1"/>
    <col min="110" max="110" style="1660" width="4.7109375" customWidth="1"/>
    <col min="111" max="111" style="1660" width="115.7109375" customWidth="1"/>
    <col min="112" max="113" style="1667" width="10.57421875"/>
    <col min="114" max="114" style="1667" width="11.140625" customWidth="1"/>
    <col min="115" max="116" style="1667" width="10.57421875"/>
  </cols>
  <sheetData>
    <row customHeight="1" ht="14.25" hidden="1">
      <c r="Y1" s="315"/>
      <c r="Z1" s="315"/>
      <c r="AG1" s="315"/>
      <c r="AH1" s="315"/>
      <c r="AL1" s="1660"/>
      <c r="AM1" s="1660"/>
      <c r="AN1" s="1660"/>
      <c r="AO1" s="1660"/>
      <c r="AP1" s="1660"/>
      <c r="AQ1" s="1660"/>
      <c r="AR1" s="1660"/>
      <c r="AS1" s="1660"/>
      <c r="AT1" s="1660"/>
      <c r="AU1" s="1660"/>
      <c r="AV1" s="1660"/>
      <c r="AW1" s="1660"/>
      <c r="AX1" s="1660"/>
      <c r="AY1" s="1660"/>
      <c r="AZ1" s="1660"/>
      <c r="BA1" s="1660"/>
      <c r="BB1" s="1660"/>
      <c r="BC1" s="1660"/>
      <c r="BD1" s="1660"/>
      <c r="BE1" s="1660"/>
      <c r="BF1" s="1660"/>
      <c r="BG1" s="1660"/>
      <c r="BH1" s="1660"/>
      <c r="BI1" s="1660"/>
      <c r="BJ1" s="1660"/>
      <c r="BK1" s="1660"/>
      <c r="BL1" s="1660"/>
      <c r="BM1" s="1660"/>
      <c r="BN1" s="1660"/>
      <c r="BO1" s="1660"/>
      <c r="BP1" s="1660"/>
      <c r="BQ1" s="1660"/>
      <c r="BR1" s="1660"/>
      <c r="BS1" s="1660"/>
      <c r="BT1" s="1660"/>
      <c r="BU1" s="1660"/>
      <c r="BV1" s="1660"/>
      <c r="BW1" s="1660"/>
      <c r="BX1" s="1660"/>
      <c r="BY1" s="1660"/>
      <c r="BZ1" s="1660"/>
      <c r="CA1" s="1660"/>
      <c r="CB1" s="1660"/>
      <c r="CC1" s="1660"/>
      <c r="CD1" s="1660"/>
      <c r="CE1" s="1660"/>
      <c r="CF1" s="1660"/>
      <c r="CG1" s="1660"/>
      <c r="CH1" s="1660"/>
      <c r="CI1" s="1660"/>
      <c r="CJ1" s="1660"/>
      <c r="CK1" s="1660"/>
      <c r="CL1" s="1660"/>
      <c r="CM1" s="1660"/>
      <c r="CN1" s="1660"/>
      <c r="CO1" s="1660"/>
      <c r="CP1" s="1660"/>
      <c r="CQ1" s="1660"/>
      <c r="CR1" s="1660"/>
      <c r="CS1" s="1660"/>
      <c r="CT1" s="1660"/>
      <c r="CU1" s="1660"/>
      <c r="CV1" s="1660"/>
      <c r="CW1" s="1660"/>
      <c r="CX1" s="1660"/>
      <c r="CY1" s="1660"/>
      <c r="CZ1" s="1660"/>
      <c r="DA1" s="1660"/>
      <c r="DB1" s="1660"/>
      <c r="DC1" s="1660"/>
      <c r="DD1" s="1660"/>
      <c r="DE1" s="1660"/>
    </row>
    <row customHeight="1" ht="21" hidden="1">
      <c r="A2" s="1380"/>
      <c r="B2" s="1380"/>
      <c r="C2" s="1380"/>
      <c r="D2" s="1380"/>
      <c r="E2" s="2089">
        <v>1</v>
      </c>
      <c r="F2" s="1380"/>
      <c r="G2" s="1380"/>
      <c r="H2" s="1380"/>
      <c r="I2" s="1380"/>
      <c r="J2" s="1380"/>
      <c r="K2" s="1380"/>
      <c r="L2" s="1381"/>
      <c r="M2" s="1382"/>
      <c r="N2" s="1382"/>
      <c r="O2" s="1382"/>
      <c r="P2" s="349"/>
      <c r="Q2" s="348"/>
      <c r="R2" s="343"/>
      <c r="S2" s="1326">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3"/>
      <c r="AM2" s="2084"/>
      <c r="AN2" s="2084"/>
      <c r="AO2" s="2084"/>
      <c r="AP2" s="2084"/>
      <c r="AQ2" s="2084"/>
      <c r="AR2" s="2084"/>
      <c r="AS2" s="2085"/>
      <c r="AT2" s="2083"/>
      <c r="AU2" s="2084"/>
      <c r="AV2" s="2084"/>
      <c r="AW2" s="2084"/>
      <c r="AX2" s="2084"/>
      <c r="AY2" s="2084"/>
      <c r="AZ2" s="2084"/>
      <c r="BA2" s="2085"/>
      <c r="BB2" s="2083"/>
      <c r="BC2" s="2084"/>
      <c r="BD2" s="2084"/>
      <c r="BE2" s="2084"/>
      <c r="BF2" s="2084"/>
      <c r="BG2" s="2084"/>
      <c r="BH2" s="2084"/>
      <c r="BI2" s="2085"/>
      <c r="BJ2" s="2083"/>
      <c r="BK2" s="2084"/>
      <c r="BL2" s="2084"/>
      <c r="BM2" s="2084"/>
      <c r="BN2" s="2084"/>
      <c r="BO2" s="2084"/>
      <c r="BP2" s="2084"/>
      <c r="BQ2" s="2085"/>
      <c r="BR2" s="2083"/>
      <c r="BS2" s="2084"/>
      <c r="BT2" s="2084"/>
      <c r="BU2" s="2084"/>
      <c r="BV2" s="2084"/>
      <c r="BW2" s="2084"/>
      <c r="BX2" s="2084"/>
      <c r="BY2" s="2085"/>
      <c r="BZ2" s="2083"/>
      <c r="CA2" s="2084"/>
      <c r="CB2" s="2084"/>
      <c r="CC2" s="2084"/>
      <c r="CD2" s="2084"/>
      <c r="CE2" s="2084"/>
      <c r="CF2" s="2084"/>
      <c r="CG2" s="2085"/>
      <c r="CH2" s="2083"/>
      <c r="CI2" s="2084"/>
      <c r="CJ2" s="2084"/>
      <c r="CK2" s="2084"/>
      <c r="CL2" s="2084"/>
      <c r="CM2" s="2084"/>
      <c r="CN2" s="2084"/>
      <c r="CO2" s="2085"/>
      <c r="CP2" s="2083"/>
      <c r="CQ2" s="2084"/>
      <c r="CR2" s="2084"/>
      <c r="CS2" s="2084"/>
      <c r="CT2" s="2084"/>
      <c r="CU2" s="2084"/>
      <c r="CV2" s="2084"/>
      <c r="CW2" s="2085"/>
      <c r="CX2" s="2083"/>
      <c r="CY2" s="2084"/>
      <c r="CZ2" s="2084"/>
      <c r="DA2" s="2084"/>
      <c r="DB2" s="2084"/>
      <c r="DC2" s="2084"/>
      <c r="DD2" s="2084"/>
      <c r="DE2" s="2085"/>
      <c r="DF2" s="2085"/>
      <c r="DG2" s="1273" t="s">
        <v>410</v>
      </c>
      <c r="DI2" s="496"/>
      <c r="DJ2" s="496" t="str">
        <f>IF(T2="","",T2)</f>
        <v>Наименование тарифа</v>
      </c>
      <c r="DK2" s="496"/>
      <c r="DL2" s="496"/>
    </row>
    <row customHeight="1" ht="21" hidden="1">
      <c r="A3" s="1380"/>
      <c r="B3" s="1380"/>
      <c r="C3" s="1380"/>
      <c r="D3" s="1380"/>
      <c r="E3" s="2090"/>
      <c r="F3" s="2089">
        <v>1</v>
      </c>
      <c r="G3" s="1380"/>
      <c r="H3" s="1380"/>
      <c r="I3" s="1380"/>
      <c r="J3" s="1380"/>
      <c r="K3" s="1380"/>
      <c r="L3" s="1381"/>
      <c r="M3" s="1382"/>
      <c r="N3" s="1382"/>
      <c r="O3" s="1382"/>
      <c r="P3" s="1321"/>
      <c r="Q3" s="340"/>
      <c r="R3" s="341"/>
      <c r="S3" s="1326">
        <f>INDEX(PT_DIFFERENTIATION_NUM_TER,MATCH(B3,PT_DIFFERENTIATION_TER_ID,0))</f>
      </c>
      <c r="T3" s="290" t="s">
        <v>411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3"/>
      <c r="AM3" s="2084"/>
      <c r="AN3" s="2084"/>
      <c r="AO3" s="2084"/>
      <c r="AP3" s="2084"/>
      <c r="AQ3" s="2084"/>
      <c r="AR3" s="2084"/>
      <c r="AS3" s="2085"/>
      <c r="AT3" s="2083"/>
      <c r="AU3" s="2084"/>
      <c r="AV3" s="2084"/>
      <c r="AW3" s="2084"/>
      <c r="AX3" s="2084"/>
      <c r="AY3" s="2084"/>
      <c r="AZ3" s="2084"/>
      <c r="BA3" s="2085"/>
      <c r="BB3" s="2083"/>
      <c r="BC3" s="2084"/>
      <c r="BD3" s="2084"/>
      <c r="BE3" s="2084"/>
      <c r="BF3" s="2084"/>
      <c r="BG3" s="2084"/>
      <c r="BH3" s="2084"/>
      <c r="BI3" s="2085"/>
      <c r="BJ3" s="2083"/>
      <c r="BK3" s="2084"/>
      <c r="BL3" s="2084"/>
      <c r="BM3" s="2084"/>
      <c r="BN3" s="2084"/>
      <c r="BO3" s="2084"/>
      <c r="BP3" s="2084"/>
      <c r="BQ3" s="2085"/>
      <c r="BR3" s="2083"/>
      <c r="BS3" s="2084"/>
      <c r="BT3" s="2084"/>
      <c r="BU3" s="2084"/>
      <c r="BV3" s="2084"/>
      <c r="BW3" s="2084"/>
      <c r="BX3" s="2084"/>
      <c r="BY3" s="2085"/>
      <c r="BZ3" s="2083"/>
      <c r="CA3" s="2084"/>
      <c r="CB3" s="2084"/>
      <c r="CC3" s="2084"/>
      <c r="CD3" s="2084"/>
      <c r="CE3" s="2084"/>
      <c r="CF3" s="2084"/>
      <c r="CG3" s="2085"/>
      <c r="CH3" s="2083"/>
      <c r="CI3" s="2084"/>
      <c r="CJ3" s="2084"/>
      <c r="CK3" s="2084"/>
      <c r="CL3" s="2084"/>
      <c r="CM3" s="2084"/>
      <c r="CN3" s="2084"/>
      <c r="CO3" s="2085"/>
      <c r="CP3" s="2083"/>
      <c r="CQ3" s="2084"/>
      <c r="CR3" s="2084"/>
      <c r="CS3" s="2084"/>
      <c r="CT3" s="2084"/>
      <c r="CU3" s="2084"/>
      <c r="CV3" s="2084"/>
      <c r="CW3" s="2085"/>
      <c r="CX3" s="2083"/>
      <c r="CY3" s="2084"/>
      <c r="CZ3" s="2084"/>
      <c r="DA3" s="2084"/>
      <c r="DB3" s="2084"/>
      <c r="DC3" s="2084"/>
      <c r="DD3" s="2084"/>
      <c r="DE3" s="2085"/>
      <c r="DF3" s="2085"/>
      <c r="DG3" s="1273" t="s">
        <v>412</v>
      </c>
      <c r="DI3" s="496"/>
      <c r="DJ3" s="496" t="str">
        <f>IF(T3="","",T3)</f>
        <v>Территория действия тарифа</v>
      </c>
      <c r="DK3" s="496"/>
      <c r="DL3" s="496"/>
    </row>
    <row customHeight="1" ht="23.25" hidden="1">
      <c r="A4" s="1380"/>
      <c r="B4" s="1380"/>
      <c r="C4" s="1380"/>
      <c r="D4" s="1380"/>
      <c r="E4" s="2090"/>
      <c r="F4" s="2090"/>
      <c r="G4" s="2089">
        <v>1</v>
      </c>
      <c r="H4" s="1380"/>
      <c r="I4" s="1380"/>
      <c r="J4" s="1380"/>
      <c r="K4" s="1380"/>
      <c r="L4" s="1381"/>
      <c r="M4" s="1382"/>
      <c r="N4" s="1382"/>
      <c r="O4" s="1382"/>
      <c r="P4" s="342"/>
      <c r="Q4" s="340"/>
      <c r="R4" s="341"/>
      <c r="S4" s="1326">
        <f>INDEX(PT_DIFFERENTIATION_NUM_CS,MATCH(C4,PT_DIFFERENTIATION_CS_ID,0))</f>
      </c>
      <c r="T4" s="291" t="s">
        <v>413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3"/>
      <c r="AM4" s="2084"/>
      <c r="AN4" s="2084"/>
      <c r="AO4" s="2084"/>
      <c r="AP4" s="2084"/>
      <c r="AQ4" s="2084"/>
      <c r="AR4" s="2084"/>
      <c r="AS4" s="2085"/>
      <c r="AT4" s="2083"/>
      <c r="AU4" s="2084"/>
      <c r="AV4" s="2084"/>
      <c r="AW4" s="2084"/>
      <c r="AX4" s="2084"/>
      <c r="AY4" s="2084"/>
      <c r="AZ4" s="2084"/>
      <c r="BA4" s="2085"/>
      <c r="BB4" s="2083"/>
      <c r="BC4" s="2084"/>
      <c r="BD4" s="2084"/>
      <c r="BE4" s="2084"/>
      <c r="BF4" s="2084"/>
      <c r="BG4" s="2084"/>
      <c r="BH4" s="2084"/>
      <c r="BI4" s="2085"/>
      <c r="BJ4" s="2083"/>
      <c r="BK4" s="2084"/>
      <c r="BL4" s="2084"/>
      <c r="BM4" s="2084"/>
      <c r="BN4" s="2084"/>
      <c r="BO4" s="2084"/>
      <c r="BP4" s="2084"/>
      <c r="BQ4" s="2085"/>
      <c r="BR4" s="2083"/>
      <c r="BS4" s="2084"/>
      <c r="BT4" s="2084"/>
      <c r="BU4" s="2084"/>
      <c r="BV4" s="2084"/>
      <c r="BW4" s="2084"/>
      <c r="BX4" s="2084"/>
      <c r="BY4" s="2085"/>
      <c r="BZ4" s="2083"/>
      <c r="CA4" s="2084"/>
      <c r="CB4" s="2084"/>
      <c r="CC4" s="2084"/>
      <c r="CD4" s="2084"/>
      <c r="CE4" s="2084"/>
      <c r="CF4" s="2084"/>
      <c r="CG4" s="2085"/>
      <c r="CH4" s="2083"/>
      <c r="CI4" s="2084"/>
      <c r="CJ4" s="2084"/>
      <c r="CK4" s="2084"/>
      <c r="CL4" s="2084"/>
      <c r="CM4" s="2084"/>
      <c r="CN4" s="2084"/>
      <c r="CO4" s="2085"/>
      <c r="CP4" s="2083"/>
      <c r="CQ4" s="2084"/>
      <c r="CR4" s="2084"/>
      <c r="CS4" s="2084"/>
      <c r="CT4" s="2084"/>
      <c r="CU4" s="2084"/>
      <c r="CV4" s="2084"/>
      <c r="CW4" s="2085"/>
      <c r="CX4" s="2083"/>
      <c r="CY4" s="2084"/>
      <c r="CZ4" s="2084"/>
      <c r="DA4" s="2084"/>
      <c r="DB4" s="2084"/>
      <c r="DC4" s="2084"/>
      <c r="DD4" s="2084"/>
      <c r="DE4" s="2085"/>
      <c r="DF4" s="2085"/>
      <c r="DG4" s="1273" t="s">
        <v>414</v>
      </c>
      <c r="DI4" s="496"/>
      <c r="DJ4" s="496" t="str">
        <f>IF(T4="","",T4)</f>
        <v>Наименование системы теплоснабжения </v>
      </c>
      <c r="DK4" s="496"/>
      <c r="DL4" s="496"/>
    </row>
    <row customHeight="1" ht="21" hidden="1">
      <c r="A5" s="1380"/>
      <c r="B5" s="1380"/>
      <c r="C5" s="1380"/>
      <c r="D5" s="1380"/>
      <c r="E5" s="2090"/>
      <c r="F5" s="2090"/>
      <c r="G5" s="2090"/>
      <c r="H5" s="2089">
        <v>1</v>
      </c>
      <c r="I5" s="1380"/>
      <c r="J5" s="1380"/>
      <c r="K5" s="1380"/>
      <c r="L5" s="1381"/>
      <c r="M5" s="1382"/>
      <c r="N5" s="1382"/>
      <c r="O5" s="1382"/>
      <c r="P5" s="342"/>
      <c r="Q5" s="340"/>
      <c r="R5" s="341"/>
      <c r="S5" s="1326">
        <f>INDEX(PT_DIFFERENTIATION_NUM_IST_TE,MATCH(D5,PT_DIFFERENTIATION_IST_TE_ID,0))</f>
      </c>
      <c r="T5" s="292" t="s">
        <v>415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3"/>
      <c r="AM5" s="2084"/>
      <c r="AN5" s="2084"/>
      <c r="AO5" s="2084"/>
      <c r="AP5" s="2084"/>
      <c r="AQ5" s="2084"/>
      <c r="AR5" s="2084"/>
      <c r="AS5" s="2085"/>
      <c r="AT5" s="2083"/>
      <c r="AU5" s="2084"/>
      <c r="AV5" s="2084"/>
      <c r="AW5" s="2084"/>
      <c r="AX5" s="2084"/>
      <c r="AY5" s="2084"/>
      <c r="AZ5" s="2084"/>
      <c r="BA5" s="2085"/>
      <c r="BB5" s="2083"/>
      <c r="BC5" s="2084"/>
      <c r="BD5" s="2084"/>
      <c r="BE5" s="2084"/>
      <c r="BF5" s="2084"/>
      <c r="BG5" s="2084"/>
      <c r="BH5" s="2084"/>
      <c r="BI5" s="2085"/>
      <c r="BJ5" s="2083"/>
      <c r="BK5" s="2084"/>
      <c r="BL5" s="2084"/>
      <c r="BM5" s="2084"/>
      <c r="BN5" s="2084"/>
      <c r="BO5" s="2084"/>
      <c r="BP5" s="2084"/>
      <c r="BQ5" s="2085"/>
      <c r="BR5" s="2083"/>
      <c r="BS5" s="2084"/>
      <c r="BT5" s="2084"/>
      <c r="BU5" s="2084"/>
      <c r="BV5" s="2084"/>
      <c r="BW5" s="2084"/>
      <c r="BX5" s="2084"/>
      <c r="BY5" s="2085"/>
      <c r="BZ5" s="2083"/>
      <c r="CA5" s="2084"/>
      <c r="CB5" s="2084"/>
      <c r="CC5" s="2084"/>
      <c r="CD5" s="2084"/>
      <c r="CE5" s="2084"/>
      <c r="CF5" s="2084"/>
      <c r="CG5" s="2085"/>
      <c r="CH5" s="2083"/>
      <c r="CI5" s="2084"/>
      <c r="CJ5" s="2084"/>
      <c r="CK5" s="2084"/>
      <c r="CL5" s="2084"/>
      <c r="CM5" s="2084"/>
      <c r="CN5" s="2084"/>
      <c r="CO5" s="2085"/>
      <c r="CP5" s="2083"/>
      <c r="CQ5" s="2084"/>
      <c r="CR5" s="2084"/>
      <c r="CS5" s="2084"/>
      <c r="CT5" s="2084"/>
      <c r="CU5" s="2084"/>
      <c r="CV5" s="2084"/>
      <c r="CW5" s="2085"/>
      <c r="CX5" s="2083"/>
      <c r="CY5" s="2084"/>
      <c r="CZ5" s="2084"/>
      <c r="DA5" s="2084"/>
      <c r="DB5" s="2084"/>
      <c r="DC5" s="2084"/>
      <c r="DD5" s="2084"/>
      <c r="DE5" s="2085"/>
      <c r="DF5" s="2085"/>
      <c r="DG5" s="1273" t="s">
        <v>416</v>
      </c>
      <c r="DI5" s="496"/>
      <c r="DJ5" s="496" t="str">
        <f>IF(T5="","",T5)</f>
        <v>Источник тепловой энергии  </v>
      </c>
      <c r="DK5" s="496"/>
      <c r="DL5" s="496"/>
    </row>
    <row customHeight="1" ht="47.25" hidden="1">
      <c r="A6" s="1380"/>
      <c r="B6" s="1380"/>
      <c r="C6" s="1380"/>
      <c r="D6" s="1380"/>
      <c r="E6" s="2090"/>
      <c r="F6" s="2090"/>
      <c r="G6" s="2090"/>
      <c r="H6" s="2090"/>
      <c r="I6" s="2091">
        <f>S5&amp;".1"</f>
      </c>
      <c r="J6" s="1380"/>
      <c r="K6" s="1380"/>
      <c r="L6" s="1381" t="s">
        <v>417</v>
      </c>
      <c r="M6" s="533"/>
      <c r="P6" s="2093">
        <v>1</v>
      </c>
      <c r="Q6" s="1322"/>
      <c r="R6" s="344"/>
      <c r="S6" s="1326">
        <f>$I6</f>
      </c>
      <c r="T6" s="266" t="s">
        <v>418</v>
      </c>
      <c r="U6" s="280"/>
      <c r="V6" s="2077"/>
      <c r="W6" s="2078"/>
      <c r="X6" s="2078"/>
      <c r="Y6" s="2078"/>
      <c r="Z6" s="2078"/>
      <c r="AA6" s="2078"/>
      <c r="AB6" s="2078"/>
      <c r="AC6" s="2079"/>
      <c r="AD6" s="2077"/>
      <c r="AE6" s="2078"/>
      <c r="AF6" s="2078"/>
      <c r="AG6" s="2078"/>
      <c r="AH6" s="2078"/>
      <c r="AI6" s="2078"/>
      <c r="AJ6" s="2078"/>
      <c r="AK6" s="2078"/>
      <c r="AL6" s="2077"/>
      <c r="AM6" s="2078"/>
      <c r="AN6" s="2078"/>
      <c r="AO6" s="2078"/>
      <c r="AP6" s="2078"/>
      <c r="AQ6" s="2078"/>
      <c r="AR6" s="2078"/>
      <c r="AS6" s="2079"/>
      <c r="AT6" s="2077"/>
      <c r="AU6" s="2078"/>
      <c r="AV6" s="2078"/>
      <c r="AW6" s="2078"/>
      <c r="AX6" s="2078"/>
      <c r="AY6" s="2078"/>
      <c r="AZ6" s="2078"/>
      <c r="BA6" s="2079"/>
      <c r="BB6" s="2077"/>
      <c r="BC6" s="2078"/>
      <c r="BD6" s="2078"/>
      <c r="BE6" s="2078"/>
      <c r="BF6" s="2078"/>
      <c r="BG6" s="2078"/>
      <c r="BH6" s="2078"/>
      <c r="BI6" s="2079"/>
      <c r="BJ6" s="2077"/>
      <c r="BK6" s="2078"/>
      <c r="BL6" s="2078"/>
      <c r="BM6" s="2078"/>
      <c r="BN6" s="2078"/>
      <c r="BO6" s="2078"/>
      <c r="BP6" s="2078"/>
      <c r="BQ6" s="2079"/>
      <c r="BR6" s="2077"/>
      <c r="BS6" s="2078"/>
      <c r="BT6" s="2078"/>
      <c r="BU6" s="2078"/>
      <c r="BV6" s="2078"/>
      <c r="BW6" s="2078"/>
      <c r="BX6" s="2078"/>
      <c r="BY6" s="2079"/>
      <c r="BZ6" s="2077"/>
      <c r="CA6" s="2078"/>
      <c r="CB6" s="2078"/>
      <c r="CC6" s="2078"/>
      <c r="CD6" s="2078"/>
      <c r="CE6" s="2078"/>
      <c r="CF6" s="2078"/>
      <c r="CG6" s="2079"/>
      <c r="CH6" s="2077"/>
      <c r="CI6" s="2078"/>
      <c r="CJ6" s="2078"/>
      <c r="CK6" s="2078"/>
      <c r="CL6" s="2078"/>
      <c r="CM6" s="2078"/>
      <c r="CN6" s="2078"/>
      <c r="CO6" s="2079"/>
      <c r="CP6" s="2077"/>
      <c r="CQ6" s="2078"/>
      <c r="CR6" s="2078"/>
      <c r="CS6" s="2078"/>
      <c r="CT6" s="2078"/>
      <c r="CU6" s="2078"/>
      <c r="CV6" s="2078"/>
      <c r="CW6" s="2079"/>
      <c r="CX6" s="2077"/>
      <c r="CY6" s="2078"/>
      <c r="CZ6" s="2078"/>
      <c r="DA6" s="2078"/>
      <c r="DB6" s="2078"/>
      <c r="DC6" s="2078"/>
      <c r="DD6" s="2078"/>
      <c r="DE6" s="2079"/>
      <c r="DF6" s="2079"/>
      <c r="DG6" s="1273" t="s">
        <v>419</v>
      </c>
      <c r="DI6" s="496"/>
      <c r="DJ6" s="496" t="str">
        <f>IF(T6="","",T6)</f>
        <v>Схема подключения теплопотребляющей установки к коллектору источника тепловой энергии</v>
      </c>
      <c r="DK6" s="496"/>
      <c r="DL6" s="496"/>
    </row>
    <row customHeight="1" ht="21" hidden="1">
      <c r="A7" s="1380"/>
      <c r="B7" s="1380"/>
      <c r="C7" s="1380"/>
      <c r="D7" s="1380"/>
      <c r="E7" s="2090"/>
      <c r="F7" s="2090"/>
      <c r="G7" s="2090"/>
      <c r="H7" s="2090"/>
      <c r="I7" s="2092"/>
      <c r="J7" s="2091">
        <f>I6&amp;".1"</f>
      </c>
      <c r="K7" s="1380"/>
      <c r="L7" s="1381" t="s">
        <v>420</v>
      </c>
      <c r="M7" s="533"/>
      <c r="N7" s="1383"/>
      <c r="P7" s="2093"/>
      <c r="Q7" s="2093">
        <v>1</v>
      </c>
      <c r="R7" s="345"/>
      <c r="S7" s="1326">
        <f>$J7</f>
      </c>
      <c r="T7" s="267" t="s">
        <v>421</v>
      </c>
      <c r="U7" s="280"/>
      <c r="V7" s="2077"/>
      <c r="W7" s="2078"/>
      <c r="X7" s="2078"/>
      <c r="Y7" s="2078"/>
      <c r="Z7" s="2078"/>
      <c r="AA7" s="2078"/>
      <c r="AB7" s="2078"/>
      <c r="AC7" s="2079"/>
      <c r="AD7" s="2077"/>
      <c r="AE7" s="2078"/>
      <c r="AF7" s="2078"/>
      <c r="AG7" s="2078"/>
      <c r="AH7" s="2078"/>
      <c r="AI7" s="2078"/>
      <c r="AJ7" s="2078"/>
      <c r="AK7" s="2078"/>
      <c r="AL7" s="2077"/>
      <c r="AM7" s="2078"/>
      <c r="AN7" s="2078"/>
      <c r="AO7" s="2078"/>
      <c r="AP7" s="2078"/>
      <c r="AQ7" s="2078"/>
      <c r="AR7" s="2078"/>
      <c r="AS7" s="2079"/>
      <c r="AT7" s="2077"/>
      <c r="AU7" s="2078"/>
      <c r="AV7" s="2078"/>
      <c r="AW7" s="2078"/>
      <c r="AX7" s="2078"/>
      <c r="AY7" s="2078"/>
      <c r="AZ7" s="2078"/>
      <c r="BA7" s="2079"/>
      <c r="BB7" s="2077"/>
      <c r="BC7" s="2078"/>
      <c r="BD7" s="2078"/>
      <c r="BE7" s="2078"/>
      <c r="BF7" s="2078"/>
      <c r="BG7" s="2078"/>
      <c r="BH7" s="2078"/>
      <c r="BI7" s="2079"/>
      <c r="BJ7" s="2077"/>
      <c r="BK7" s="2078"/>
      <c r="BL7" s="2078"/>
      <c r="BM7" s="2078"/>
      <c r="BN7" s="2078"/>
      <c r="BO7" s="2078"/>
      <c r="BP7" s="2078"/>
      <c r="BQ7" s="2079"/>
      <c r="BR7" s="2077"/>
      <c r="BS7" s="2078"/>
      <c r="BT7" s="2078"/>
      <c r="BU7" s="2078"/>
      <c r="BV7" s="2078"/>
      <c r="BW7" s="2078"/>
      <c r="BX7" s="2078"/>
      <c r="BY7" s="2079"/>
      <c r="BZ7" s="2077"/>
      <c r="CA7" s="2078"/>
      <c r="CB7" s="2078"/>
      <c r="CC7" s="2078"/>
      <c r="CD7" s="2078"/>
      <c r="CE7" s="2078"/>
      <c r="CF7" s="2078"/>
      <c r="CG7" s="2079"/>
      <c r="CH7" s="2077"/>
      <c r="CI7" s="2078"/>
      <c r="CJ7" s="2078"/>
      <c r="CK7" s="2078"/>
      <c r="CL7" s="2078"/>
      <c r="CM7" s="2078"/>
      <c r="CN7" s="2078"/>
      <c r="CO7" s="2079"/>
      <c r="CP7" s="2077"/>
      <c r="CQ7" s="2078"/>
      <c r="CR7" s="2078"/>
      <c r="CS7" s="2078"/>
      <c r="CT7" s="2078"/>
      <c r="CU7" s="2078"/>
      <c r="CV7" s="2078"/>
      <c r="CW7" s="2079"/>
      <c r="CX7" s="2077"/>
      <c r="CY7" s="2078"/>
      <c r="CZ7" s="2078"/>
      <c r="DA7" s="2078"/>
      <c r="DB7" s="2078"/>
      <c r="DC7" s="2078"/>
      <c r="DD7" s="2078"/>
      <c r="DE7" s="2079"/>
      <c r="DF7" s="2079"/>
      <c r="DG7" s="1273" t="s">
        <v>422</v>
      </c>
      <c r="DI7" s="496"/>
      <c r="DJ7" s="496" t="str">
        <f>IF(T7="","",T7)</f>
        <v>Группа потребителей</v>
      </c>
      <c r="DK7" s="496"/>
      <c r="DL7" s="496"/>
    </row>
    <row customHeight="1" ht="21" hidden="1">
      <c r="A8" s="1380"/>
      <c r="B8" s="1380"/>
      <c r="C8" s="1380"/>
      <c r="D8" s="1380"/>
      <c r="E8" s="2090"/>
      <c r="F8" s="2090"/>
      <c r="G8" s="2090"/>
      <c r="H8" s="2090"/>
      <c r="I8" s="2092"/>
      <c r="J8" s="2092"/>
      <c r="K8" s="2091">
        <f>J7&amp;".1"</f>
      </c>
      <c r="L8" s="1381" t="s">
        <v>423</v>
      </c>
      <c r="M8" s="533"/>
      <c r="N8" s="1383"/>
      <c r="O8" s="1383"/>
      <c r="P8" s="2093"/>
      <c r="Q8" s="2093"/>
      <c r="R8" s="345">
        <v>1</v>
      </c>
      <c r="S8" s="1326">
        <f>$K8</f>
      </c>
      <c r="T8" s="1364"/>
      <c r="U8" s="280"/>
      <c r="V8" s="746"/>
      <c r="W8" s="312"/>
      <c r="X8" s="746"/>
      <c r="Y8" s="1272"/>
      <c r="Z8" s="2094"/>
      <c r="AA8" s="1963" t="s">
        <v>61</v>
      </c>
      <c r="AB8" s="2094"/>
      <c r="AC8" s="1963" t="s">
        <v>61</v>
      </c>
      <c r="AD8" s="746"/>
      <c r="AE8" s="312"/>
      <c r="AF8" s="746"/>
      <c r="AG8" s="1272"/>
      <c r="AH8" s="2094"/>
      <c r="AI8" s="1963" t="s">
        <v>61</v>
      </c>
      <c r="AJ8" s="2094"/>
      <c r="AK8" s="1963" t="s">
        <v>61</v>
      </c>
      <c r="AL8" s="746"/>
      <c r="AM8" s="312"/>
      <c r="AN8" s="746"/>
      <c r="AO8" s="1272"/>
      <c r="AP8" s="2425"/>
      <c r="AQ8" s="1963" t="s">
        <v>61</v>
      </c>
      <c r="AR8" s="2425"/>
      <c r="AS8" s="1963" t="s">
        <v>61</v>
      </c>
      <c r="AT8" s="746"/>
      <c r="AU8" s="312"/>
      <c r="AV8" s="746"/>
      <c r="AW8" s="1272"/>
      <c r="AX8" s="2425"/>
      <c r="AY8" s="1963" t="s">
        <v>61</v>
      </c>
      <c r="AZ8" s="2425"/>
      <c r="BA8" s="1963" t="s">
        <v>61</v>
      </c>
      <c r="BB8" s="746"/>
      <c r="BC8" s="312"/>
      <c r="BD8" s="746"/>
      <c r="BE8" s="1272"/>
      <c r="BF8" s="2425"/>
      <c r="BG8" s="1963" t="s">
        <v>61</v>
      </c>
      <c r="BH8" s="2425"/>
      <c r="BI8" s="1963" t="s">
        <v>61</v>
      </c>
      <c r="BJ8" s="746"/>
      <c r="BK8" s="312"/>
      <c r="BL8" s="746"/>
      <c r="BM8" s="1272"/>
      <c r="BN8" s="2425"/>
      <c r="BO8" s="1963" t="s">
        <v>61</v>
      </c>
      <c r="BP8" s="2425"/>
      <c r="BQ8" s="1963" t="s">
        <v>61</v>
      </c>
      <c r="BR8" s="746"/>
      <c r="BS8" s="312"/>
      <c r="BT8" s="746"/>
      <c r="BU8" s="1272"/>
      <c r="BV8" s="2425"/>
      <c r="BW8" s="1963" t="s">
        <v>61</v>
      </c>
      <c r="BX8" s="2425"/>
      <c r="BY8" s="1963" t="s">
        <v>61</v>
      </c>
      <c r="BZ8" s="746"/>
      <c r="CA8" s="312"/>
      <c r="CB8" s="746"/>
      <c r="CC8" s="1272"/>
      <c r="CD8" s="2425"/>
      <c r="CE8" s="1963" t="s">
        <v>61</v>
      </c>
      <c r="CF8" s="2425"/>
      <c r="CG8" s="1963" t="s">
        <v>61</v>
      </c>
      <c r="CH8" s="746"/>
      <c r="CI8" s="312"/>
      <c r="CJ8" s="746"/>
      <c r="CK8" s="1272"/>
      <c r="CL8" s="2425"/>
      <c r="CM8" s="1963" t="s">
        <v>61</v>
      </c>
      <c r="CN8" s="2425"/>
      <c r="CO8" s="1963" t="s">
        <v>61</v>
      </c>
      <c r="CP8" s="746"/>
      <c r="CQ8" s="312"/>
      <c r="CR8" s="746"/>
      <c r="CS8" s="1272"/>
      <c r="CT8" s="2425"/>
      <c r="CU8" s="1963" t="s">
        <v>61</v>
      </c>
      <c r="CV8" s="2425"/>
      <c r="CW8" s="1963" t="s">
        <v>61</v>
      </c>
      <c r="CX8" s="746"/>
      <c r="CY8" s="312"/>
      <c r="CZ8" s="746"/>
      <c r="DA8" s="1272"/>
      <c r="DB8" s="2425"/>
      <c r="DC8" s="1963" t="s">
        <v>61</v>
      </c>
      <c r="DD8" s="2425"/>
      <c r="DE8" s="1963" t="s">
        <v>61</v>
      </c>
      <c r="DF8" s="312"/>
      <c r="DG8" s="2119" t="s">
        <v>424</v>
      </c>
      <c r="DH8" s="507">
        <f>STRCHECKDATE(V9:DF9)</f>
      </c>
      <c r="DI8" s="496"/>
      <c r="DJ8" s="496" t="str">
        <f>IF(T8="","",T8)</f>
        <v/>
      </c>
      <c r="DK8" s="496"/>
      <c r="DL8" s="496"/>
    </row>
    <row customHeight="1" ht="0.75" hidden="1">
      <c r="A9" s="1380"/>
      <c r="B9" s="1380"/>
      <c r="C9" s="1380"/>
      <c r="D9" s="1380"/>
      <c r="E9" s="2090"/>
      <c r="F9" s="2090"/>
      <c r="G9" s="2090"/>
      <c r="H9" s="2090"/>
      <c r="I9" s="2092"/>
      <c r="J9" s="2092"/>
      <c r="K9" s="2091"/>
      <c r="L9" s="1381"/>
      <c r="M9" s="533"/>
      <c r="N9" s="1383"/>
      <c r="O9" s="1383"/>
      <c r="P9" s="2093"/>
      <c r="Q9" s="2093"/>
      <c r="R9" s="345"/>
      <c r="S9" s="1323"/>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312"/>
      <c r="AN9" s="312"/>
      <c r="AO9" s="316" t="str">
        <f>AP8&amp;"-"&amp;AR8</f>
        <v>-</v>
      </c>
      <c r="AP9" s="2134"/>
      <c r="AQ9" s="1963"/>
      <c r="AR9" s="2134"/>
      <c r="AS9" s="1963"/>
      <c r="AT9" s="312"/>
      <c r="AU9" s="312"/>
      <c r="AV9" s="312"/>
      <c r="AW9" s="316" t="str">
        <f>AX8&amp;"-"&amp;AZ8</f>
        <v>-</v>
      </c>
      <c r="AX9" s="2134"/>
      <c r="AY9" s="1963"/>
      <c r="AZ9" s="2134"/>
      <c r="BA9" s="1963"/>
      <c r="BB9" s="312"/>
      <c r="BC9" s="312"/>
      <c r="BD9" s="312"/>
      <c r="BE9" s="316" t="str">
        <f>BF8&amp;"-"&amp;BH8</f>
        <v>-</v>
      </c>
      <c r="BF9" s="2134"/>
      <c r="BG9" s="1963"/>
      <c r="BH9" s="2134"/>
      <c r="BI9" s="1963"/>
      <c r="BJ9" s="312"/>
      <c r="BK9" s="312"/>
      <c r="BL9" s="312"/>
      <c r="BM9" s="316" t="str">
        <f>BN8&amp;"-"&amp;BP8</f>
        <v>-</v>
      </c>
      <c r="BN9" s="2134"/>
      <c r="BO9" s="1963"/>
      <c r="BP9" s="2134"/>
      <c r="BQ9" s="1963"/>
      <c r="BR9" s="312"/>
      <c r="BS9" s="312"/>
      <c r="BT9" s="312"/>
      <c r="BU9" s="316" t="str">
        <f>BV8&amp;"-"&amp;BX8</f>
        <v>-</v>
      </c>
      <c r="BV9" s="2134"/>
      <c r="BW9" s="1963"/>
      <c r="BX9" s="2134"/>
      <c r="BY9" s="1963"/>
      <c r="BZ9" s="312"/>
      <c r="CA9" s="312"/>
      <c r="CB9" s="312"/>
      <c r="CC9" s="316" t="str">
        <f>CD8&amp;"-"&amp;CF8</f>
        <v>-</v>
      </c>
      <c r="CD9" s="2134"/>
      <c r="CE9" s="1963"/>
      <c r="CF9" s="2134"/>
      <c r="CG9" s="1963"/>
      <c r="CH9" s="312"/>
      <c r="CI9" s="312"/>
      <c r="CJ9" s="312"/>
      <c r="CK9" s="316" t="str">
        <f>CL8&amp;"-"&amp;CN8</f>
        <v>-</v>
      </c>
      <c r="CL9" s="2134"/>
      <c r="CM9" s="1963"/>
      <c r="CN9" s="2134"/>
      <c r="CO9" s="1963"/>
      <c r="CP9" s="312"/>
      <c r="CQ9" s="312"/>
      <c r="CR9" s="312"/>
      <c r="CS9" s="316" t="str">
        <f>CT8&amp;"-"&amp;CV8</f>
        <v>-</v>
      </c>
      <c r="CT9" s="2134"/>
      <c r="CU9" s="1963"/>
      <c r="CV9" s="2134"/>
      <c r="CW9" s="1963"/>
      <c r="CX9" s="312"/>
      <c r="CY9" s="312"/>
      <c r="CZ9" s="312"/>
      <c r="DA9" s="316" t="str">
        <f>DB8&amp;"-"&amp;DD8</f>
        <v>-</v>
      </c>
      <c r="DB9" s="2134"/>
      <c r="DC9" s="1963"/>
      <c r="DD9" s="2134"/>
      <c r="DE9" s="1963"/>
      <c r="DF9" s="312"/>
      <c r="DG9" s="2120"/>
      <c r="DI9" s="496"/>
      <c r="DJ9" s="496" t="str">
        <f>IF(T9="","",T9)</f>
        <v/>
      </c>
      <c r="DK9" s="496"/>
      <c r="DL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425</v>
      </c>
      <c r="U10" s="359"/>
      <c r="V10" s="359"/>
      <c r="W10" s="359"/>
      <c r="X10" s="359"/>
      <c r="Y10" s="359"/>
      <c r="Z10" s="359"/>
      <c r="AA10" s="359"/>
      <c r="AB10" s="359"/>
      <c r="AC10" s="359"/>
      <c r="AD10" s="359"/>
      <c r="AE10" s="359"/>
      <c r="AF10" s="359"/>
      <c r="AG10" s="359"/>
      <c r="AH10" s="359"/>
      <c r="AI10" s="359"/>
      <c r="AJ10" s="359"/>
      <c r="AK10" s="359"/>
      <c r="AL10" s="2614"/>
      <c r="AM10" s="2615"/>
      <c r="AN10" s="2616"/>
      <c r="AO10" s="2617"/>
      <c r="AP10" s="2618"/>
      <c r="AQ10" s="2619"/>
      <c r="AR10" s="2620"/>
      <c r="AS10" s="2621"/>
      <c r="AT10" s="2622"/>
      <c r="AU10" s="2623"/>
      <c r="AV10" s="2624"/>
      <c r="AW10" s="2625"/>
      <c r="AX10" s="2626"/>
      <c r="AY10" s="2627"/>
      <c r="AZ10" s="2628"/>
      <c r="BA10" s="2629"/>
      <c r="BB10" s="2630"/>
      <c r="BC10" s="2631"/>
      <c r="BD10" s="2632"/>
      <c r="BE10" s="2633"/>
      <c r="BF10" s="2634"/>
      <c r="BG10" s="2635"/>
      <c r="BH10" s="2636"/>
      <c r="BI10" s="2637"/>
      <c r="BJ10" s="2638"/>
      <c r="BK10" s="2639"/>
      <c r="BL10" s="2640"/>
      <c r="BM10" s="2641"/>
      <c r="BN10" s="2642"/>
      <c r="BO10" s="2643"/>
      <c r="BP10" s="2644"/>
      <c r="BQ10" s="2645"/>
      <c r="BR10" s="2646"/>
      <c r="BS10" s="2647"/>
      <c r="BT10" s="2648"/>
      <c r="BU10" s="2649"/>
      <c r="BV10" s="2650"/>
      <c r="BW10" s="2651"/>
      <c r="BX10" s="2652"/>
      <c r="BY10" s="2653"/>
      <c r="BZ10" s="2654"/>
      <c r="CA10" s="2655"/>
      <c r="CB10" s="2656"/>
      <c r="CC10" s="2657"/>
      <c r="CD10" s="2658"/>
      <c r="CE10" s="2659"/>
      <c r="CF10" s="2660"/>
      <c r="CG10" s="2661"/>
      <c r="CH10" s="2662"/>
      <c r="CI10" s="2663"/>
      <c r="CJ10" s="2664"/>
      <c r="CK10" s="2665"/>
      <c r="CL10" s="2666"/>
      <c r="CM10" s="2667"/>
      <c r="CN10" s="2668"/>
      <c r="CO10" s="2669"/>
      <c r="CP10" s="2670"/>
      <c r="CQ10" s="2671"/>
      <c r="CR10" s="2672"/>
      <c r="CS10" s="2673"/>
      <c r="CT10" s="2674"/>
      <c r="CU10" s="2675"/>
      <c r="CV10" s="2676"/>
      <c r="CW10" s="2677"/>
      <c r="CX10" s="2678"/>
      <c r="CY10" s="2679"/>
      <c r="CZ10" s="2680"/>
      <c r="DA10" s="2681"/>
      <c r="DB10" s="2682"/>
      <c r="DC10" s="2683"/>
      <c r="DD10" s="2684"/>
      <c r="DE10" s="2685"/>
      <c r="DF10" s="311"/>
      <c r="DG10" s="2121"/>
      <c r="DI10" s="496"/>
      <c r="DJ10" s="496" t="str">
        <f>IF(T10="","",T10)</f>
        <v>Добавить вид теплоносителя (параметры теплоносителя)</v>
      </c>
      <c r="DK10" s="496"/>
      <c r="DL10" s="496"/>
    </row>
    <row customHeight="1" ht="15" hidden="1">
      <c r="A11" s="1380"/>
      <c r="B11" s="1380"/>
      <c r="C11" s="1380"/>
      <c r="D11" s="1380"/>
      <c r="E11" s="2090"/>
      <c r="F11" s="2090"/>
      <c r="G11" s="2090"/>
      <c r="H11" s="2090"/>
      <c r="I11" s="2091"/>
      <c r="J11" s="1380"/>
      <c r="K11" s="1380"/>
      <c r="L11" s="1381"/>
      <c r="M11" s="533"/>
      <c r="P11" s="2093"/>
      <c r="Q11" s="1322"/>
      <c r="R11" s="344"/>
      <c r="S11" s="1295"/>
      <c r="T11" s="268" t="s">
        <v>426</v>
      </c>
      <c r="U11" s="359"/>
      <c r="V11" s="359"/>
      <c r="W11" s="359"/>
      <c r="X11" s="359"/>
      <c r="Y11" s="359"/>
      <c r="Z11" s="359"/>
      <c r="AA11" s="359"/>
      <c r="AB11" s="359"/>
      <c r="AC11" s="358"/>
      <c r="AD11" s="359"/>
      <c r="AE11" s="359"/>
      <c r="AF11" s="359"/>
      <c r="AG11" s="359"/>
      <c r="AH11" s="359"/>
      <c r="AI11" s="359"/>
      <c r="AJ11" s="359"/>
      <c r="AK11" s="358"/>
      <c r="AL11" s="2686"/>
      <c r="AM11" s="2687"/>
      <c r="AN11" s="2688"/>
      <c r="AO11" s="2689"/>
      <c r="AP11" s="2690"/>
      <c r="AQ11" s="2691"/>
      <c r="AR11" s="2692"/>
      <c r="AS11" s="2693"/>
      <c r="AT11" s="2694"/>
      <c r="AU11" s="2695"/>
      <c r="AV11" s="2696"/>
      <c r="AW11" s="2697"/>
      <c r="AX11" s="2698"/>
      <c r="AY11" s="2699"/>
      <c r="AZ11" s="2700"/>
      <c r="BA11" s="2701"/>
      <c r="BB11" s="2702"/>
      <c r="BC11" s="2703"/>
      <c r="BD11" s="2704"/>
      <c r="BE11" s="2705"/>
      <c r="BF11" s="2706"/>
      <c r="BG11" s="2707"/>
      <c r="BH11" s="2708"/>
      <c r="BI11" s="2709"/>
      <c r="BJ11" s="2710"/>
      <c r="BK11" s="2711"/>
      <c r="BL11" s="2712"/>
      <c r="BM11" s="2713"/>
      <c r="BN11" s="2714"/>
      <c r="BO11" s="2715"/>
      <c r="BP11" s="2716"/>
      <c r="BQ11" s="2717"/>
      <c r="BR11" s="2718"/>
      <c r="BS11" s="2719"/>
      <c r="BT11" s="2720"/>
      <c r="BU11" s="2721"/>
      <c r="BV11" s="2722"/>
      <c r="BW11" s="2723"/>
      <c r="BX11" s="2724"/>
      <c r="BY11" s="2725"/>
      <c r="BZ11" s="2726"/>
      <c r="CA11" s="2727"/>
      <c r="CB11" s="2728"/>
      <c r="CC11" s="2729"/>
      <c r="CD11" s="2730"/>
      <c r="CE11" s="2731"/>
      <c r="CF11" s="2732"/>
      <c r="CG11" s="2733"/>
      <c r="CH11" s="2734"/>
      <c r="CI11" s="2735"/>
      <c r="CJ11" s="2736"/>
      <c r="CK11" s="2737"/>
      <c r="CL11" s="2738"/>
      <c r="CM11" s="2739"/>
      <c r="CN11" s="2740"/>
      <c r="CO11" s="2741"/>
      <c r="CP11" s="2742"/>
      <c r="CQ11" s="2743"/>
      <c r="CR11" s="2744"/>
      <c r="CS11" s="2745"/>
      <c r="CT11" s="2746"/>
      <c r="CU11" s="2747"/>
      <c r="CV11" s="2748"/>
      <c r="CW11" s="2749"/>
      <c r="CX11" s="2750"/>
      <c r="CY11" s="2751"/>
      <c r="CZ11" s="2752"/>
      <c r="DA11" s="2753"/>
      <c r="DB11" s="2754"/>
      <c r="DC11" s="2755"/>
      <c r="DD11" s="2756"/>
      <c r="DE11" s="2757"/>
      <c r="DF11" s="359"/>
      <c r="DG11" s="283"/>
      <c r="DI11" s="496"/>
      <c r="DJ11" s="496" t="str">
        <f>IF(T11="","",T11)</f>
        <v>Добавить группу потребителей</v>
      </c>
      <c r="DK11" s="496"/>
      <c r="DL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427</v>
      </c>
      <c r="U12" s="359"/>
      <c r="V12" s="359"/>
      <c r="W12" s="359"/>
      <c r="X12" s="359"/>
      <c r="Y12" s="359"/>
      <c r="Z12" s="359"/>
      <c r="AA12" s="359"/>
      <c r="AB12" s="359"/>
      <c r="AC12" s="358"/>
      <c r="AD12" s="359"/>
      <c r="AE12" s="359"/>
      <c r="AF12" s="359"/>
      <c r="AG12" s="359"/>
      <c r="AH12" s="359"/>
      <c r="AI12" s="359"/>
      <c r="AJ12" s="359"/>
      <c r="AK12" s="358"/>
      <c r="AL12" s="2758"/>
      <c r="AM12" s="2759"/>
      <c r="AN12" s="2760"/>
      <c r="AO12" s="2761"/>
      <c r="AP12" s="2762"/>
      <c r="AQ12" s="2763"/>
      <c r="AR12" s="2764"/>
      <c r="AS12" s="2765"/>
      <c r="AT12" s="2766"/>
      <c r="AU12" s="2767"/>
      <c r="AV12" s="2768"/>
      <c r="AW12" s="2769"/>
      <c r="AX12" s="2770"/>
      <c r="AY12" s="2771"/>
      <c r="AZ12" s="2772"/>
      <c r="BA12" s="2773"/>
      <c r="BB12" s="2774"/>
      <c r="BC12" s="2775"/>
      <c r="BD12" s="2776"/>
      <c r="BE12" s="2777"/>
      <c r="BF12" s="2778"/>
      <c r="BG12" s="2779"/>
      <c r="BH12" s="2780"/>
      <c r="BI12" s="2781"/>
      <c r="BJ12" s="2782"/>
      <c r="BK12" s="2783"/>
      <c r="BL12" s="2784"/>
      <c r="BM12" s="2785"/>
      <c r="BN12" s="2786"/>
      <c r="BO12" s="2787"/>
      <c r="BP12" s="2788"/>
      <c r="BQ12" s="2789"/>
      <c r="BR12" s="2790"/>
      <c r="BS12" s="2791"/>
      <c r="BT12" s="2792"/>
      <c r="BU12" s="2793"/>
      <c r="BV12" s="2794"/>
      <c r="BW12" s="2795"/>
      <c r="BX12" s="2796"/>
      <c r="BY12" s="2797"/>
      <c r="BZ12" s="2798"/>
      <c r="CA12" s="2799"/>
      <c r="CB12" s="2800"/>
      <c r="CC12" s="2801"/>
      <c r="CD12" s="2802"/>
      <c r="CE12" s="2803"/>
      <c r="CF12" s="2804"/>
      <c r="CG12" s="2805"/>
      <c r="CH12" s="2806"/>
      <c r="CI12" s="2807"/>
      <c r="CJ12" s="2808"/>
      <c r="CK12" s="2809"/>
      <c r="CL12" s="2810"/>
      <c r="CM12" s="2811"/>
      <c r="CN12" s="2812"/>
      <c r="CO12" s="2813"/>
      <c r="CP12" s="2814"/>
      <c r="CQ12" s="2815"/>
      <c r="CR12" s="2816"/>
      <c r="CS12" s="2817"/>
      <c r="CT12" s="2818"/>
      <c r="CU12" s="2819"/>
      <c r="CV12" s="2820"/>
      <c r="CW12" s="2821"/>
      <c r="CX12" s="2822"/>
      <c r="CY12" s="2823"/>
      <c r="CZ12" s="2824"/>
      <c r="DA12" s="2825"/>
      <c r="DB12" s="2826"/>
      <c r="DC12" s="2827"/>
      <c r="DD12" s="2828"/>
      <c r="DE12" s="2829"/>
      <c r="DF12" s="359"/>
      <c r="DG12" s="283"/>
      <c r="DI12" s="496"/>
      <c r="DJ12" s="496" t="str">
        <f>IF(T12="","",T12)</f>
        <v>Добавить схему подключения</v>
      </c>
      <c r="DK12" s="496"/>
      <c r="DL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160</v>
      </c>
      <c r="U13" s="1337"/>
      <c r="V13" s="1337"/>
      <c r="W13" s="1337"/>
      <c r="X13" s="1337"/>
      <c r="Y13" s="1337"/>
      <c r="Z13" s="1337"/>
      <c r="AA13" s="1337"/>
      <c r="AB13" s="1337"/>
      <c r="AC13" s="1337"/>
      <c r="AD13" s="1337"/>
      <c r="AE13" s="1337"/>
      <c r="AF13" s="1337"/>
      <c r="AG13" s="1337"/>
      <c r="AH13" s="1337"/>
      <c r="AI13" s="1337"/>
      <c r="AJ13" s="1337"/>
      <c r="AK13" s="1337"/>
      <c r="AL13" s="1337"/>
      <c r="AM13" s="1337"/>
      <c r="AN13" s="1337"/>
      <c r="AO13" s="1337"/>
      <c r="AP13" s="1337"/>
      <c r="AQ13" s="1337"/>
      <c r="AR13" s="1337"/>
      <c r="AS13" s="1337"/>
      <c r="AT13" s="1337"/>
      <c r="AU13" s="1337"/>
      <c r="AV13" s="1337"/>
      <c r="AW13" s="1337"/>
      <c r="AX13" s="1337"/>
      <c r="AY13" s="1337"/>
      <c r="AZ13" s="1337"/>
      <c r="BA13" s="1337"/>
      <c r="BB13" s="1337"/>
      <c r="BC13" s="1337"/>
      <c r="BD13" s="1337"/>
      <c r="BE13" s="1337"/>
      <c r="BF13" s="1337"/>
      <c r="BG13" s="1337"/>
      <c r="BH13" s="1337"/>
      <c r="BI13" s="1337"/>
      <c r="BJ13" s="1337"/>
      <c r="BK13" s="1337"/>
      <c r="BL13" s="1337"/>
      <c r="BM13" s="1337"/>
      <c r="BN13" s="1337"/>
      <c r="BO13" s="1337"/>
      <c r="BP13" s="1337"/>
      <c r="BQ13" s="1337"/>
      <c r="BR13" s="1337"/>
      <c r="BS13" s="1337"/>
      <c r="BT13" s="1337"/>
      <c r="BU13" s="1337"/>
      <c r="BV13" s="1337"/>
      <c r="BW13" s="1337"/>
      <c r="BX13" s="1337"/>
      <c r="BY13" s="1337"/>
      <c r="BZ13" s="1337"/>
      <c r="CA13" s="1337"/>
      <c r="CB13" s="1337"/>
      <c r="CC13" s="1337"/>
      <c r="CD13" s="1337"/>
      <c r="CE13" s="1337"/>
      <c r="CF13" s="1337"/>
      <c r="CG13" s="1337"/>
      <c r="CH13" s="1337"/>
      <c r="CI13" s="1337"/>
      <c r="CJ13" s="1337"/>
      <c r="CK13" s="1337"/>
      <c r="CL13" s="1337"/>
      <c r="CM13" s="1337"/>
      <c r="CN13" s="1337"/>
      <c r="CO13" s="1337"/>
      <c r="CP13" s="1337"/>
      <c r="CQ13" s="1337"/>
      <c r="CR13" s="1337"/>
      <c r="CS13" s="1337"/>
      <c r="CT13" s="1337"/>
      <c r="CU13" s="1337"/>
      <c r="CV13" s="1337"/>
      <c r="CW13" s="1337"/>
      <c r="CX13" s="1337"/>
      <c r="CY13" s="1337"/>
      <c r="CZ13" s="1337"/>
      <c r="DA13" s="1337"/>
      <c r="DB13" s="1337"/>
      <c r="DC13" s="1337"/>
      <c r="DD13" s="1337"/>
      <c r="DE13" s="1337"/>
      <c r="DF13" s="1337"/>
      <c r="DG13" s="1337"/>
      <c r="DI13" s="783"/>
      <c r="DJ13" s="783" t="str">
        <f>IF(T13="","",T13)</f>
        <v>Добавить источник для дифференциации</v>
      </c>
      <c r="DK13" s="783"/>
      <c r="DL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161</v>
      </c>
      <c r="U14" s="1341"/>
      <c r="V14" s="1341"/>
      <c r="W14" s="1341"/>
      <c r="X14" s="1341"/>
      <c r="Y14" s="1341"/>
      <c r="Z14" s="1341"/>
      <c r="AA14" s="1341"/>
      <c r="AB14" s="1341"/>
      <c r="AC14" s="1341"/>
      <c r="AD14" s="1341"/>
      <c r="AE14" s="1341"/>
      <c r="AF14" s="1341"/>
      <c r="AG14" s="1341"/>
      <c r="AH14" s="1341"/>
      <c r="AI14" s="1341"/>
      <c r="AJ14" s="1341"/>
      <c r="AK14" s="1341"/>
      <c r="AL14" s="1341"/>
      <c r="AM14" s="1341"/>
      <c r="AN14" s="1341"/>
      <c r="AO14" s="1341"/>
      <c r="AP14" s="1341"/>
      <c r="AQ14" s="1341"/>
      <c r="AR14" s="1341"/>
      <c r="AS14" s="1341"/>
      <c r="AT14" s="1341"/>
      <c r="AU14" s="1341"/>
      <c r="AV14" s="1341"/>
      <c r="AW14" s="1341"/>
      <c r="AX14" s="1341"/>
      <c r="AY14" s="1341"/>
      <c r="AZ14" s="1341"/>
      <c r="BA14" s="1341"/>
      <c r="BB14" s="1341"/>
      <c r="BC14" s="1341"/>
      <c r="BD14" s="1341"/>
      <c r="BE14" s="1341"/>
      <c r="BF14" s="1341"/>
      <c r="BG14" s="1341"/>
      <c r="BH14" s="1341"/>
      <c r="BI14" s="1341"/>
      <c r="BJ14" s="1341"/>
      <c r="BK14" s="1341"/>
      <c r="BL14" s="1341"/>
      <c r="BM14" s="1341"/>
      <c r="BN14" s="1341"/>
      <c r="BO14" s="1341"/>
      <c r="BP14" s="1341"/>
      <c r="BQ14" s="1341"/>
      <c r="BR14" s="1341"/>
      <c r="BS14" s="1341"/>
      <c r="BT14" s="1341"/>
      <c r="BU14" s="1341"/>
      <c r="BV14" s="1341"/>
      <c r="BW14" s="1341"/>
      <c r="BX14" s="1341"/>
      <c r="BY14" s="1341"/>
      <c r="BZ14" s="1341"/>
      <c r="CA14" s="1341"/>
      <c r="CB14" s="1341"/>
      <c r="CC14" s="1341"/>
      <c r="CD14" s="1341"/>
      <c r="CE14" s="1341"/>
      <c r="CF14" s="1341"/>
      <c r="CG14" s="1341"/>
      <c r="CH14" s="1341"/>
      <c r="CI14" s="1341"/>
      <c r="CJ14" s="1341"/>
      <c r="CK14" s="1341"/>
      <c r="CL14" s="1341"/>
      <c r="CM14" s="1341"/>
      <c r="CN14" s="1341"/>
      <c r="CO14" s="1341"/>
      <c r="CP14" s="1341"/>
      <c r="CQ14" s="1341"/>
      <c r="CR14" s="1341"/>
      <c r="CS14" s="1341"/>
      <c r="CT14" s="1341"/>
      <c r="CU14" s="1341"/>
      <c r="CV14" s="1341"/>
      <c r="CW14" s="1341"/>
      <c r="CX14" s="1341"/>
      <c r="CY14" s="1341"/>
      <c r="CZ14" s="1341"/>
      <c r="DA14" s="1341"/>
      <c r="DB14" s="1341"/>
      <c r="DC14" s="1341"/>
      <c r="DD14" s="1341"/>
      <c r="DE14" s="1341"/>
      <c r="DF14" s="1341"/>
      <c r="DG14" s="1341"/>
      <c r="DI14" s="783"/>
      <c r="DJ14" s="783" t="str">
        <f>IF(T14="","",T14)</f>
        <v>Добавить централизованную систему для дифференциации</v>
      </c>
      <c r="DK14" s="783"/>
      <c r="DL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162</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V15" s="1341"/>
      <c r="AW15" s="1341"/>
      <c r="AX15" s="1341"/>
      <c r="AY15" s="1341"/>
      <c r="AZ15" s="1341"/>
      <c r="BA15" s="1341"/>
      <c r="BB15" s="1341"/>
      <c r="BC15" s="1341"/>
      <c r="BD15" s="1341"/>
      <c r="BE15" s="1341"/>
      <c r="BF15" s="1341"/>
      <c r="BG15" s="1341"/>
      <c r="BH15" s="1341"/>
      <c r="BI15" s="1341"/>
      <c r="BJ15" s="1341"/>
      <c r="BK15" s="1341"/>
      <c r="BL15" s="1341"/>
      <c r="BM15" s="1341"/>
      <c r="BN15" s="1341"/>
      <c r="BO15" s="1341"/>
      <c r="BP15" s="1341"/>
      <c r="BQ15" s="1341"/>
      <c r="BR15" s="1341"/>
      <c r="BS15" s="1341"/>
      <c r="BT15" s="1341"/>
      <c r="BU15" s="1341"/>
      <c r="BV15" s="1341"/>
      <c r="BW15" s="1341"/>
      <c r="BX15" s="1341"/>
      <c r="BY15" s="1341"/>
      <c r="BZ15" s="1341"/>
      <c r="CA15" s="1341"/>
      <c r="CB15" s="1341"/>
      <c r="CC15" s="1341"/>
      <c r="CD15" s="1341"/>
      <c r="CE15" s="1341"/>
      <c r="CF15" s="1341"/>
      <c r="CG15" s="1341"/>
      <c r="CH15" s="1341"/>
      <c r="CI15" s="1341"/>
      <c r="CJ15" s="1341"/>
      <c r="CK15" s="1341"/>
      <c r="CL15" s="1341"/>
      <c r="CM15" s="1341"/>
      <c r="CN15" s="1341"/>
      <c r="CO15" s="1341"/>
      <c r="CP15" s="1341"/>
      <c r="CQ15" s="1341"/>
      <c r="CR15" s="1341"/>
      <c r="CS15" s="1341"/>
      <c r="CT15" s="1341"/>
      <c r="CU15" s="1341"/>
      <c r="CV15" s="1341"/>
      <c r="CW15" s="1341"/>
      <c r="CX15" s="1341"/>
      <c r="CY15" s="1341"/>
      <c r="CZ15" s="1341"/>
      <c r="DA15" s="1341"/>
      <c r="DB15" s="1341"/>
      <c r="DC15" s="1341"/>
      <c r="DD15" s="1341"/>
      <c r="DE15" s="1341"/>
      <c r="DF15" s="1341"/>
      <c r="DG15" s="1341"/>
      <c r="DI15" s="783"/>
      <c r="DJ15" s="783" t="str">
        <f>IF(T15="","",T15)</f>
        <v>Добавить территорию для дифференциации</v>
      </c>
      <c r="DK15" s="783"/>
      <c r="DL15" s="783"/>
    </row>
    <row customHeight="1" ht="14.25" hidden="1">
      <c r="AC16" s="315"/>
      <c r="AK16" s="315"/>
      <c r="AL16" s="1660"/>
      <c r="AM16" s="1660"/>
      <c r="AN16" s="1660"/>
      <c r="AO16" s="1660"/>
      <c r="AP16" s="1660"/>
      <c r="AQ16" s="1660"/>
      <c r="AR16" s="1660"/>
      <c r="AS16" s="1660"/>
      <c r="AT16" s="1660"/>
      <c r="AU16" s="1660"/>
      <c r="AV16" s="1660"/>
      <c r="AW16" s="1660"/>
      <c r="AX16" s="1660"/>
      <c r="AY16" s="1660"/>
      <c r="AZ16" s="1660"/>
      <c r="BA16" s="1660"/>
      <c r="BB16" s="1660"/>
      <c r="BC16" s="1660"/>
      <c r="BD16" s="1660"/>
      <c r="BE16" s="1660"/>
      <c r="BF16" s="1660"/>
      <c r="BG16" s="1660"/>
      <c r="BH16" s="1660"/>
      <c r="BI16" s="1660"/>
      <c r="BJ16" s="1660"/>
      <c r="BK16" s="1660"/>
      <c r="BL16" s="1660"/>
      <c r="BM16" s="1660"/>
      <c r="BN16" s="1660"/>
      <c r="BO16" s="1660"/>
      <c r="BP16" s="1660"/>
      <c r="BQ16" s="1660"/>
      <c r="BR16" s="1660"/>
      <c r="BS16" s="1660"/>
      <c r="BT16" s="1660"/>
      <c r="BU16" s="1660"/>
      <c r="BV16" s="1660"/>
      <c r="BW16" s="1660"/>
      <c r="BX16" s="1660"/>
      <c r="BY16" s="1660"/>
      <c r="BZ16" s="1660"/>
      <c r="CA16" s="1660"/>
      <c r="CB16" s="1660"/>
      <c r="CC16" s="1660"/>
      <c r="CD16" s="1660"/>
      <c r="CE16" s="1660"/>
      <c r="CF16" s="1660"/>
      <c r="CG16" s="1660"/>
      <c r="CH16" s="1660"/>
      <c r="CI16" s="1660"/>
      <c r="CJ16" s="1660"/>
      <c r="CK16" s="1660"/>
      <c r="CL16" s="1660"/>
      <c r="CM16" s="1660"/>
      <c r="CN16" s="1660"/>
      <c r="CO16" s="1660"/>
      <c r="CP16" s="1660"/>
      <c r="CQ16" s="1660"/>
      <c r="CR16" s="1660"/>
      <c r="CS16" s="1660"/>
      <c r="CT16" s="1660"/>
      <c r="CU16" s="1660"/>
      <c r="CV16" s="1660"/>
      <c r="CW16" s="1660"/>
      <c r="CX16" s="1660"/>
      <c r="CY16" s="1660"/>
      <c r="CZ16" s="1660"/>
      <c r="DA16" s="1660"/>
      <c r="DB16" s="1660"/>
      <c r="DC16" s="1660"/>
      <c r="DD16" s="1660"/>
      <c r="DE16" s="1660"/>
    </row>
    <row customHeight="1" ht="14.25" hidden="1">
      <c r="P17" s="1328"/>
      <c r="AD17" s="1377"/>
      <c r="AE17" s="1377"/>
      <c r="AF17" s="1377"/>
      <c r="AG17" s="1378"/>
      <c r="AH17" s="2087"/>
      <c r="AI17" s="2086" t="s">
        <v>61</v>
      </c>
      <c r="AJ17" s="2087"/>
      <c r="AK17" s="2086" t="s">
        <v>61</v>
      </c>
      <c r="AL17" s="1660"/>
      <c r="AM17" s="1660"/>
      <c r="AN17" s="1660"/>
      <c r="AO17" s="1660"/>
      <c r="AP17" s="1660"/>
      <c r="AQ17" s="1660"/>
      <c r="AR17" s="1660"/>
      <c r="AS17" s="1660"/>
      <c r="AT17" s="1660"/>
      <c r="AU17" s="1660"/>
      <c r="AV17" s="1660"/>
      <c r="AW17" s="1660"/>
      <c r="AX17" s="1660"/>
      <c r="AY17" s="1660"/>
      <c r="AZ17" s="1660"/>
      <c r="BA17" s="1660"/>
      <c r="BB17" s="1660"/>
      <c r="BC17" s="1660"/>
      <c r="BD17" s="1660"/>
      <c r="BE17" s="1660"/>
      <c r="BF17" s="1660"/>
      <c r="BG17" s="1660"/>
      <c r="BH17" s="1660"/>
      <c r="BI17" s="1660"/>
      <c r="BJ17" s="1660"/>
      <c r="BK17" s="1660"/>
      <c r="BL17" s="1660"/>
      <c r="BM17" s="1660"/>
      <c r="BN17" s="1660"/>
      <c r="BO17" s="1660"/>
      <c r="BP17" s="1660"/>
      <c r="BQ17" s="1660"/>
      <c r="BR17" s="1660"/>
      <c r="BS17" s="1660"/>
      <c r="BT17" s="1660"/>
      <c r="BU17" s="1660"/>
      <c r="BV17" s="1660"/>
      <c r="BW17" s="1660"/>
      <c r="BX17" s="1660"/>
      <c r="BY17" s="1660"/>
      <c r="BZ17" s="1660"/>
      <c r="CA17" s="1660"/>
      <c r="CB17" s="1660"/>
      <c r="CC17" s="1660"/>
      <c r="CD17" s="1660"/>
      <c r="CE17" s="1660"/>
      <c r="CF17" s="1660"/>
      <c r="CG17" s="1660"/>
      <c r="CH17" s="1660"/>
      <c r="CI17" s="1660"/>
      <c r="CJ17" s="1660"/>
      <c r="CK17" s="1660"/>
      <c r="CL17" s="1660"/>
      <c r="CM17" s="1660"/>
      <c r="CN17" s="1660"/>
      <c r="CO17" s="1660"/>
      <c r="CP17" s="1660"/>
      <c r="CQ17" s="1660"/>
      <c r="CR17" s="1660"/>
      <c r="CS17" s="1660"/>
      <c r="CT17" s="1660"/>
      <c r="CU17" s="1660"/>
      <c r="CV17" s="1660"/>
      <c r="CW17" s="1660"/>
      <c r="CX17" s="1660"/>
      <c r="CY17" s="1660"/>
      <c r="CZ17" s="1660"/>
      <c r="DA17" s="1660"/>
      <c r="DB17" s="1660"/>
      <c r="DC17" s="1660"/>
      <c r="DD17" s="1660"/>
      <c r="DE17" s="1660"/>
    </row>
    <row customHeight="1" ht="14.25" hidden="1">
      <c r="P18" s="1328"/>
      <c r="AD18" s="1377"/>
      <c r="AE18" s="1377"/>
      <c r="AF18" s="1377"/>
      <c r="AG18" s="316" t="str">
        <f>AH17&amp;"-"&amp;AJ17</f>
        <v>-</v>
      </c>
      <c r="AH18" s="2086"/>
      <c r="AI18" s="2086"/>
      <c r="AJ18" s="2086"/>
      <c r="AK18" s="2086"/>
      <c r="AL18" s="1660"/>
      <c r="AM18" s="1660"/>
      <c r="AN18" s="1660"/>
      <c r="AO18" s="1660"/>
      <c r="AP18" s="1660"/>
      <c r="AQ18" s="1660"/>
      <c r="AR18" s="1660"/>
      <c r="AS18" s="1660"/>
      <c r="AT18" s="1660"/>
      <c r="AU18" s="1660"/>
      <c r="AV18" s="1660"/>
      <c r="AW18" s="1660"/>
      <c r="AX18" s="1660"/>
      <c r="AY18" s="1660"/>
      <c r="AZ18" s="1660"/>
      <c r="BA18" s="1660"/>
      <c r="BB18" s="1660"/>
      <c r="BC18" s="1660"/>
      <c r="BD18" s="1660"/>
      <c r="BE18" s="1660"/>
      <c r="BF18" s="1660"/>
      <c r="BG18" s="1660"/>
      <c r="BH18" s="1660"/>
      <c r="BI18" s="1660"/>
      <c r="BJ18" s="1660"/>
      <c r="BK18" s="1660"/>
      <c r="BL18" s="1660"/>
      <c r="BM18" s="1660"/>
      <c r="BN18" s="1660"/>
      <c r="BO18" s="1660"/>
      <c r="BP18" s="1660"/>
      <c r="BQ18" s="1660"/>
      <c r="BR18" s="1660"/>
      <c r="BS18" s="1660"/>
      <c r="BT18" s="1660"/>
      <c r="BU18" s="1660"/>
      <c r="BV18" s="1660"/>
      <c r="BW18" s="1660"/>
      <c r="BX18" s="1660"/>
      <c r="BY18" s="1660"/>
      <c r="BZ18" s="1660"/>
      <c r="CA18" s="1660"/>
      <c r="CB18" s="1660"/>
      <c r="CC18" s="1660"/>
      <c r="CD18" s="1660"/>
      <c r="CE18" s="1660"/>
      <c r="CF18" s="1660"/>
      <c r="CG18" s="1660"/>
      <c r="CH18" s="1660"/>
      <c r="CI18" s="1660"/>
      <c r="CJ18" s="1660"/>
      <c r="CK18" s="1660"/>
      <c r="CL18" s="1660"/>
      <c r="CM18" s="1660"/>
      <c r="CN18" s="1660"/>
      <c r="CO18" s="1660"/>
      <c r="CP18" s="1660"/>
      <c r="CQ18" s="1660"/>
      <c r="CR18" s="1660"/>
      <c r="CS18" s="1660"/>
      <c r="CT18" s="1660"/>
      <c r="CU18" s="1660"/>
      <c r="CV18" s="1660"/>
      <c r="CW18" s="1660"/>
      <c r="CX18" s="1660"/>
      <c r="CY18" s="1660"/>
      <c r="CZ18" s="1660"/>
      <c r="DA18" s="1660"/>
      <c r="DB18" s="1660"/>
      <c r="DC18" s="1660"/>
      <c r="DD18" s="1660"/>
      <c r="DE18" s="1660"/>
    </row>
    <row customHeight="1" ht="14.25" hidden="1">
      <c r="P19" s="1328"/>
      <c r="AK19" s="315"/>
      <c r="AL19" s="1660"/>
      <c r="AM19" s="1660"/>
      <c r="AN19" s="1660"/>
      <c r="AO19" s="1660"/>
      <c r="AP19" s="1660"/>
      <c r="AQ19" s="1660"/>
      <c r="AR19" s="1660"/>
      <c r="AS19" s="1660"/>
      <c r="AT19" s="1660"/>
      <c r="AU19" s="1660"/>
      <c r="AV19" s="1660"/>
      <c r="AW19" s="1660"/>
      <c r="AX19" s="1660"/>
      <c r="AY19" s="1660"/>
      <c r="AZ19" s="1660"/>
      <c r="BA19" s="1660"/>
      <c r="BB19" s="1660"/>
      <c r="BC19" s="1660"/>
      <c r="BD19" s="1660"/>
      <c r="BE19" s="1660"/>
      <c r="BF19" s="1660"/>
      <c r="BG19" s="1660"/>
      <c r="BH19" s="1660"/>
      <c r="BI19" s="1660"/>
      <c r="BJ19" s="1660"/>
      <c r="BK19" s="1660"/>
      <c r="BL19" s="1660"/>
      <c r="BM19" s="1660"/>
      <c r="BN19" s="1660"/>
      <c r="BO19" s="1660"/>
      <c r="BP19" s="1660"/>
      <c r="BQ19" s="1660"/>
      <c r="BR19" s="1660"/>
      <c r="BS19" s="1660"/>
      <c r="BT19" s="1660"/>
      <c r="BU19" s="1660"/>
      <c r="BV19" s="1660"/>
      <c r="BW19" s="1660"/>
      <c r="BX19" s="1660"/>
      <c r="BY19" s="1660"/>
      <c r="BZ19" s="1660"/>
      <c r="CA19" s="1660"/>
      <c r="CB19" s="1660"/>
      <c r="CC19" s="1660"/>
      <c r="CD19" s="1660"/>
      <c r="CE19" s="1660"/>
      <c r="CF19" s="1660"/>
      <c r="CG19" s="1660"/>
      <c r="CH19" s="1660"/>
      <c r="CI19" s="1660"/>
      <c r="CJ19" s="1660"/>
      <c r="CK19" s="1660"/>
      <c r="CL19" s="1660"/>
      <c r="CM19" s="1660"/>
      <c r="CN19" s="1660"/>
      <c r="CO19" s="1660"/>
      <c r="CP19" s="1660"/>
      <c r="CQ19" s="1660"/>
      <c r="CR19" s="1660"/>
      <c r="CS19" s="1660"/>
      <c r="CT19" s="1660"/>
      <c r="CU19" s="1660"/>
      <c r="CV19" s="1660"/>
      <c r="CW19" s="1660"/>
      <c r="CX19" s="1660"/>
      <c r="CY19" s="1660"/>
      <c r="CZ19" s="1660"/>
      <c r="DA19" s="1660"/>
      <c r="DB19" s="1660"/>
      <c r="DC19" s="1660"/>
      <c r="DD19" s="1660"/>
      <c r="DE19" s="1660"/>
    </row>
    <row s="1383" customFormat="1" customHeight="1" ht="22.5" hidden="1">
      <c r="L20" s="1346"/>
      <c r="M20" s="1379"/>
      <c r="N20" s="1379"/>
      <c r="O20" s="1384" t="s">
        <v>428</v>
      </c>
      <c r="P20" s="1379"/>
      <c r="Q20" s="1388"/>
      <c r="R20" s="1388"/>
      <c r="S20" s="724"/>
      <c r="Z20" s="1384"/>
      <c r="AB20" s="1384"/>
      <c r="AC20" s="1383"/>
      <c r="AH20" s="1384"/>
      <c r="AJ20" s="1384"/>
      <c r="AK20" s="1383"/>
      <c r="AL20" s="1383"/>
      <c r="AM20" s="1383"/>
      <c r="AN20" s="1383"/>
      <c r="AO20" s="1383"/>
      <c r="AP20" s="1384"/>
      <c r="AQ20" s="1383"/>
      <c r="AR20" s="1384"/>
      <c r="AS20" s="1383"/>
      <c r="AT20" s="1383"/>
      <c r="AU20" s="1383"/>
      <c r="AV20" s="1383"/>
      <c r="AW20" s="1383"/>
      <c r="AX20" s="1384"/>
      <c r="AY20" s="1383"/>
      <c r="AZ20" s="1384"/>
      <c r="BA20" s="1383"/>
      <c r="BB20" s="1383"/>
      <c r="BC20" s="1383"/>
      <c r="BD20" s="1383"/>
      <c r="BE20" s="1383"/>
      <c r="BF20" s="1384"/>
      <c r="BG20" s="1383"/>
      <c r="BH20" s="1384"/>
      <c r="BI20" s="1383"/>
      <c r="BJ20" s="1383"/>
      <c r="BK20" s="1383"/>
      <c r="BL20" s="1383"/>
      <c r="BM20" s="1383"/>
      <c r="BN20" s="1384"/>
      <c r="BO20" s="1383"/>
      <c r="BP20" s="1384"/>
      <c r="BQ20" s="1383"/>
      <c r="BR20" s="1383"/>
      <c r="BS20" s="1383"/>
      <c r="BT20" s="1383"/>
      <c r="BU20" s="1383"/>
      <c r="BV20" s="1384"/>
      <c r="BW20" s="1383"/>
      <c r="BX20" s="1384"/>
      <c r="BY20" s="1383"/>
      <c r="BZ20" s="1383"/>
      <c r="CA20" s="1383"/>
      <c r="CB20" s="1383"/>
      <c r="CC20" s="1383"/>
      <c r="CD20" s="1384"/>
      <c r="CE20" s="1383"/>
      <c r="CF20" s="1384"/>
      <c r="CG20" s="1383"/>
      <c r="CH20" s="1383"/>
      <c r="CI20" s="1383"/>
      <c r="CJ20" s="1383"/>
      <c r="CK20" s="1383"/>
      <c r="CL20" s="1384"/>
      <c r="CM20" s="1383"/>
      <c r="CN20" s="1384"/>
      <c r="CO20" s="1383"/>
      <c r="CP20" s="1383"/>
      <c r="CQ20" s="1383"/>
      <c r="CR20" s="1383"/>
      <c r="CS20" s="1383"/>
      <c r="CT20" s="1384"/>
      <c r="CU20" s="1383"/>
      <c r="CV20" s="1384"/>
      <c r="CW20" s="1383"/>
      <c r="CX20" s="1383"/>
      <c r="CY20" s="1383"/>
      <c r="CZ20" s="1383"/>
      <c r="DA20" s="1383"/>
      <c r="DB20" s="1384"/>
      <c r="DC20" s="1383"/>
      <c r="DD20" s="1384"/>
      <c r="DE20" s="1383"/>
      <c r="DH20" s="507"/>
      <c r="DI20" s="507"/>
      <c r="DJ20" s="507"/>
      <c r="DK20" s="507"/>
      <c r="DL20" s="507"/>
    </row>
    <row s="1383" customFormat="1" customHeight="1" ht="14.25" hidden="1">
      <c r="L21" s="1346"/>
      <c r="M21" s="1379"/>
      <c r="N21" s="1379"/>
      <c r="O21" s="1379"/>
      <c r="P21" s="1379"/>
      <c r="Q21" s="1388"/>
      <c r="R21" s="1388"/>
      <c r="S21" s="724"/>
      <c r="AC21" s="1383"/>
      <c r="AK21" s="1383"/>
      <c r="AL21" s="1383"/>
      <c r="AM21" s="1383"/>
      <c r="AN21" s="1383"/>
      <c r="AO21" s="1383"/>
      <c r="AP21" s="1383"/>
      <c r="AQ21" s="1383"/>
      <c r="AR21" s="1383"/>
      <c r="AS21" s="1383"/>
      <c r="AT21" s="1383"/>
      <c r="AU21" s="1383"/>
      <c r="AV21" s="1383"/>
      <c r="AW21" s="1383"/>
      <c r="AX21" s="1383"/>
      <c r="AY21" s="1383"/>
      <c r="AZ21" s="1383"/>
      <c r="BA21" s="1383"/>
      <c r="BB21" s="1383"/>
      <c r="BC21" s="1383"/>
      <c r="BD21" s="1383"/>
      <c r="BE21" s="1383"/>
      <c r="BF21" s="1383"/>
      <c r="BG21" s="1383"/>
      <c r="BH21" s="1383"/>
      <c r="BI21" s="1383"/>
      <c r="BJ21" s="1383"/>
      <c r="BK21" s="1383"/>
      <c r="BL21" s="1383"/>
      <c r="BM21" s="1383"/>
      <c r="BN21" s="1383"/>
      <c r="BO21" s="1383"/>
      <c r="BP21" s="1383"/>
      <c r="BQ21" s="1383"/>
      <c r="BR21" s="1383"/>
      <c r="BS21" s="1383"/>
      <c r="BT21" s="1383"/>
      <c r="BU21" s="1383"/>
      <c r="BV21" s="1383"/>
      <c r="BW21" s="1383"/>
      <c r="BX21" s="1383"/>
      <c r="BY21" s="1383"/>
      <c r="BZ21" s="1383"/>
      <c r="CA21" s="1383"/>
      <c r="CB21" s="1383"/>
      <c r="CC21" s="1383"/>
      <c r="CD21" s="1383"/>
      <c r="CE21" s="1383"/>
      <c r="CF21" s="1383"/>
      <c r="CG21" s="1383"/>
      <c r="CH21" s="1383"/>
      <c r="CI21" s="1383"/>
      <c r="CJ21" s="1383"/>
      <c r="CK21" s="1383"/>
      <c r="CL21" s="1383"/>
      <c r="CM21" s="1383"/>
      <c r="CN21" s="1383"/>
      <c r="CO21" s="1383"/>
      <c r="CP21" s="1383"/>
      <c r="CQ21" s="1383"/>
      <c r="CR21" s="1383"/>
      <c r="CS21" s="1383"/>
      <c r="CT21" s="1383"/>
      <c r="CU21" s="1383"/>
      <c r="CV21" s="1383"/>
      <c r="CW21" s="1383"/>
      <c r="CX21" s="1383"/>
      <c r="CY21" s="1383"/>
      <c r="CZ21" s="1383"/>
      <c r="DA21" s="1383"/>
      <c r="DB21" s="1383"/>
      <c r="DC21" s="1383"/>
      <c r="DD21" s="1383"/>
      <c r="DE21" s="1383"/>
      <c r="DH21" s="507"/>
      <c r="DI21" s="507"/>
      <c r="DJ21" s="507"/>
      <c r="DK21" s="507"/>
      <c r="DL21" s="507"/>
    </row>
    <row s="1383" customFormat="1" customHeight="1" ht="14.25" hidden="1">
      <c r="L22" s="1346"/>
      <c r="M22" s="1379"/>
      <c r="N22" s="1379"/>
      <c r="O22" s="1381" t="s">
        <v>429</v>
      </c>
      <c r="P22" s="1379"/>
      <c r="Q22" s="1388"/>
      <c r="R22" s="1388"/>
      <c r="S22" s="724"/>
      <c r="T22" s="1155" t="s">
        <v>430</v>
      </c>
      <c r="AA22" s="166" t="s">
        <v>431</v>
      </c>
      <c r="AC22" s="166" t="s">
        <v>432</v>
      </c>
      <c r="AD22" s="1155" t="s">
        <v>430</v>
      </c>
      <c r="AI22" s="166" t="s">
        <v>433</v>
      </c>
      <c r="AK22" s="166" t="s">
        <v>432</v>
      </c>
      <c r="AL22" s="1383"/>
      <c r="AM22" s="1383"/>
      <c r="AN22" s="1383"/>
      <c r="AO22" s="1383"/>
      <c r="AP22" s="1383"/>
      <c r="AQ22" s="1387" t="s">
        <v>431</v>
      </c>
      <c r="AR22" s="1383"/>
      <c r="AS22" s="1387" t="s">
        <v>432</v>
      </c>
      <c r="AT22" s="1383"/>
      <c r="AU22" s="1383"/>
      <c r="AV22" s="1383"/>
      <c r="AW22" s="1383"/>
      <c r="AX22" s="1383"/>
      <c r="AY22" s="1387" t="s">
        <v>431</v>
      </c>
      <c r="AZ22" s="1383"/>
      <c r="BA22" s="1387" t="s">
        <v>432</v>
      </c>
      <c r="BB22" s="1383"/>
      <c r="BC22" s="1383"/>
      <c r="BD22" s="1383"/>
      <c r="BE22" s="1383"/>
      <c r="BF22" s="1383"/>
      <c r="BG22" s="1387" t="s">
        <v>431</v>
      </c>
      <c r="BH22" s="1383"/>
      <c r="BI22" s="1387" t="s">
        <v>432</v>
      </c>
      <c r="BJ22" s="1383"/>
      <c r="BK22" s="1383"/>
      <c r="BL22" s="1383"/>
      <c r="BM22" s="1383"/>
      <c r="BN22" s="1383"/>
      <c r="BO22" s="1387" t="s">
        <v>431</v>
      </c>
      <c r="BP22" s="1383"/>
      <c r="BQ22" s="1387" t="s">
        <v>432</v>
      </c>
      <c r="BR22" s="1383"/>
      <c r="BS22" s="1383"/>
      <c r="BT22" s="1383"/>
      <c r="BU22" s="1383"/>
      <c r="BV22" s="1383"/>
      <c r="BW22" s="1387" t="s">
        <v>431</v>
      </c>
      <c r="BX22" s="1383"/>
      <c r="BY22" s="1387" t="s">
        <v>432</v>
      </c>
      <c r="BZ22" s="1383"/>
      <c r="CA22" s="1383"/>
      <c r="CB22" s="1383"/>
      <c r="CC22" s="1383"/>
      <c r="CD22" s="1383"/>
      <c r="CE22" s="1387" t="s">
        <v>431</v>
      </c>
      <c r="CF22" s="1383"/>
      <c r="CG22" s="1387" t="s">
        <v>432</v>
      </c>
      <c r="CH22" s="1383"/>
      <c r="CI22" s="1383"/>
      <c r="CJ22" s="1383"/>
      <c r="CK22" s="1383"/>
      <c r="CL22" s="1383"/>
      <c r="CM22" s="1387" t="s">
        <v>431</v>
      </c>
      <c r="CN22" s="1383"/>
      <c r="CO22" s="1387" t="s">
        <v>432</v>
      </c>
      <c r="CP22" s="1383"/>
      <c r="CQ22" s="1383"/>
      <c r="CR22" s="1383"/>
      <c r="CS22" s="1383"/>
      <c r="CT22" s="1383"/>
      <c r="CU22" s="1387" t="s">
        <v>431</v>
      </c>
      <c r="CV22" s="1383"/>
      <c r="CW22" s="1387" t="s">
        <v>432</v>
      </c>
      <c r="CX22" s="1383"/>
      <c r="CY22" s="1383"/>
      <c r="CZ22" s="1383"/>
      <c r="DA22" s="1383"/>
      <c r="DB22" s="1383"/>
      <c r="DC22" s="1387" t="s">
        <v>431</v>
      </c>
      <c r="DD22" s="1383"/>
      <c r="DE22" s="1387" t="s">
        <v>432</v>
      </c>
      <c r="DH22" s="507"/>
      <c r="DI22" s="507"/>
      <c r="DJ22" s="507"/>
      <c r="DK22" s="507"/>
      <c r="DL22" s="507"/>
    </row>
    <row customHeight="1" ht="14.25" hidden="1">
      <c r="O23" s="1381"/>
      <c r="P23" s="1328"/>
      <c r="AL23" s="1660"/>
      <c r="AM23" s="1660"/>
      <c r="AN23" s="1660"/>
      <c r="AO23" s="1660"/>
      <c r="AP23" s="1660"/>
      <c r="AQ23" s="1660"/>
      <c r="AR23" s="1660"/>
      <c r="AS23" s="1660"/>
      <c r="AT23" s="1660"/>
      <c r="AU23" s="1660"/>
      <c r="AV23" s="1660"/>
      <c r="AW23" s="1660"/>
      <c r="AX23" s="1660"/>
      <c r="AY23" s="1660"/>
      <c r="AZ23" s="1660"/>
      <c r="BA23" s="1660"/>
      <c r="BB23" s="1660"/>
      <c r="BC23" s="1660"/>
      <c r="BD23" s="1660"/>
      <c r="BE23" s="1660"/>
      <c r="BF23" s="1660"/>
      <c r="BG23" s="1660"/>
      <c r="BH23" s="1660"/>
      <c r="BI23" s="1660"/>
      <c r="BJ23" s="1660"/>
      <c r="BK23" s="1660"/>
      <c r="BL23" s="1660"/>
      <c r="BM23" s="1660"/>
      <c r="BN23" s="1660"/>
      <c r="BO23" s="1660"/>
      <c r="BP23" s="1660"/>
      <c r="BQ23" s="1660"/>
      <c r="BR23" s="1660"/>
      <c r="BS23" s="1660"/>
      <c r="BT23" s="1660"/>
      <c r="BU23" s="1660"/>
      <c r="BV23" s="1660"/>
      <c r="BW23" s="1660"/>
      <c r="BX23" s="1660"/>
      <c r="BY23" s="1660"/>
      <c r="BZ23" s="1660"/>
      <c r="CA23" s="1660"/>
      <c r="CB23" s="1660"/>
      <c r="CC23" s="1660"/>
      <c r="CD23" s="1660"/>
      <c r="CE23" s="1660"/>
      <c r="CF23" s="1660"/>
      <c r="CG23" s="1660"/>
      <c r="CH23" s="1660"/>
      <c r="CI23" s="1660"/>
      <c r="CJ23" s="1660"/>
      <c r="CK23" s="1660"/>
      <c r="CL23" s="1660"/>
      <c r="CM23" s="1660"/>
      <c r="CN23" s="1660"/>
      <c r="CO23" s="1660"/>
      <c r="CP23" s="1660"/>
      <c r="CQ23" s="1660"/>
      <c r="CR23" s="1660"/>
      <c r="CS23" s="1660"/>
      <c r="CT23" s="1660"/>
      <c r="CU23" s="1660"/>
      <c r="CV23" s="1660"/>
      <c r="CW23" s="1660"/>
      <c r="CX23" s="1660"/>
      <c r="CY23" s="1660"/>
      <c r="CZ23" s="1660"/>
      <c r="DA23" s="1660"/>
      <c r="DB23" s="1660"/>
      <c r="DC23" s="1660"/>
      <c r="DD23" s="1660"/>
      <c r="DE23" s="1660"/>
    </row>
    <row customHeight="1" ht="14.25" hidden="1">
      <c r="O24" s="1381"/>
      <c r="P24" s="1328"/>
      <c r="AL24" s="1660"/>
      <c r="AM24" s="1660"/>
      <c r="AN24" s="1660"/>
      <c r="AO24" s="1660"/>
      <c r="AP24" s="1660"/>
      <c r="AQ24" s="1660"/>
      <c r="AR24" s="1660"/>
      <c r="AS24" s="1660"/>
      <c r="AT24" s="1660"/>
      <c r="AU24" s="1660"/>
      <c r="AV24" s="1660"/>
      <c r="AW24" s="1660"/>
      <c r="AX24" s="1660"/>
      <c r="AY24" s="1660"/>
      <c r="AZ24" s="1660"/>
      <c r="BA24" s="1660"/>
      <c r="BB24" s="1660"/>
      <c r="BC24" s="1660"/>
      <c r="BD24" s="1660"/>
      <c r="BE24" s="1660"/>
      <c r="BF24" s="1660"/>
      <c r="BG24" s="1660"/>
      <c r="BH24" s="1660"/>
      <c r="BI24" s="1660"/>
      <c r="BJ24" s="1660"/>
      <c r="BK24" s="1660"/>
      <c r="BL24" s="1660"/>
      <c r="BM24" s="1660"/>
      <c r="BN24" s="1660"/>
      <c r="BO24" s="1660"/>
      <c r="BP24" s="1660"/>
      <c r="BQ24" s="1660"/>
      <c r="BR24" s="1660"/>
      <c r="BS24" s="1660"/>
      <c r="BT24" s="1660"/>
      <c r="BU24" s="1660"/>
      <c r="BV24" s="1660"/>
      <c r="BW24" s="1660"/>
      <c r="BX24" s="1660"/>
      <c r="BY24" s="1660"/>
      <c r="BZ24" s="1660"/>
      <c r="CA24" s="1660"/>
      <c r="CB24" s="1660"/>
      <c r="CC24" s="1660"/>
      <c r="CD24" s="1660"/>
      <c r="CE24" s="1660"/>
      <c r="CF24" s="1660"/>
      <c r="CG24" s="1660"/>
      <c r="CH24" s="1660"/>
      <c r="CI24" s="1660"/>
      <c r="CJ24" s="1660"/>
      <c r="CK24" s="1660"/>
      <c r="CL24" s="1660"/>
      <c r="CM24" s="1660"/>
      <c r="CN24" s="1660"/>
      <c r="CO24" s="1660"/>
      <c r="CP24" s="1660"/>
      <c r="CQ24" s="1660"/>
      <c r="CR24" s="1660"/>
      <c r="CS24" s="1660"/>
      <c r="CT24" s="1660"/>
      <c r="CU24" s="1660"/>
      <c r="CV24" s="1660"/>
      <c r="CW24" s="1660"/>
      <c r="CX24" s="1660"/>
      <c r="CY24" s="1660"/>
      <c r="CZ24" s="1660"/>
      <c r="DA24" s="1660"/>
      <c r="DB24" s="1660"/>
      <c r="DC24" s="1660"/>
      <c r="DD24" s="1660"/>
      <c r="DE24" s="1660"/>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c r="AL25" s="1660"/>
      <c r="AM25" s="1660"/>
      <c r="AN25" s="1660"/>
      <c r="AO25" s="1660"/>
      <c r="AP25" s="1660"/>
      <c r="AQ25" s="1660"/>
      <c r="AR25" s="1660"/>
      <c r="AS25" s="1660"/>
      <c r="AT25" s="1660"/>
      <c r="AU25" s="1660"/>
      <c r="AV25" s="1660"/>
      <c r="AW25" s="1660"/>
      <c r="AX25" s="1660"/>
      <c r="AY25" s="1660"/>
      <c r="AZ25" s="1660"/>
      <c r="BA25" s="1660"/>
      <c r="BB25" s="1660"/>
      <c r="BC25" s="1660"/>
      <c r="BD25" s="1660"/>
      <c r="BE25" s="1660"/>
      <c r="BF25" s="1660"/>
      <c r="BG25" s="1660"/>
      <c r="BH25" s="1660"/>
      <c r="BI25" s="1660"/>
      <c r="BJ25" s="1660"/>
      <c r="BK25" s="1660"/>
      <c r="BL25" s="1660"/>
      <c r="BM25" s="1660"/>
      <c r="BN25" s="1660"/>
      <c r="BO25" s="1660"/>
      <c r="BP25" s="1660"/>
      <c r="BQ25" s="1660"/>
      <c r="BR25" s="1660"/>
      <c r="BS25" s="1660"/>
      <c r="BT25" s="1660"/>
      <c r="BU25" s="1660"/>
      <c r="BV25" s="1660"/>
      <c r="BW25" s="1660"/>
      <c r="BX25" s="1660"/>
      <c r="BY25" s="1660"/>
      <c r="BZ25" s="1660"/>
      <c r="CA25" s="1660"/>
      <c r="CB25" s="1660"/>
      <c r="CC25" s="1660"/>
      <c r="CD25" s="1660"/>
      <c r="CE25" s="1660"/>
      <c r="CF25" s="1660"/>
      <c r="CG25" s="1660"/>
      <c r="CH25" s="1660"/>
      <c r="CI25" s="1660"/>
      <c r="CJ25" s="1660"/>
      <c r="CK25" s="1660"/>
      <c r="CL25" s="1660"/>
      <c r="CM25" s="1660"/>
      <c r="CN25" s="1660"/>
      <c r="CO25" s="1660"/>
      <c r="CP25" s="1660"/>
      <c r="CQ25" s="1660"/>
      <c r="CR25" s="1660"/>
      <c r="CS25" s="1660"/>
      <c r="CT25" s="1660"/>
      <c r="CU25" s="1660"/>
      <c r="CV25" s="1660"/>
      <c r="CW25" s="1660"/>
      <c r="CX25" s="1660"/>
      <c r="CY25" s="1660"/>
      <c r="CZ25" s="1660"/>
      <c r="DA25" s="1660"/>
      <c r="DB25" s="1660"/>
      <c r="DC25" s="1660"/>
      <c r="DD25" s="1660"/>
      <c r="DE25" s="1660"/>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c r="AL26" s="2122"/>
      <c r="AM26" s="2122"/>
      <c r="AN26" s="2122"/>
      <c r="AO26" s="2122"/>
      <c r="AP26" s="2122"/>
      <c r="AQ26" s="2122"/>
      <c r="AR26" s="2122"/>
      <c r="AS26" s="2122"/>
      <c r="AT26" s="2122"/>
      <c r="AU26" s="2122"/>
      <c r="AV26" s="2122"/>
      <c r="AW26" s="2122"/>
      <c r="AX26" s="2122"/>
      <c r="AY26" s="2122"/>
      <c r="AZ26" s="2122"/>
      <c r="BA26" s="2122"/>
      <c r="BB26" s="2122"/>
      <c r="BC26" s="2122"/>
      <c r="BD26" s="2122"/>
      <c r="BE26" s="2122"/>
      <c r="BF26" s="2122"/>
      <c r="BG26" s="2122"/>
      <c r="BH26" s="2122"/>
      <c r="BI26" s="2122"/>
      <c r="BJ26" s="2122"/>
      <c r="BK26" s="2122"/>
      <c r="BL26" s="2122"/>
      <c r="BM26" s="2122"/>
      <c r="BN26" s="2122"/>
      <c r="BO26" s="2122"/>
      <c r="BP26" s="2122"/>
      <c r="BQ26" s="2122"/>
      <c r="BR26" s="2122"/>
      <c r="BS26" s="2122"/>
      <c r="BT26" s="2122"/>
      <c r="BU26" s="2122"/>
      <c r="BV26" s="2122"/>
      <c r="BW26" s="2122"/>
      <c r="BX26" s="2122"/>
      <c r="BY26" s="2122"/>
      <c r="BZ26" s="2122"/>
      <c r="CA26" s="2122"/>
      <c r="CB26" s="2122"/>
      <c r="CC26" s="2122"/>
      <c r="CD26" s="2122"/>
      <c r="CE26" s="2122"/>
      <c r="CF26" s="2122"/>
      <c r="CG26" s="2122"/>
      <c r="CH26" s="2122"/>
      <c r="CI26" s="2122"/>
      <c r="CJ26" s="2122"/>
      <c r="CK26" s="2122"/>
      <c r="CL26" s="2122"/>
      <c r="CM26" s="2122"/>
      <c r="CN26" s="2122"/>
      <c r="CO26" s="2122"/>
      <c r="CP26" s="2122"/>
      <c r="CQ26" s="2122"/>
      <c r="CR26" s="2122"/>
      <c r="CS26" s="2122"/>
      <c r="CT26" s="2122"/>
      <c r="CU26" s="2122"/>
      <c r="CV26" s="2122"/>
      <c r="CW26" s="2122"/>
      <c r="CX26" s="2122"/>
      <c r="CY26" s="2122"/>
      <c r="CZ26" s="2122"/>
      <c r="DA26" s="2122"/>
      <c r="DB26" s="2122"/>
      <c r="DC26" s="2122"/>
      <c r="DD26" s="2122"/>
      <c r="DE26" s="2122"/>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c r="AL27" s="2123"/>
      <c r="AM27" s="2123"/>
      <c r="AN27" s="2123"/>
      <c r="AO27" s="2123"/>
      <c r="AP27" s="2123"/>
      <c r="AQ27" s="2123"/>
      <c r="AR27" s="2123"/>
      <c r="AS27" s="2123"/>
      <c r="AT27" s="2123"/>
      <c r="AU27" s="2123"/>
      <c r="AV27" s="2123"/>
      <c r="AW27" s="2123"/>
      <c r="AX27" s="2123"/>
      <c r="AY27" s="2123"/>
      <c r="AZ27" s="2123"/>
      <c r="BA27" s="2123"/>
      <c r="BB27" s="2123"/>
      <c r="BC27" s="2123"/>
      <c r="BD27" s="2123"/>
      <c r="BE27" s="2123"/>
      <c r="BF27" s="2123"/>
      <c r="BG27" s="2123"/>
      <c r="BH27" s="2123"/>
      <c r="BI27" s="2123"/>
      <c r="BJ27" s="2123"/>
      <c r="BK27" s="2123"/>
      <c r="BL27" s="2123"/>
      <c r="BM27" s="2123"/>
      <c r="BN27" s="2123"/>
      <c r="BO27" s="2123"/>
      <c r="BP27" s="2123"/>
      <c r="BQ27" s="2123"/>
      <c r="BR27" s="2123"/>
      <c r="BS27" s="2123"/>
      <c r="BT27" s="2123"/>
      <c r="BU27" s="2123"/>
      <c r="BV27" s="2123"/>
      <c r="BW27" s="2123"/>
      <c r="BX27" s="2123"/>
      <c r="BY27" s="2123"/>
      <c r="BZ27" s="2123"/>
      <c r="CA27" s="2123"/>
      <c r="CB27" s="2123"/>
      <c r="CC27" s="2123"/>
      <c r="CD27" s="2123"/>
      <c r="CE27" s="2123"/>
      <c r="CF27" s="2123"/>
      <c r="CG27" s="2123"/>
      <c r="CH27" s="2123"/>
      <c r="CI27" s="2123"/>
      <c r="CJ27" s="2123"/>
      <c r="CK27" s="2123"/>
      <c r="CL27" s="2123"/>
      <c r="CM27" s="2123"/>
      <c r="CN27" s="2123"/>
      <c r="CO27" s="2123"/>
      <c r="CP27" s="2123"/>
      <c r="CQ27" s="2123"/>
      <c r="CR27" s="2123"/>
      <c r="CS27" s="2123"/>
      <c r="CT27" s="2123"/>
      <c r="CU27" s="2123"/>
      <c r="CV27" s="2123"/>
      <c r="CW27" s="2123"/>
      <c r="CX27" s="2123"/>
      <c r="CY27" s="2123"/>
      <c r="CZ27" s="2123"/>
      <c r="DA27" s="2123"/>
      <c r="DB27" s="2123"/>
      <c r="DC27" s="2123"/>
      <c r="DD27" s="2123"/>
      <c r="DE27" s="2123"/>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308"/>
      <c r="AU28" s="308"/>
      <c r="AV28" s="308"/>
      <c r="AW28" s="308"/>
      <c r="AX28" s="308"/>
      <c r="AY28" s="308"/>
      <c r="AZ28" s="308"/>
      <c r="BA28" s="308"/>
      <c r="BB28" s="308"/>
      <c r="BC28" s="308"/>
      <c r="BD28" s="308"/>
      <c r="BE28" s="308"/>
      <c r="BF28" s="308"/>
      <c r="BG28" s="308"/>
      <c r="BH28" s="308"/>
      <c r="BI28" s="308"/>
      <c r="BJ28" s="308"/>
      <c r="BK28" s="308"/>
      <c r="BL28" s="308"/>
      <c r="BM28" s="308"/>
      <c r="BN28" s="308"/>
      <c r="BO28" s="308"/>
      <c r="BP28" s="308"/>
      <c r="BQ28" s="308"/>
      <c r="BR28" s="308"/>
      <c r="BS28" s="308"/>
      <c r="BT28" s="308"/>
      <c r="BU28" s="308"/>
      <c r="BV28" s="308"/>
      <c r="BW28" s="308"/>
      <c r="BX28" s="308"/>
      <c r="BY28" s="308"/>
      <c r="BZ28" s="308"/>
      <c r="CA28" s="308"/>
      <c r="CB28" s="308"/>
      <c r="CC28" s="308"/>
      <c r="CD28" s="308"/>
      <c r="CE28" s="308"/>
      <c r="CF28" s="308"/>
      <c r="CG28" s="308"/>
      <c r="CH28" s="308"/>
      <c r="CI28" s="308"/>
      <c r="CJ28" s="308"/>
      <c r="CK28" s="308"/>
      <c r="CL28" s="308"/>
      <c r="CM28" s="308"/>
      <c r="CN28" s="308"/>
      <c r="CO28" s="308"/>
      <c r="CP28" s="308"/>
      <c r="CQ28" s="308"/>
      <c r="CR28" s="308"/>
      <c r="CS28" s="308"/>
      <c r="CT28" s="308"/>
      <c r="CU28" s="308"/>
      <c r="CV28" s="308"/>
      <c r="CW28" s="308"/>
      <c r="CX28" s="308"/>
      <c r="CY28" s="308"/>
      <c r="CZ28" s="308"/>
      <c r="DA28" s="308"/>
      <c r="DB28" s="308"/>
      <c r="DC28" s="308"/>
      <c r="DD28" s="308"/>
      <c r="DE28" s="308"/>
      <c r="DF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тарифам Санкт-Петербурга</v>
      </c>
      <c r="W29" s="2082"/>
      <c r="X29" s="2082"/>
      <c r="Y29" s="2082"/>
      <c r="Z29" s="2082"/>
      <c r="AA29" s="2082"/>
      <c r="AB29" s="2082"/>
      <c r="AC29" s="314"/>
      <c r="AD29" s="2082" t="str">
        <f>IF(TITLE_NAME_OR_PR_CHANGE="",IF(TITLE_NAME_OR_PR="","",TITLE_NAME_OR_PR),TITLE_NAME_OR_PR_CHANGE)</f>
        <v>Комитет по тарифам Санкт-Петербурга</v>
      </c>
      <c r="AE29" s="2082"/>
      <c r="AF29" s="2082"/>
      <c r="AG29" s="2082"/>
      <c r="AH29" s="2082"/>
      <c r="AI29" s="2082"/>
      <c r="AJ29" s="2082"/>
      <c r="AK29" s="314"/>
      <c r="AL29" s="2082" t="str">
        <f>IF(TITLE_NAME_OR_PR_CHANGE="",IF(TITLE_NAME_OR_PR="","",TITLE_NAME_OR_PR),TITLE_NAME_OR_PR_CHANGE)</f>
        <v>Комитет по тарифам Санкт-Петербурга</v>
      </c>
      <c r="AM29" s="2082"/>
      <c r="AN29" s="2082"/>
      <c r="AO29" s="2082"/>
      <c r="AP29" s="2082"/>
      <c r="AQ29" s="2082"/>
      <c r="AR29" s="2082"/>
      <c r="AS29" s="1660"/>
      <c r="AT29" s="2082" t="str">
        <f>IF(TITLE_NAME_OR_PR_CHANGE="",IF(TITLE_NAME_OR_PR="","",TITLE_NAME_OR_PR),TITLE_NAME_OR_PR_CHANGE)</f>
        <v>Комитет по тарифам Санкт-Петербурга</v>
      </c>
      <c r="AU29" s="2082"/>
      <c r="AV29" s="2082"/>
      <c r="AW29" s="2082"/>
      <c r="AX29" s="2082"/>
      <c r="AY29" s="2082"/>
      <c r="AZ29" s="2082"/>
      <c r="BA29" s="1660"/>
      <c r="BB29" s="2082" t="str">
        <f>IF(TITLE_NAME_OR_PR_CHANGE="",IF(TITLE_NAME_OR_PR="","",TITLE_NAME_OR_PR),TITLE_NAME_OR_PR_CHANGE)</f>
        <v>Комитет по тарифам Санкт-Петербурга</v>
      </c>
      <c r="BC29" s="2082"/>
      <c r="BD29" s="2082"/>
      <c r="BE29" s="2082"/>
      <c r="BF29" s="2082"/>
      <c r="BG29" s="2082"/>
      <c r="BH29" s="2082"/>
      <c r="BI29" s="1660"/>
      <c r="BJ29" s="2082" t="str">
        <f>IF(TITLE_NAME_OR_PR_CHANGE="",IF(TITLE_NAME_OR_PR="","",TITLE_NAME_OR_PR),TITLE_NAME_OR_PR_CHANGE)</f>
        <v>Комитет по тарифам Санкт-Петербурга</v>
      </c>
      <c r="BK29" s="2082"/>
      <c r="BL29" s="2082"/>
      <c r="BM29" s="2082"/>
      <c r="BN29" s="2082"/>
      <c r="BO29" s="2082"/>
      <c r="BP29" s="2082"/>
      <c r="BQ29" s="1660"/>
      <c r="BR29" s="2082" t="str">
        <f>IF(TITLE_NAME_OR_PR_CHANGE="",IF(TITLE_NAME_OR_PR="","",TITLE_NAME_OR_PR),TITLE_NAME_OR_PR_CHANGE)</f>
        <v>Комитет по тарифам Санкт-Петербурга</v>
      </c>
      <c r="BS29" s="2082"/>
      <c r="BT29" s="2082"/>
      <c r="BU29" s="2082"/>
      <c r="BV29" s="2082"/>
      <c r="BW29" s="2082"/>
      <c r="BX29" s="2082"/>
      <c r="BY29" s="1660"/>
      <c r="BZ29" s="2082" t="str">
        <f>IF(TITLE_NAME_OR_PR_CHANGE="",IF(TITLE_NAME_OR_PR="","",TITLE_NAME_OR_PR),TITLE_NAME_OR_PR_CHANGE)</f>
        <v>Комитет по тарифам Санкт-Петербурга</v>
      </c>
      <c r="CA29" s="2082"/>
      <c r="CB29" s="2082"/>
      <c r="CC29" s="2082"/>
      <c r="CD29" s="2082"/>
      <c r="CE29" s="2082"/>
      <c r="CF29" s="2082"/>
      <c r="CG29" s="1660"/>
      <c r="CH29" s="2082" t="str">
        <f>IF(TITLE_NAME_OR_PR_CHANGE="",IF(TITLE_NAME_OR_PR="","",TITLE_NAME_OR_PR),TITLE_NAME_OR_PR_CHANGE)</f>
        <v>Комитет по тарифам Санкт-Петербурга</v>
      </c>
      <c r="CI29" s="2082"/>
      <c r="CJ29" s="2082"/>
      <c r="CK29" s="2082"/>
      <c r="CL29" s="2082"/>
      <c r="CM29" s="2082"/>
      <c r="CN29" s="2082"/>
      <c r="CO29" s="1660"/>
      <c r="CP29" s="2082" t="str">
        <f>IF(TITLE_NAME_OR_PR_CHANGE="",IF(TITLE_NAME_OR_PR="","",TITLE_NAME_OR_PR),TITLE_NAME_OR_PR_CHANGE)</f>
        <v>Комитет по тарифам Санкт-Петербурга</v>
      </c>
      <c r="CQ29" s="2082"/>
      <c r="CR29" s="2082"/>
      <c r="CS29" s="2082"/>
      <c r="CT29" s="2082"/>
      <c r="CU29" s="2082"/>
      <c r="CV29" s="2082"/>
      <c r="CW29" s="1660"/>
      <c r="CX29" s="2082" t="str">
        <f>IF(TITLE_NAME_OR_PR_CHANGE="",IF(TITLE_NAME_OR_PR="","",TITLE_NAME_OR_PR),TITLE_NAME_OR_PR_CHANGE)</f>
        <v>Комитет по тарифам Санкт-Петербурга</v>
      </c>
      <c r="CY29" s="2082"/>
      <c r="CZ29" s="2082"/>
      <c r="DA29" s="2082"/>
      <c r="DB29" s="2082"/>
      <c r="DC29" s="2082"/>
      <c r="DD29" s="2082"/>
      <c r="DE29" s="1660"/>
      <c r="DF29" s="314"/>
      <c r="DG29" s="261"/>
      <c r="DH29" s="360"/>
      <c r="DI29" s="360"/>
      <c r="DJ29" s="360"/>
      <c r="DK29" s="360"/>
      <c r="DL29" s="360"/>
    </row>
    <row s="1877" customFormat="1" customHeight="1" ht="18.75">
      <c r="A30" s="1385"/>
      <c r="B30" s="1385"/>
      <c r="C30" s="1385"/>
      <c r="D30" s="1385"/>
      <c r="E30" s="1385"/>
      <c r="F30" s="1385"/>
      <c r="G30" s="1385"/>
      <c r="H30" s="1385"/>
      <c r="I30" s="1385"/>
      <c r="J30" s="1385"/>
      <c r="K30" s="1385"/>
      <c r="L30" s="1386"/>
      <c r="M30" s="1385"/>
      <c r="N30" s="1385"/>
      <c r="O30" s="1385"/>
      <c r="S30" s="2080" t="s">
        <v>434</v>
      </c>
      <c r="T30" s="2080"/>
      <c r="U30" s="1389"/>
      <c r="V30" s="2081" t="str">
        <f>IF(TITLE_DATE_PR_CHANGE="",IF(TITLE_DATE_PR="","",TITLE_DATE_PR),TITLE_DATE_PR_CHANGE)</f>
        <v>45280.49324074074</v>
      </c>
      <c r="W30" s="2081"/>
      <c r="X30" s="2081"/>
      <c r="Y30" s="2081"/>
      <c r="Z30" s="2081"/>
      <c r="AA30" s="2081"/>
      <c r="AB30" s="2081"/>
      <c r="AC30" s="314"/>
      <c r="AD30" s="2081" t="str">
        <f>IF(TITLE_DATE_PR_CHANGE="",IF(TITLE_DATE_PR="","",TITLE_DATE_PR),TITLE_DATE_PR_CHANGE)</f>
        <v>45280.49324074074</v>
      </c>
      <c r="AE30" s="2081"/>
      <c r="AF30" s="2081"/>
      <c r="AG30" s="2081"/>
      <c r="AH30" s="2081"/>
      <c r="AI30" s="2081"/>
      <c r="AJ30" s="2081"/>
      <c r="AK30" s="314"/>
      <c r="AL30" s="2081" t="str">
        <f>IF(TITLE_DATE_PR_CHANGE="",IF(TITLE_DATE_PR="","",TITLE_DATE_PR),TITLE_DATE_PR_CHANGE)</f>
        <v>45280.49324074074</v>
      </c>
      <c r="AM30" s="2081"/>
      <c r="AN30" s="2081"/>
      <c r="AO30" s="2081"/>
      <c r="AP30" s="2081"/>
      <c r="AQ30" s="2081"/>
      <c r="AR30" s="2081"/>
      <c r="AS30" s="1660"/>
      <c r="AT30" s="2081" t="str">
        <f>IF(TITLE_DATE_PR_CHANGE="",IF(TITLE_DATE_PR="","",TITLE_DATE_PR),TITLE_DATE_PR_CHANGE)</f>
        <v>45280.49324074074</v>
      </c>
      <c r="AU30" s="2081"/>
      <c r="AV30" s="2081"/>
      <c r="AW30" s="2081"/>
      <c r="AX30" s="2081"/>
      <c r="AY30" s="2081"/>
      <c r="AZ30" s="2081"/>
      <c r="BA30" s="1660"/>
      <c r="BB30" s="2081" t="str">
        <f>IF(TITLE_DATE_PR_CHANGE="",IF(TITLE_DATE_PR="","",TITLE_DATE_PR),TITLE_DATE_PR_CHANGE)</f>
        <v>45280.49324074074</v>
      </c>
      <c r="BC30" s="2081"/>
      <c r="BD30" s="2081"/>
      <c r="BE30" s="2081"/>
      <c r="BF30" s="2081"/>
      <c r="BG30" s="2081"/>
      <c r="BH30" s="2081"/>
      <c r="BI30" s="1660"/>
      <c r="BJ30" s="2081" t="str">
        <f>IF(TITLE_DATE_PR_CHANGE="",IF(TITLE_DATE_PR="","",TITLE_DATE_PR),TITLE_DATE_PR_CHANGE)</f>
        <v>45280.49324074074</v>
      </c>
      <c r="BK30" s="2081"/>
      <c r="BL30" s="2081"/>
      <c r="BM30" s="2081"/>
      <c r="BN30" s="2081"/>
      <c r="BO30" s="2081"/>
      <c r="BP30" s="2081"/>
      <c r="BQ30" s="1660"/>
      <c r="BR30" s="2081" t="str">
        <f>IF(TITLE_DATE_PR_CHANGE="",IF(TITLE_DATE_PR="","",TITLE_DATE_PR),TITLE_DATE_PR_CHANGE)</f>
        <v>45280.49324074074</v>
      </c>
      <c r="BS30" s="2081"/>
      <c r="BT30" s="2081"/>
      <c r="BU30" s="2081"/>
      <c r="BV30" s="2081"/>
      <c r="BW30" s="2081"/>
      <c r="BX30" s="2081"/>
      <c r="BY30" s="1660"/>
      <c r="BZ30" s="2081" t="str">
        <f>IF(TITLE_DATE_PR_CHANGE="",IF(TITLE_DATE_PR="","",TITLE_DATE_PR),TITLE_DATE_PR_CHANGE)</f>
        <v>45280.49324074074</v>
      </c>
      <c r="CA30" s="2081"/>
      <c r="CB30" s="2081"/>
      <c r="CC30" s="2081"/>
      <c r="CD30" s="2081"/>
      <c r="CE30" s="2081"/>
      <c r="CF30" s="2081"/>
      <c r="CG30" s="1660"/>
      <c r="CH30" s="2081" t="str">
        <f>IF(TITLE_DATE_PR_CHANGE="",IF(TITLE_DATE_PR="","",TITLE_DATE_PR),TITLE_DATE_PR_CHANGE)</f>
        <v>45280.49324074074</v>
      </c>
      <c r="CI30" s="2081"/>
      <c r="CJ30" s="2081"/>
      <c r="CK30" s="2081"/>
      <c r="CL30" s="2081"/>
      <c r="CM30" s="2081"/>
      <c r="CN30" s="2081"/>
      <c r="CO30" s="1660"/>
      <c r="CP30" s="2081" t="str">
        <f>IF(TITLE_DATE_PR_CHANGE="",IF(TITLE_DATE_PR="","",TITLE_DATE_PR),TITLE_DATE_PR_CHANGE)</f>
        <v>45280.49324074074</v>
      </c>
      <c r="CQ30" s="2081"/>
      <c r="CR30" s="2081"/>
      <c r="CS30" s="2081"/>
      <c r="CT30" s="2081"/>
      <c r="CU30" s="2081"/>
      <c r="CV30" s="2081"/>
      <c r="CW30" s="1660"/>
      <c r="CX30" s="2081" t="str">
        <f>IF(TITLE_DATE_PR_CHANGE="",IF(TITLE_DATE_PR="","",TITLE_DATE_PR),TITLE_DATE_PR_CHANGE)</f>
        <v>45280.49324074074</v>
      </c>
      <c r="CY30" s="2081"/>
      <c r="CZ30" s="2081"/>
      <c r="DA30" s="2081"/>
      <c r="DB30" s="2081"/>
      <c r="DC30" s="2081"/>
      <c r="DD30" s="2081"/>
      <c r="DE30" s="1660"/>
      <c r="DF30" s="314"/>
      <c r="DG30" s="261"/>
      <c r="DH30" s="360"/>
      <c r="DI30" s="360"/>
      <c r="DJ30" s="360"/>
      <c r="DK30" s="360"/>
      <c r="DL30" s="360"/>
    </row>
    <row s="1877" customFormat="1" customHeight="1" ht="18.75">
      <c r="A31" s="1385"/>
      <c r="B31" s="1385"/>
      <c r="C31" s="1385"/>
      <c r="D31" s="1385"/>
      <c r="E31" s="1385"/>
      <c r="F31" s="1385"/>
      <c r="G31" s="1385"/>
      <c r="H31" s="1385"/>
      <c r="I31" s="1385"/>
      <c r="J31" s="1385"/>
      <c r="K31" s="1385"/>
      <c r="L31" s="1386"/>
      <c r="M31" s="1385"/>
      <c r="N31" s="1385"/>
      <c r="O31" s="1385"/>
      <c r="S31" s="2080" t="s">
        <v>435</v>
      </c>
      <c r="T31" s="2080"/>
      <c r="U31" s="1389"/>
      <c r="V31" s="2082" t="str">
        <f>IF(TITLE_NUMBER_PR_CHANGE="",IF(TITLE_NUMBER_PR="","",TITLE_NUMBER_PR),TITLE_NUMBER_PR_CHANGE)</f>
        <v>262-р</v>
      </c>
      <c r="W31" s="2082"/>
      <c r="X31" s="2082"/>
      <c r="Y31" s="2082"/>
      <c r="Z31" s="2082"/>
      <c r="AA31" s="2082"/>
      <c r="AB31" s="2082"/>
      <c r="AC31" s="314"/>
      <c r="AD31" s="2082" t="str">
        <f>IF(TITLE_NUMBER_PR_CHANGE="",IF(TITLE_NUMBER_PR="","",TITLE_NUMBER_PR),TITLE_NUMBER_PR_CHANGE)</f>
        <v>262-р</v>
      </c>
      <c r="AE31" s="2082"/>
      <c r="AF31" s="2082"/>
      <c r="AG31" s="2082"/>
      <c r="AH31" s="2082"/>
      <c r="AI31" s="2082"/>
      <c r="AJ31" s="2082"/>
      <c r="AK31" s="314"/>
      <c r="AL31" s="2082" t="str">
        <f>IF(TITLE_NUMBER_PR_CHANGE="",IF(TITLE_NUMBER_PR="","",TITLE_NUMBER_PR),TITLE_NUMBER_PR_CHANGE)</f>
        <v>262-р</v>
      </c>
      <c r="AM31" s="2082"/>
      <c r="AN31" s="2082"/>
      <c r="AO31" s="2082"/>
      <c r="AP31" s="2082"/>
      <c r="AQ31" s="2082"/>
      <c r="AR31" s="2082"/>
      <c r="AS31" s="1660"/>
      <c r="AT31" s="2082" t="str">
        <f>IF(TITLE_NUMBER_PR_CHANGE="",IF(TITLE_NUMBER_PR="","",TITLE_NUMBER_PR),TITLE_NUMBER_PR_CHANGE)</f>
        <v>262-р</v>
      </c>
      <c r="AU31" s="2082"/>
      <c r="AV31" s="2082"/>
      <c r="AW31" s="2082"/>
      <c r="AX31" s="2082"/>
      <c r="AY31" s="2082"/>
      <c r="AZ31" s="2082"/>
      <c r="BA31" s="1660"/>
      <c r="BB31" s="2082" t="str">
        <f>IF(TITLE_NUMBER_PR_CHANGE="",IF(TITLE_NUMBER_PR="","",TITLE_NUMBER_PR),TITLE_NUMBER_PR_CHANGE)</f>
        <v>262-р</v>
      </c>
      <c r="BC31" s="2082"/>
      <c r="BD31" s="2082"/>
      <c r="BE31" s="2082"/>
      <c r="BF31" s="2082"/>
      <c r="BG31" s="2082"/>
      <c r="BH31" s="2082"/>
      <c r="BI31" s="1660"/>
      <c r="BJ31" s="2082" t="str">
        <f>IF(TITLE_NUMBER_PR_CHANGE="",IF(TITLE_NUMBER_PR="","",TITLE_NUMBER_PR),TITLE_NUMBER_PR_CHANGE)</f>
        <v>262-р</v>
      </c>
      <c r="BK31" s="2082"/>
      <c r="BL31" s="2082"/>
      <c r="BM31" s="2082"/>
      <c r="BN31" s="2082"/>
      <c r="BO31" s="2082"/>
      <c r="BP31" s="2082"/>
      <c r="BQ31" s="1660"/>
      <c r="BR31" s="2082" t="str">
        <f>IF(TITLE_NUMBER_PR_CHANGE="",IF(TITLE_NUMBER_PR="","",TITLE_NUMBER_PR),TITLE_NUMBER_PR_CHANGE)</f>
        <v>262-р</v>
      </c>
      <c r="BS31" s="2082"/>
      <c r="BT31" s="2082"/>
      <c r="BU31" s="2082"/>
      <c r="BV31" s="2082"/>
      <c r="BW31" s="2082"/>
      <c r="BX31" s="2082"/>
      <c r="BY31" s="1660"/>
      <c r="BZ31" s="2082" t="str">
        <f>IF(TITLE_NUMBER_PR_CHANGE="",IF(TITLE_NUMBER_PR="","",TITLE_NUMBER_PR),TITLE_NUMBER_PR_CHANGE)</f>
        <v>262-р</v>
      </c>
      <c r="CA31" s="2082"/>
      <c r="CB31" s="2082"/>
      <c r="CC31" s="2082"/>
      <c r="CD31" s="2082"/>
      <c r="CE31" s="2082"/>
      <c r="CF31" s="2082"/>
      <c r="CG31" s="1660"/>
      <c r="CH31" s="2082" t="str">
        <f>IF(TITLE_NUMBER_PR_CHANGE="",IF(TITLE_NUMBER_PR="","",TITLE_NUMBER_PR),TITLE_NUMBER_PR_CHANGE)</f>
        <v>262-р</v>
      </c>
      <c r="CI31" s="2082"/>
      <c r="CJ31" s="2082"/>
      <c r="CK31" s="2082"/>
      <c r="CL31" s="2082"/>
      <c r="CM31" s="2082"/>
      <c r="CN31" s="2082"/>
      <c r="CO31" s="1660"/>
      <c r="CP31" s="2082" t="str">
        <f>IF(TITLE_NUMBER_PR_CHANGE="",IF(TITLE_NUMBER_PR="","",TITLE_NUMBER_PR),TITLE_NUMBER_PR_CHANGE)</f>
        <v>262-р</v>
      </c>
      <c r="CQ31" s="2082"/>
      <c r="CR31" s="2082"/>
      <c r="CS31" s="2082"/>
      <c r="CT31" s="2082"/>
      <c r="CU31" s="2082"/>
      <c r="CV31" s="2082"/>
      <c r="CW31" s="1660"/>
      <c r="CX31" s="2082" t="str">
        <f>IF(TITLE_NUMBER_PR_CHANGE="",IF(TITLE_NUMBER_PR="","",TITLE_NUMBER_PR),TITLE_NUMBER_PR_CHANGE)</f>
        <v>262-р</v>
      </c>
      <c r="CY31" s="2082"/>
      <c r="CZ31" s="2082"/>
      <c r="DA31" s="2082"/>
      <c r="DB31" s="2082"/>
      <c r="DC31" s="2082"/>
      <c r="DD31" s="2082"/>
      <c r="DE31" s="1660"/>
      <c r="DF31" s="314"/>
      <c r="DG31" s="261"/>
      <c r="DH31" s="360"/>
      <c r="DI31" s="360"/>
      <c r="DJ31" s="360"/>
      <c r="DK31" s="360"/>
      <c r="DL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https://www.gov.spb.ru/static/writable/documents/2023/12/22/%D0%BE%D1%82_20.12.2023__262-%D1%80.pdf</v>
      </c>
      <c r="W32" s="2082"/>
      <c r="X32" s="2082"/>
      <c r="Y32" s="2082"/>
      <c r="Z32" s="2082"/>
      <c r="AA32" s="2082"/>
      <c r="AB32" s="2082"/>
      <c r="AC32" s="314"/>
      <c r="AD32" s="2082" t="str">
        <f>IF(TITLE_IST_PUB_CHANGE="",IF(TITLE_IST_PUB="","",TITLE_IST_PUB),TITLE_IST_PUB_CHANGE)</f>
        <v>https://www.gov.spb.ru/static/writable/documents/2023/12/22/%D0%BE%D1%82_20.12.2023__262-%D1%80.pdf</v>
      </c>
      <c r="AE32" s="2082"/>
      <c r="AF32" s="2082"/>
      <c r="AG32" s="2082"/>
      <c r="AH32" s="2082"/>
      <c r="AI32" s="2082"/>
      <c r="AJ32" s="2082"/>
      <c r="AK32" s="314"/>
      <c r="AL32" s="2082" t="str">
        <f>IF(TITLE_IST_PUB_CHANGE="",IF(TITLE_IST_PUB="","",TITLE_IST_PUB),TITLE_IST_PUB_CHANGE)</f>
        <v>https://www.gov.spb.ru/static/writable/documents/2023/12/22/%D0%BE%D1%82_20.12.2023__262-%D1%80.pdf</v>
      </c>
      <c r="AM32" s="2082"/>
      <c r="AN32" s="2082"/>
      <c r="AO32" s="2082"/>
      <c r="AP32" s="2082"/>
      <c r="AQ32" s="2082"/>
      <c r="AR32" s="2082"/>
      <c r="AS32" s="1660"/>
      <c r="AT32" s="2082" t="str">
        <f>IF(TITLE_IST_PUB_CHANGE="",IF(TITLE_IST_PUB="","",TITLE_IST_PUB),TITLE_IST_PUB_CHANGE)</f>
        <v>https://www.gov.spb.ru/static/writable/documents/2023/12/22/%D0%BE%D1%82_20.12.2023__262-%D1%80.pdf</v>
      </c>
      <c r="AU32" s="2082"/>
      <c r="AV32" s="2082"/>
      <c r="AW32" s="2082"/>
      <c r="AX32" s="2082"/>
      <c r="AY32" s="2082"/>
      <c r="AZ32" s="2082"/>
      <c r="BA32" s="1660"/>
      <c r="BB32" s="2082" t="str">
        <f>IF(TITLE_IST_PUB_CHANGE="",IF(TITLE_IST_PUB="","",TITLE_IST_PUB),TITLE_IST_PUB_CHANGE)</f>
        <v>https://www.gov.spb.ru/static/writable/documents/2023/12/22/%D0%BE%D1%82_20.12.2023__262-%D1%80.pdf</v>
      </c>
      <c r="BC32" s="2082"/>
      <c r="BD32" s="2082"/>
      <c r="BE32" s="2082"/>
      <c r="BF32" s="2082"/>
      <c r="BG32" s="2082"/>
      <c r="BH32" s="2082"/>
      <c r="BI32" s="1660"/>
      <c r="BJ32" s="2082" t="str">
        <f>IF(TITLE_IST_PUB_CHANGE="",IF(TITLE_IST_PUB="","",TITLE_IST_PUB),TITLE_IST_PUB_CHANGE)</f>
        <v>https://www.gov.spb.ru/static/writable/documents/2023/12/22/%D0%BE%D1%82_20.12.2023__262-%D1%80.pdf</v>
      </c>
      <c r="BK32" s="2082"/>
      <c r="BL32" s="2082"/>
      <c r="BM32" s="2082"/>
      <c r="BN32" s="2082"/>
      <c r="BO32" s="2082"/>
      <c r="BP32" s="2082"/>
      <c r="BQ32" s="1660"/>
      <c r="BR32" s="2082" t="str">
        <f>IF(TITLE_IST_PUB_CHANGE="",IF(TITLE_IST_PUB="","",TITLE_IST_PUB),TITLE_IST_PUB_CHANGE)</f>
        <v>https://www.gov.spb.ru/static/writable/documents/2023/12/22/%D0%BE%D1%82_20.12.2023__262-%D1%80.pdf</v>
      </c>
      <c r="BS32" s="2082"/>
      <c r="BT32" s="2082"/>
      <c r="BU32" s="2082"/>
      <c r="BV32" s="2082"/>
      <c r="BW32" s="2082"/>
      <c r="BX32" s="2082"/>
      <c r="BY32" s="1660"/>
      <c r="BZ32" s="2082" t="str">
        <f>IF(TITLE_IST_PUB_CHANGE="",IF(TITLE_IST_PUB="","",TITLE_IST_PUB),TITLE_IST_PUB_CHANGE)</f>
        <v>https://www.gov.spb.ru/static/writable/documents/2023/12/22/%D0%BE%D1%82_20.12.2023__262-%D1%80.pdf</v>
      </c>
      <c r="CA32" s="2082"/>
      <c r="CB32" s="2082"/>
      <c r="CC32" s="2082"/>
      <c r="CD32" s="2082"/>
      <c r="CE32" s="2082"/>
      <c r="CF32" s="2082"/>
      <c r="CG32" s="1660"/>
      <c r="CH32" s="2082" t="str">
        <f>IF(TITLE_IST_PUB_CHANGE="",IF(TITLE_IST_PUB="","",TITLE_IST_PUB),TITLE_IST_PUB_CHANGE)</f>
        <v>https://www.gov.spb.ru/static/writable/documents/2023/12/22/%D0%BE%D1%82_20.12.2023__262-%D1%80.pdf</v>
      </c>
      <c r="CI32" s="2082"/>
      <c r="CJ32" s="2082"/>
      <c r="CK32" s="2082"/>
      <c r="CL32" s="2082"/>
      <c r="CM32" s="2082"/>
      <c r="CN32" s="2082"/>
      <c r="CO32" s="1660"/>
      <c r="CP32" s="2082" t="str">
        <f>IF(TITLE_IST_PUB_CHANGE="",IF(TITLE_IST_PUB="","",TITLE_IST_PUB),TITLE_IST_PUB_CHANGE)</f>
        <v>https://www.gov.spb.ru/static/writable/documents/2023/12/22/%D0%BE%D1%82_20.12.2023__262-%D1%80.pdf</v>
      </c>
      <c r="CQ32" s="2082"/>
      <c r="CR32" s="2082"/>
      <c r="CS32" s="2082"/>
      <c r="CT32" s="2082"/>
      <c r="CU32" s="2082"/>
      <c r="CV32" s="2082"/>
      <c r="CW32" s="1660"/>
      <c r="CX32" s="2082" t="str">
        <f>IF(TITLE_IST_PUB_CHANGE="",IF(TITLE_IST_PUB="","",TITLE_IST_PUB),TITLE_IST_PUB_CHANGE)</f>
        <v>https://www.gov.spb.ru/static/writable/documents/2023/12/22/%D0%BE%D1%82_20.12.2023__262-%D1%80.pdf</v>
      </c>
      <c r="CY32" s="2082"/>
      <c r="CZ32" s="2082"/>
      <c r="DA32" s="2082"/>
      <c r="DB32" s="2082"/>
      <c r="DC32" s="2082"/>
      <c r="DD32" s="2082"/>
      <c r="DE32" s="1660"/>
      <c r="DF32" s="314"/>
      <c r="DG32" s="261"/>
      <c r="DH32" s="360"/>
      <c r="DI32" s="360"/>
      <c r="DJ32" s="360"/>
      <c r="DK32" s="360"/>
      <c r="DL32" s="360"/>
    </row>
    <row customHeight="1" ht="14.25" hidden="1">
      <c r="P33" s="1345"/>
      <c r="Q33" s="368"/>
      <c r="R33" s="368"/>
      <c r="S33" s="1292"/>
      <c r="T33" s="353"/>
      <c r="U33" s="353"/>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308"/>
      <c r="AU33" s="308"/>
      <c r="AV33" s="308"/>
      <c r="AW33" s="308"/>
      <c r="AX33" s="308"/>
      <c r="AY33" s="308"/>
      <c r="AZ33" s="308"/>
      <c r="BA33" s="308"/>
      <c r="BB33" s="308"/>
      <c r="BC33" s="308"/>
      <c r="BD33" s="308"/>
      <c r="BE33" s="308"/>
      <c r="BF33" s="308"/>
      <c r="BG33" s="308"/>
      <c r="BH33" s="308"/>
      <c r="BI33" s="308"/>
      <c r="BJ33" s="308"/>
      <c r="BK33" s="308"/>
      <c r="BL33" s="308"/>
      <c r="BM33" s="308"/>
      <c r="BN33" s="308"/>
      <c r="BO33" s="308"/>
      <c r="BP33" s="308"/>
      <c r="BQ33" s="308"/>
      <c r="BR33" s="308"/>
      <c r="BS33" s="308"/>
      <c r="BT33" s="308"/>
      <c r="BU33" s="308"/>
      <c r="BV33" s="308"/>
      <c r="BW33" s="308"/>
      <c r="BX33" s="308"/>
      <c r="BY33" s="308"/>
      <c r="BZ33" s="308"/>
      <c r="CA33" s="308"/>
      <c r="CB33" s="308"/>
      <c r="CC33" s="308"/>
      <c r="CD33" s="308"/>
      <c r="CE33" s="308"/>
      <c r="CF33" s="308"/>
      <c r="CG33" s="308"/>
      <c r="CH33" s="308"/>
      <c r="CI33" s="308"/>
      <c r="CJ33" s="308"/>
      <c r="CK33" s="308"/>
      <c r="CL33" s="308"/>
      <c r="CM33" s="308"/>
      <c r="CN33" s="308"/>
      <c r="CO33" s="308"/>
      <c r="CP33" s="308"/>
      <c r="CQ33" s="308"/>
      <c r="CR33" s="308"/>
      <c r="CS33" s="308"/>
      <c r="CT33" s="308"/>
      <c r="CU33" s="308"/>
      <c r="CV33" s="308"/>
      <c r="CW33" s="308"/>
      <c r="CX33" s="308"/>
      <c r="CY33" s="308"/>
      <c r="CZ33" s="308"/>
      <c r="DA33" s="308"/>
      <c r="DB33" s="308"/>
      <c r="DC33" s="308"/>
      <c r="DD33" s="308"/>
      <c r="DE33" s="308"/>
      <c r="DF33" s="505"/>
    </row>
    <row s="1877" customFormat="1" customHeight="1" ht="18.75" hidden="1">
      <c r="A34" s="1385"/>
      <c r="B34" s="1385"/>
      <c r="C34" s="1385"/>
      <c r="D34" s="1385"/>
      <c r="E34" s="1385"/>
      <c r="F34" s="1385"/>
      <c r="G34" s="1385"/>
      <c r="H34" s="1385"/>
      <c r="I34" s="1385"/>
      <c r="J34" s="1385"/>
      <c r="K34" s="1385"/>
      <c r="L34" s="1386"/>
      <c r="M34" s="1385"/>
      <c r="N34" s="1385"/>
      <c r="O34" s="1385"/>
      <c r="S34" s="2080" t="s">
        <v>436</v>
      </c>
      <c r="T34" s="2080"/>
      <c r="U34" s="1389"/>
      <c r="V34" s="2081" t="str">
        <f>IF(TITLE_DATE_PR_CHANGE="",IF(TITLE_DATE_PR="","",TITLE_DATE_PR),TITLE_DATE_PR_CHANGE)</f>
        <v>45280.49324074074</v>
      </c>
      <c r="W34" s="2081"/>
      <c r="X34" s="2081"/>
      <c r="Y34" s="2081"/>
      <c r="Z34" s="2081"/>
      <c r="AA34" s="2081"/>
      <c r="AB34" s="2081"/>
      <c r="AC34" s="314"/>
      <c r="AD34" s="2081" t="str">
        <f>IF(TITLE_DATE_PR_CHANGE="",IF(TITLE_DATE_PR="","",TITLE_DATE_PR),TITLE_DATE_PR_CHANGE)</f>
        <v>45280.49324074074</v>
      </c>
      <c r="AE34" s="2081"/>
      <c r="AF34" s="2081"/>
      <c r="AG34" s="2081"/>
      <c r="AH34" s="2081"/>
      <c r="AI34" s="2081"/>
      <c r="AJ34" s="2081"/>
      <c r="AK34" s="314"/>
      <c r="AL34" s="2081" t="str">
        <f>IF(TITLE_DATE_PR_CHANGE="",IF(TITLE_DATE_PR="","",TITLE_DATE_PR),TITLE_DATE_PR_CHANGE)</f>
        <v>45280.49324074074</v>
      </c>
      <c r="AM34" s="2081"/>
      <c r="AN34" s="2081"/>
      <c r="AO34" s="2081"/>
      <c r="AP34" s="2081"/>
      <c r="AQ34" s="2081"/>
      <c r="AR34" s="2081"/>
      <c r="AS34" s="1660"/>
      <c r="AT34" s="2081" t="str">
        <f>IF(TITLE_DATE_PR_CHANGE="",IF(TITLE_DATE_PR="","",TITLE_DATE_PR),TITLE_DATE_PR_CHANGE)</f>
        <v>45280.49324074074</v>
      </c>
      <c r="AU34" s="2081"/>
      <c r="AV34" s="2081"/>
      <c r="AW34" s="2081"/>
      <c r="AX34" s="2081"/>
      <c r="AY34" s="2081"/>
      <c r="AZ34" s="2081"/>
      <c r="BA34" s="1660"/>
      <c r="BB34" s="2081" t="str">
        <f>IF(TITLE_DATE_PR_CHANGE="",IF(TITLE_DATE_PR="","",TITLE_DATE_PR),TITLE_DATE_PR_CHANGE)</f>
        <v>45280.49324074074</v>
      </c>
      <c r="BC34" s="2081"/>
      <c r="BD34" s="2081"/>
      <c r="BE34" s="2081"/>
      <c r="BF34" s="2081"/>
      <c r="BG34" s="2081"/>
      <c r="BH34" s="2081"/>
      <c r="BI34" s="1660"/>
      <c r="BJ34" s="2081" t="str">
        <f>IF(TITLE_DATE_PR_CHANGE="",IF(TITLE_DATE_PR="","",TITLE_DATE_PR),TITLE_DATE_PR_CHANGE)</f>
        <v>45280.49324074074</v>
      </c>
      <c r="BK34" s="2081"/>
      <c r="BL34" s="2081"/>
      <c r="BM34" s="2081"/>
      <c r="BN34" s="2081"/>
      <c r="BO34" s="2081"/>
      <c r="BP34" s="2081"/>
      <c r="BQ34" s="1660"/>
      <c r="BR34" s="2081" t="str">
        <f>IF(TITLE_DATE_PR_CHANGE="",IF(TITLE_DATE_PR="","",TITLE_DATE_PR),TITLE_DATE_PR_CHANGE)</f>
        <v>45280.49324074074</v>
      </c>
      <c r="BS34" s="2081"/>
      <c r="BT34" s="2081"/>
      <c r="BU34" s="2081"/>
      <c r="BV34" s="2081"/>
      <c r="BW34" s="2081"/>
      <c r="BX34" s="2081"/>
      <c r="BY34" s="1660"/>
      <c r="BZ34" s="2081" t="str">
        <f>IF(TITLE_DATE_PR_CHANGE="",IF(TITLE_DATE_PR="","",TITLE_DATE_PR),TITLE_DATE_PR_CHANGE)</f>
        <v>45280.49324074074</v>
      </c>
      <c r="CA34" s="2081"/>
      <c r="CB34" s="2081"/>
      <c r="CC34" s="2081"/>
      <c r="CD34" s="2081"/>
      <c r="CE34" s="2081"/>
      <c r="CF34" s="2081"/>
      <c r="CG34" s="1660"/>
      <c r="CH34" s="2081" t="str">
        <f>IF(TITLE_DATE_PR_CHANGE="",IF(TITLE_DATE_PR="","",TITLE_DATE_PR),TITLE_DATE_PR_CHANGE)</f>
        <v>45280.49324074074</v>
      </c>
      <c r="CI34" s="2081"/>
      <c r="CJ34" s="2081"/>
      <c r="CK34" s="2081"/>
      <c r="CL34" s="2081"/>
      <c r="CM34" s="2081"/>
      <c r="CN34" s="2081"/>
      <c r="CO34" s="1660"/>
      <c r="CP34" s="2081" t="str">
        <f>IF(TITLE_DATE_PR_CHANGE="",IF(TITLE_DATE_PR="","",TITLE_DATE_PR),TITLE_DATE_PR_CHANGE)</f>
        <v>45280.49324074074</v>
      </c>
      <c r="CQ34" s="2081"/>
      <c r="CR34" s="2081"/>
      <c r="CS34" s="2081"/>
      <c r="CT34" s="2081"/>
      <c r="CU34" s="2081"/>
      <c r="CV34" s="2081"/>
      <c r="CW34" s="1660"/>
      <c r="CX34" s="2081" t="str">
        <f>IF(TITLE_DATE_PR_CHANGE="",IF(TITLE_DATE_PR="","",TITLE_DATE_PR),TITLE_DATE_PR_CHANGE)</f>
        <v>45280.49324074074</v>
      </c>
      <c r="CY34" s="2081"/>
      <c r="CZ34" s="2081"/>
      <c r="DA34" s="2081"/>
      <c r="DB34" s="2081"/>
      <c r="DC34" s="2081"/>
      <c r="DD34" s="2081"/>
      <c r="DE34" s="1660"/>
      <c r="DF34" s="314"/>
      <c r="DG34" s="261"/>
      <c r="DH34" s="360"/>
      <c r="DI34" s="360"/>
      <c r="DJ34" s="360"/>
      <c r="DK34" s="360"/>
      <c r="DL34" s="360"/>
    </row>
    <row s="1877" customFormat="1" customHeight="1" ht="18.75" hidden="1">
      <c r="A35" s="1385"/>
      <c r="B35" s="1385"/>
      <c r="C35" s="1385"/>
      <c r="D35" s="1385"/>
      <c r="E35" s="1385"/>
      <c r="F35" s="1385"/>
      <c r="G35" s="1385"/>
      <c r="H35" s="1385"/>
      <c r="I35" s="1385"/>
      <c r="J35" s="1385"/>
      <c r="K35" s="1385"/>
      <c r="L35" s="1386"/>
      <c r="M35" s="1385"/>
      <c r="N35" s="1385"/>
      <c r="O35" s="1385"/>
      <c r="S35" s="2080" t="s">
        <v>437</v>
      </c>
      <c r="T35" s="2080"/>
      <c r="U35" s="1389"/>
      <c r="V35" s="2082" t="str">
        <f>IF(TITLE_NUMBER_PR_CHANGE="",IF(TITLE_NUMBER_PR="","",TITLE_NUMBER_PR),TITLE_NUMBER_PR_CHANGE)</f>
        <v>262-р</v>
      </c>
      <c r="W35" s="2082"/>
      <c r="X35" s="2082"/>
      <c r="Y35" s="2082"/>
      <c r="Z35" s="2082"/>
      <c r="AA35" s="2082"/>
      <c r="AB35" s="2082"/>
      <c r="AC35" s="314"/>
      <c r="AD35" s="2082" t="str">
        <f>IF(TITLE_NUMBER_PR_CHANGE="",IF(TITLE_NUMBER_PR="","",TITLE_NUMBER_PR),TITLE_NUMBER_PR_CHANGE)</f>
        <v>262-р</v>
      </c>
      <c r="AE35" s="2082"/>
      <c r="AF35" s="2082"/>
      <c r="AG35" s="2082"/>
      <c r="AH35" s="2082"/>
      <c r="AI35" s="2082"/>
      <c r="AJ35" s="2082"/>
      <c r="AK35" s="314"/>
      <c r="AL35" s="2082" t="str">
        <f>IF(TITLE_NUMBER_PR_CHANGE="",IF(TITLE_NUMBER_PR="","",TITLE_NUMBER_PR),TITLE_NUMBER_PR_CHANGE)</f>
        <v>262-р</v>
      </c>
      <c r="AM35" s="2082"/>
      <c r="AN35" s="2082"/>
      <c r="AO35" s="2082"/>
      <c r="AP35" s="2082"/>
      <c r="AQ35" s="2082"/>
      <c r="AR35" s="2082"/>
      <c r="AS35" s="1660"/>
      <c r="AT35" s="2082" t="str">
        <f>IF(TITLE_NUMBER_PR_CHANGE="",IF(TITLE_NUMBER_PR="","",TITLE_NUMBER_PR),TITLE_NUMBER_PR_CHANGE)</f>
        <v>262-р</v>
      </c>
      <c r="AU35" s="2082"/>
      <c r="AV35" s="2082"/>
      <c r="AW35" s="2082"/>
      <c r="AX35" s="2082"/>
      <c r="AY35" s="2082"/>
      <c r="AZ35" s="2082"/>
      <c r="BA35" s="1660"/>
      <c r="BB35" s="2082" t="str">
        <f>IF(TITLE_NUMBER_PR_CHANGE="",IF(TITLE_NUMBER_PR="","",TITLE_NUMBER_PR),TITLE_NUMBER_PR_CHANGE)</f>
        <v>262-р</v>
      </c>
      <c r="BC35" s="2082"/>
      <c r="BD35" s="2082"/>
      <c r="BE35" s="2082"/>
      <c r="BF35" s="2082"/>
      <c r="BG35" s="2082"/>
      <c r="BH35" s="2082"/>
      <c r="BI35" s="1660"/>
      <c r="BJ35" s="2082" t="str">
        <f>IF(TITLE_NUMBER_PR_CHANGE="",IF(TITLE_NUMBER_PR="","",TITLE_NUMBER_PR),TITLE_NUMBER_PR_CHANGE)</f>
        <v>262-р</v>
      </c>
      <c r="BK35" s="2082"/>
      <c r="BL35" s="2082"/>
      <c r="BM35" s="2082"/>
      <c r="BN35" s="2082"/>
      <c r="BO35" s="2082"/>
      <c r="BP35" s="2082"/>
      <c r="BQ35" s="1660"/>
      <c r="BR35" s="2082" t="str">
        <f>IF(TITLE_NUMBER_PR_CHANGE="",IF(TITLE_NUMBER_PR="","",TITLE_NUMBER_PR),TITLE_NUMBER_PR_CHANGE)</f>
        <v>262-р</v>
      </c>
      <c r="BS35" s="2082"/>
      <c r="BT35" s="2082"/>
      <c r="BU35" s="2082"/>
      <c r="BV35" s="2082"/>
      <c r="BW35" s="2082"/>
      <c r="BX35" s="2082"/>
      <c r="BY35" s="1660"/>
      <c r="BZ35" s="2082" t="str">
        <f>IF(TITLE_NUMBER_PR_CHANGE="",IF(TITLE_NUMBER_PR="","",TITLE_NUMBER_PR),TITLE_NUMBER_PR_CHANGE)</f>
        <v>262-р</v>
      </c>
      <c r="CA35" s="2082"/>
      <c r="CB35" s="2082"/>
      <c r="CC35" s="2082"/>
      <c r="CD35" s="2082"/>
      <c r="CE35" s="2082"/>
      <c r="CF35" s="2082"/>
      <c r="CG35" s="1660"/>
      <c r="CH35" s="2082" t="str">
        <f>IF(TITLE_NUMBER_PR_CHANGE="",IF(TITLE_NUMBER_PR="","",TITLE_NUMBER_PR),TITLE_NUMBER_PR_CHANGE)</f>
        <v>262-р</v>
      </c>
      <c r="CI35" s="2082"/>
      <c r="CJ35" s="2082"/>
      <c r="CK35" s="2082"/>
      <c r="CL35" s="2082"/>
      <c r="CM35" s="2082"/>
      <c r="CN35" s="2082"/>
      <c r="CO35" s="1660"/>
      <c r="CP35" s="2082" t="str">
        <f>IF(TITLE_NUMBER_PR_CHANGE="",IF(TITLE_NUMBER_PR="","",TITLE_NUMBER_PR),TITLE_NUMBER_PR_CHANGE)</f>
        <v>262-р</v>
      </c>
      <c r="CQ35" s="2082"/>
      <c r="CR35" s="2082"/>
      <c r="CS35" s="2082"/>
      <c r="CT35" s="2082"/>
      <c r="CU35" s="2082"/>
      <c r="CV35" s="2082"/>
      <c r="CW35" s="1660"/>
      <c r="CX35" s="2082" t="str">
        <f>IF(TITLE_NUMBER_PR_CHANGE="",IF(TITLE_NUMBER_PR="","",TITLE_NUMBER_PR),TITLE_NUMBER_PR_CHANGE)</f>
        <v>262-р</v>
      </c>
      <c r="CY35" s="2082"/>
      <c r="CZ35" s="2082"/>
      <c r="DA35" s="2082"/>
      <c r="DB35" s="2082"/>
      <c r="DC35" s="2082"/>
      <c r="DD35" s="2082"/>
      <c r="DE35" s="1660"/>
      <c r="DF35" s="314"/>
      <c r="DG35" s="261"/>
      <c r="DH35" s="360"/>
      <c r="DI35" s="360"/>
      <c r="DJ35" s="360"/>
      <c r="DK35" s="360"/>
      <c r="DL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220"/>
      <c r="V36" s="314"/>
      <c r="W36" s="314"/>
      <c r="X36" s="314"/>
      <c r="Y36" s="314"/>
      <c r="Z36" s="314"/>
      <c r="AA36" s="314"/>
      <c r="AB36" s="314"/>
      <c r="AC36" s="259" t="s">
        <v>438</v>
      </c>
      <c r="AD36" s="314"/>
      <c r="AE36" s="314"/>
      <c r="AF36" s="314"/>
      <c r="AG36" s="314"/>
      <c r="AH36" s="314"/>
      <c r="AI36" s="314"/>
      <c r="AJ36" s="314"/>
      <c r="AK36" s="259" t="s">
        <v>438</v>
      </c>
      <c r="AL36" s="1660"/>
      <c r="AM36" s="1660"/>
      <c r="AN36" s="1660"/>
      <c r="AO36" s="1660"/>
      <c r="AP36" s="1660"/>
      <c r="AQ36" s="1660"/>
      <c r="AR36" s="1660"/>
      <c r="AS36" s="1667" t="s">
        <v>438</v>
      </c>
      <c r="AT36" s="1660"/>
      <c r="AU36" s="1660"/>
      <c r="AV36" s="1660"/>
      <c r="AW36" s="1660"/>
      <c r="AX36" s="1660"/>
      <c r="AY36" s="1660"/>
      <c r="AZ36" s="1660"/>
      <c r="BA36" s="1667" t="s">
        <v>438</v>
      </c>
      <c r="BB36" s="1660"/>
      <c r="BC36" s="1660"/>
      <c r="BD36" s="1660"/>
      <c r="BE36" s="1660"/>
      <c r="BF36" s="1660"/>
      <c r="BG36" s="1660"/>
      <c r="BH36" s="1660"/>
      <c r="BI36" s="1667" t="s">
        <v>438</v>
      </c>
      <c r="BJ36" s="1660"/>
      <c r="BK36" s="1660"/>
      <c r="BL36" s="1660"/>
      <c r="BM36" s="1660"/>
      <c r="BN36" s="1660"/>
      <c r="BO36" s="1660"/>
      <c r="BP36" s="1660"/>
      <c r="BQ36" s="1667" t="s">
        <v>438</v>
      </c>
      <c r="BR36" s="1660"/>
      <c r="BS36" s="1660"/>
      <c r="BT36" s="1660"/>
      <c r="BU36" s="1660"/>
      <c r="BV36" s="1660"/>
      <c r="BW36" s="1660"/>
      <c r="BX36" s="1660"/>
      <c r="BY36" s="1667" t="s">
        <v>438</v>
      </c>
      <c r="BZ36" s="1660"/>
      <c r="CA36" s="1660"/>
      <c r="CB36" s="1660"/>
      <c r="CC36" s="1660"/>
      <c r="CD36" s="1660"/>
      <c r="CE36" s="1660"/>
      <c r="CF36" s="1660"/>
      <c r="CG36" s="1667" t="s">
        <v>438</v>
      </c>
      <c r="CH36" s="1660"/>
      <c r="CI36" s="1660"/>
      <c r="CJ36" s="1660"/>
      <c r="CK36" s="1660"/>
      <c r="CL36" s="1660"/>
      <c r="CM36" s="1660"/>
      <c r="CN36" s="1660"/>
      <c r="CO36" s="1667" t="s">
        <v>438</v>
      </c>
      <c r="CP36" s="1660"/>
      <c r="CQ36" s="1660"/>
      <c r="CR36" s="1660"/>
      <c r="CS36" s="1660"/>
      <c r="CT36" s="1660"/>
      <c r="CU36" s="1660"/>
      <c r="CV36" s="1660"/>
      <c r="CW36" s="1667" t="s">
        <v>438</v>
      </c>
      <c r="CX36" s="1660"/>
      <c r="CY36" s="1660"/>
      <c r="CZ36" s="1660"/>
      <c r="DA36" s="1660"/>
      <c r="DB36" s="1660"/>
      <c r="DC36" s="1660"/>
      <c r="DD36" s="1660"/>
      <c r="DE36" s="1667" t="s">
        <v>438</v>
      </c>
      <c r="DH36" s="360"/>
      <c r="DI36" s="360"/>
      <c r="DJ36" s="360"/>
      <c r="DK36" s="360"/>
      <c r="DL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c r="AL37" s="2106" t="s">
        <v>163</v>
      </c>
      <c r="AM37" s="2106"/>
      <c r="AN37" s="2106"/>
      <c r="AO37" s="2106"/>
      <c r="AP37" s="2106"/>
      <c r="AQ37" s="2106"/>
      <c r="AR37" s="2106"/>
      <c r="AS37" s="2106"/>
      <c r="AT37" s="2106" t="s">
        <v>163</v>
      </c>
      <c r="AU37" s="2106"/>
      <c r="AV37" s="2106"/>
      <c r="AW37" s="2106"/>
      <c r="AX37" s="2106"/>
      <c r="AY37" s="2106"/>
      <c r="AZ37" s="2106"/>
      <c r="BA37" s="2106"/>
      <c r="BB37" s="2106" t="s">
        <v>163</v>
      </c>
      <c r="BC37" s="2106"/>
      <c r="BD37" s="2106"/>
      <c r="BE37" s="2106"/>
      <c r="BF37" s="2106"/>
      <c r="BG37" s="2106"/>
      <c r="BH37" s="2106"/>
      <c r="BI37" s="2106"/>
      <c r="BJ37" s="2106" t="s">
        <v>163</v>
      </c>
      <c r="BK37" s="2106"/>
      <c r="BL37" s="2106"/>
      <c r="BM37" s="2106"/>
      <c r="BN37" s="2106"/>
      <c r="BO37" s="2106"/>
      <c r="BP37" s="2106"/>
      <c r="BQ37" s="2106"/>
      <c r="BR37" s="2106" t="s">
        <v>163</v>
      </c>
      <c r="BS37" s="2106"/>
      <c r="BT37" s="2106"/>
      <c r="BU37" s="2106"/>
      <c r="BV37" s="2106"/>
      <c r="BW37" s="2106"/>
      <c r="BX37" s="2106"/>
      <c r="BY37" s="2106"/>
      <c r="BZ37" s="2106" t="s">
        <v>163</v>
      </c>
      <c r="CA37" s="2106"/>
      <c r="CB37" s="2106"/>
      <c r="CC37" s="2106"/>
      <c r="CD37" s="2106"/>
      <c r="CE37" s="2106"/>
      <c r="CF37" s="2106"/>
      <c r="CG37" s="2106"/>
      <c r="CH37" s="2106" t="s">
        <v>163</v>
      </c>
      <c r="CI37" s="2106"/>
      <c r="CJ37" s="2106"/>
      <c r="CK37" s="2106"/>
      <c r="CL37" s="2106"/>
      <c r="CM37" s="2106"/>
      <c r="CN37" s="2106"/>
      <c r="CO37" s="2106"/>
      <c r="CP37" s="2106" t="s">
        <v>163</v>
      </c>
      <c r="CQ37" s="2106"/>
      <c r="CR37" s="2106"/>
      <c r="CS37" s="2106"/>
      <c r="CT37" s="2106"/>
      <c r="CU37" s="2106"/>
      <c r="CV37" s="2106"/>
      <c r="CW37" s="2106"/>
      <c r="CX37" s="2106" t="s">
        <v>163</v>
      </c>
      <c r="CY37" s="2106"/>
      <c r="CZ37" s="2106"/>
      <c r="DA37" s="2106"/>
      <c r="DB37" s="2106"/>
      <c r="DC37" s="2106"/>
      <c r="DD37" s="2106"/>
      <c r="DE37" s="2106"/>
    </row>
    <row customHeight="1" ht="14.25">
      <c r="Q38" s="368"/>
      <c r="R38" s="368"/>
      <c r="S38" s="1953" t="s">
        <v>312</v>
      </c>
      <c r="T38" s="1953"/>
      <c r="U38" s="1953"/>
      <c r="V38" s="1953"/>
      <c r="W38" s="1953"/>
      <c r="X38" s="1953"/>
      <c r="Y38" s="1953"/>
      <c r="Z38" s="1953"/>
      <c r="AA38" s="1953"/>
      <c r="AB38" s="1953"/>
      <c r="AC38" s="1953"/>
      <c r="AD38" s="1953"/>
      <c r="AE38" s="1953"/>
      <c r="AF38" s="1953"/>
      <c r="AG38" s="1953"/>
      <c r="AH38" s="1953"/>
      <c r="AI38" s="1953"/>
      <c r="AJ38" s="1953"/>
      <c r="AK38" s="1953"/>
      <c r="AL38" s="2017" t="s">
        <v>312</v>
      </c>
      <c r="AM38" s="2017"/>
      <c r="AN38" s="2017"/>
      <c r="AO38" s="2017"/>
      <c r="AP38" s="2017"/>
      <c r="AQ38" s="2017"/>
      <c r="AR38" s="2017"/>
      <c r="AS38" s="2017"/>
      <c r="AT38" s="2017" t="s">
        <v>312</v>
      </c>
      <c r="AU38" s="2017"/>
      <c r="AV38" s="2017"/>
      <c r="AW38" s="2017"/>
      <c r="AX38" s="2017"/>
      <c r="AY38" s="2017"/>
      <c r="AZ38" s="2017"/>
      <c r="BA38" s="2017"/>
      <c r="BB38" s="2017" t="s">
        <v>312</v>
      </c>
      <c r="BC38" s="2017"/>
      <c r="BD38" s="2017"/>
      <c r="BE38" s="2017"/>
      <c r="BF38" s="2017"/>
      <c r="BG38" s="2017"/>
      <c r="BH38" s="2017"/>
      <c r="BI38" s="2017"/>
      <c r="BJ38" s="2017" t="s">
        <v>312</v>
      </c>
      <c r="BK38" s="2017"/>
      <c r="BL38" s="2017"/>
      <c r="BM38" s="2017"/>
      <c r="BN38" s="2017"/>
      <c r="BO38" s="2017"/>
      <c r="BP38" s="2017"/>
      <c r="BQ38" s="2017"/>
      <c r="BR38" s="2017" t="s">
        <v>312</v>
      </c>
      <c r="BS38" s="2017"/>
      <c r="BT38" s="2017"/>
      <c r="BU38" s="2017"/>
      <c r="BV38" s="2017"/>
      <c r="BW38" s="2017"/>
      <c r="BX38" s="2017"/>
      <c r="BY38" s="2017"/>
      <c r="BZ38" s="2017" t="s">
        <v>312</v>
      </c>
      <c r="CA38" s="2017"/>
      <c r="CB38" s="2017"/>
      <c r="CC38" s="2017"/>
      <c r="CD38" s="2017"/>
      <c r="CE38" s="2017"/>
      <c r="CF38" s="2017"/>
      <c r="CG38" s="2017"/>
      <c r="CH38" s="2017" t="s">
        <v>312</v>
      </c>
      <c r="CI38" s="2017"/>
      <c r="CJ38" s="2017"/>
      <c r="CK38" s="2017"/>
      <c r="CL38" s="2017"/>
      <c r="CM38" s="2017"/>
      <c r="CN38" s="2017"/>
      <c r="CO38" s="2017"/>
      <c r="CP38" s="2017" t="s">
        <v>312</v>
      </c>
      <c r="CQ38" s="2017"/>
      <c r="CR38" s="2017"/>
      <c r="CS38" s="2017"/>
      <c r="CT38" s="2017"/>
      <c r="CU38" s="2017"/>
      <c r="CV38" s="2017"/>
      <c r="CW38" s="2017"/>
      <c r="CX38" s="2017" t="s">
        <v>312</v>
      </c>
      <c r="CY38" s="2017"/>
      <c r="CZ38" s="2017"/>
      <c r="DA38" s="2017"/>
      <c r="DB38" s="2017"/>
      <c r="DC38" s="2017"/>
      <c r="DD38" s="2017"/>
      <c r="DE38" s="2017"/>
      <c r="DF38" s="1953"/>
      <c r="DG38" s="1953"/>
    </row>
    <row customHeight="1" ht="14.25">
      <c r="Q39" s="368"/>
      <c r="R39" s="368"/>
      <c r="S39" s="2107" t="s">
        <v>87</v>
      </c>
      <c r="T39" s="2044" t="s">
        <v>439</v>
      </c>
      <c r="U39" s="281"/>
      <c r="V39" s="2108" t="s">
        <v>440</v>
      </c>
      <c r="W39" s="2109"/>
      <c r="X39" s="2109"/>
      <c r="Y39" s="2109"/>
      <c r="Z39" s="2109"/>
      <c r="AA39" s="2109"/>
      <c r="AB39" s="2110"/>
      <c r="AC39" s="2111" t="s">
        <v>441</v>
      </c>
      <c r="AD39" s="2108" t="s">
        <v>440</v>
      </c>
      <c r="AE39" s="2109"/>
      <c r="AF39" s="2109"/>
      <c r="AG39" s="2109"/>
      <c r="AH39" s="2109"/>
      <c r="AI39" s="2109"/>
      <c r="AJ39" s="2110"/>
      <c r="AK39" s="2111" t="s">
        <v>442</v>
      </c>
      <c r="AL39" s="2224" t="s">
        <v>440</v>
      </c>
      <c r="AM39" s="2225"/>
      <c r="AN39" s="2225"/>
      <c r="AO39" s="2225"/>
      <c r="AP39" s="2225"/>
      <c r="AQ39" s="2225"/>
      <c r="AR39" s="2226"/>
      <c r="AS39" s="2111" t="s">
        <v>441</v>
      </c>
      <c r="AT39" s="2224" t="s">
        <v>440</v>
      </c>
      <c r="AU39" s="2225"/>
      <c r="AV39" s="2225"/>
      <c r="AW39" s="2225"/>
      <c r="AX39" s="2225"/>
      <c r="AY39" s="2225"/>
      <c r="AZ39" s="2226"/>
      <c r="BA39" s="2111" t="s">
        <v>441</v>
      </c>
      <c r="BB39" s="2224" t="s">
        <v>440</v>
      </c>
      <c r="BC39" s="2225"/>
      <c r="BD39" s="2225"/>
      <c r="BE39" s="2225"/>
      <c r="BF39" s="2225"/>
      <c r="BG39" s="2225"/>
      <c r="BH39" s="2226"/>
      <c r="BI39" s="2111" t="s">
        <v>441</v>
      </c>
      <c r="BJ39" s="2224" t="s">
        <v>440</v>
      </c>
      <c r="BK39" s="2225"/>
      <c r="BL39" s="2225"/>
      <c r="BM39" s="2225"/>
      <c r="BN39" s="2225"/>
      <c r="BO39" s="2225"/>
      <c r="BP39" s="2226"/>
      <c r="BQ39" s="2111" t="s">
        <v>441</v>
      </c>
      <c r="BR39" s="2224" t="s">
        <v>440</v>
      </c>
      <c r="BS39" s="2225"/>
      <c r="BT39" s="2225"/>
      <c r="BU39" s="2225"/>
      <c r="BV39" s="2225"/>
      <c r="BW39" s="2225"/>
      <c r="BX39" s="2226"/>
      <c r="BY39" s="2111" t="s">
        <v>441</v>
      </c>
      <c r="BZ39" s="2224" t="s">
        <v>440</v>
      </c>
      <c r="CA39" s="2225"/>
      <c r="CB39" s="2225"/>
      <c r="CC39" s="2225"/>
      <c r="CD39" s="2225"/>
      <c r="CE39" s="2225"/>
      <c r="CF39" s="2226"/>
      <c r="CG39" s="2111" t="s">
        <v>441</v>
      </c>
      <c r="CH39" s="2224" t="s">
        <v>440</v>
      </c>
      <c r="CI39" s="2225"/>
      <c r="CJ39" s="2225"/>
      <c r="CK39" s="2225"/>
      <c r="CL39" s="2225"/>
      <c r="CM39" s="2225"/>
      <c r="CN39" s="2226"/>
      <c r="CO39" s="2111" t="s">
        <v>441</v>
      </c>
      <c r="CP39" s="2224" t="s">
        <v>440</v>
      </c>
      <c r="CQ39" s="2225"/>
      <c r="CR39" s="2225"/>
      <c r="CS39" s="2225"/>
      <c r="CT39" s="2225"/>
      <c r="CU39" s="2225"/>
      <c r="CV39" s="2226"/>
      <c r="CW39" s="2111" t="s">
        <v>441</v>
      </c>
      <c r="CX39" s="2224" t="s">
        <v>440</v>
      </c>
      <c r="CY39" s="2225"/>
      <c r="CZ39" s="2225"/>
      <c r="DA39" s="2225"/>
      <c r="DB39" s="2225"/>
      <c r="DC39" s="2225"/>
      <c r="DD39" s="2226"/>
      <c r="DE39" s="2111" t="s">
        <v>441</v>
      </c>
      <c r="DF39" s="2114" t="s">
        <v>443</v>
      </c>
      <c r="DG39" s="1953"/>
    </row>
    <row customHeight="1" ht="33.75">
      <c r="Q40" s="368"/>
      <c r="R40" s="368"/>
      <c r="S40" s="2107"/>
      <c r="T40" s="2044"/>
      <c r="U40" s="1026"/>
      <c r="V40" s="2117" t="s">
        <v>444</v>
      </c>
      <c r="W40" s="2830" t="s">
        <v>445</v>
      </c>
      <c r="X40" s="2100" t="s">
        <v>446</v>
      </c>
      <c r="Y40" s="2102"/>
      <c r="Z40" s="2100" t="s">
        <v>447</v>
      </c>
      <c r="AA40" s="2101"/>
      <c r="AB40" s="2102"/>
      <c r="AC40" s="2112"/>
      <c r="AD40" s="2117" t="s">
        <v>444</v>
      </c>
      <c r="AE40" s="2098" t="s">
        <v>445</v>
      </c>
      <c r="AF40" s="2100" t="s">
        <v>446</v>
      </c>
      <c r="AG40" s="2102"/>
      <c r="AH40" s="2100" t="s">
        <v>447</v>
      </c>
      <c r="AI40" s="2101"/>
      <c r="AJ40" s="2102"/>
      <c r="AK40" s="2112"/>
      <c r="AL40" s="2015" t="s">
        <v>444</v>
      </c>
      <c r="AM40" s="2830" t="s">
        <v>445</v>
      </c>
      <c r="AN40" s="1937" t="s">
        <v>446</v>
      </c>
      <c r="AO40" s="1939"/>
      <c r="AP40" s="1937" t="s">
        <v>447</v>
      </c>
      <c r="AQ40" s="2016"/>
      <c r="AR40" s="1939"/>
      <c r="AS40" s="2112"/>
      <c r="AT40" s="2015" t="s">
        <v>444</v>
      </c>
      <c r="AU40" s="2830" t="s">
        <v>445</v>
      </c>
      <c r="AV40" s="1937" t="s">
        <v>446</v>
      </c>
      <c r="AW40" s="1939"/>
      <c r="AX40" s="1937" t="s">
        <v>447</v>
      </c>
      <c r="AY40" s="2016"/>
      <c r="AZ40" s="1939"/>
      <c r="BA40" s="2112"/>
      <c r="BB40" s="2015" t="s">
        <v>444</v>
      </c>
      <c r="BC40" s="2830" t="s">
        <v>445</v>
      </c>
      <c r="BD40" s="1937" t="s">
        <v>446</v>
      </c>
      <c r="BE40" s="1939"/>
      <c r="BF40" s="1937" t="s">
        <v>447</v>
      </c>
      <c r="BG40" s="2016"/>
      <c r="BH40" s="1939"/>
      <c r="BI40" s="2112"/>
      <c r="BJ40" s="2015" t="s">
        <v>444</v>
      </c>
      <c r="BK40" s="2830" t="s">
        <v>445</v>
      </c>
      <c r="BL40" s="1937" t="s">
        <v>446</v>
      </c>
      <c r="BM40" s="1939"/>
      <c r="BN40" s="1937" t="s">
        <v>447</v>
      </c>
      <c r="BO40" s="2016"/>
      <c r="BP40" s="1939"/>
      <c r="BQ40" s="2112"/>
      <c r="BR40" s="2015" t="s">
        <v>444</v>
      </c>
      <c r="BS40" s="2830" t="s">
        <v>445</v>
      </c>
      <c r="BT40" s="1937" t="s">
        <v>446</v>
      </c>
      <c r="BU40" s="1939"/>
      <c r="BV40" s="1937" t="s">
        <v>447</v>
      </c>
      <c r="BW40" s="2016"/>
      <c r="BX40" s="1939"/>
      <c r="BY40" s="2112"/>
      <c r="BZ40" s="2015" t="s">
        <v>444</v>
      </c>
      <c r="CA40" s="2830" t="s">
        <v>445</v>
      </c>
      <c r="CB40" s="1937" t="s">
        <v>446</v>
      </c>
      <c r="CC40" s="1939"/>
      <c r="CD40" s="1937" t="s">
        <v>447</v>
      </c>
      <c r="CE40" s="2016"/>
      <c r="CF40" s="1939"/>
      <c r="CG40" s="2112"/>
      <c r="CH40" s="2015" t="s">
        <v>444</v>
      </c>
      <c r="CI40" s="2830" t="s">
        <v>445</v>
      </c>
      <c r="CJ40" s="1937" t="s">
        <v>446</v>
      </c>
      <c r="CK40" s="1939"/>
      <c r="CL40" s="1937" t="s">
        <v>447</v>
      </c>
      <c r="CM40" s="2016"/>
      <c r="CN40" s="1939"/>
      <c r="CO40" s="2112"/>
      <c r="CP40" s="2015" t="s">
        <v>444</v>
      </c>
      <c r="CQ40" s="2830" t="s">
        <v>445</v>
      </c>
      <c r="CR40" s="1937" t="s">
        <v>446</v>
      </c>
      <c r="CS40" s="1939"/>
      <c r="CT40" s="1937" t="s">
        <v>447</v>
      </c>
      <c r="CU40" s="2016"/>
      <c r="CV40" s="1939"/>
      <c r="CW40" s="2112"/>
      <c r="CX40" s="2015" t="s">
        <v>444</v>
      </c>
      <c r="CY40" s="2830" t="s">
        <v>445</v>
      </c>
      <c r="CZ40" s="1937" t="s">
        <v>446</v>
      </c>
      <c r="DA40" s="1939"/>
      <c r="DB40" s="1937" t="s">
        <v>447</v>
      </c>
      <c r="DC40" s="2016"/>
      <c r="DD40" s="1939"/>
      <c r="DE40" s="2112"/>
      <c r="DF40" s="2115"/>
      <c r="DG40" s="1953"/>
    </row>
    <row customHeight="1" ht="33.75">
      <c r="A41" s="1387"/>
      <c r="B41" s="1387" t="s">
        <v>134</v>
      </c>
      <c r="C41" s="1387" t="s">
        <v>135</v>
      </c>
      <c r="D41" s="1387" t="s">
        <v>136</v>
      </c>
      <c r="E41" s="1381" t="s">
        <v>448</v>
      </c>
      <c r="F41" s="1381" t="s">
        <v>449</v>
      </c>
      <c r="G41" s="1381" t="s">
        <v>450</v>
      </c>
      <c r="H41" s="1381" t="s">
        <v>451</v>
      </c>
      <c r="I41" s="1381" t="s">
        <v>452</v>
      </c>
      <c r="J41" s="1381" t="s">
        <v>453</v>
      </c>
      <c r="K41" s="1381" t="s">
        <v>454</v>
      </c>
      <c r="L41" s="1381" t="s">
        <v>429</v>
      </c>
      <c r="Q41" s="368"/>
      <c r="R41" s="368"/>
      <c r="S41" s="2107"/>
      <c r="T41" s="2044"/>
      <c r="U41" s="282"/>
      <c r="V41" s="2118"/>
      <c r="W41" s="2099"/>
      <c r="X41" s="1224" t="s">
        <v>455</v>
      </c>
      <c r="Y41" s="1224" t="s">
        <v>456</v>
      </c>
      <c r="Z41" s="1223" t="s">
        <v>457</v>
      </c>
      <c r="AA41" s="2103" t="s">
        <v>458</v>
      </c>
      <c r="AB41" s="2104"/>
      <c r="AC41" s="2113"/>
      <c r="AD41" s="2118"/>
      <c r="AE41" s="2099"/>
      <c r="AF41" s="1224" t="s">
        <v>455</v>
      </c>
      <c r="AG41" s="1224" t="s">
        <v>456</v>
      </c>
      <c r="AH41" s="1330" t="s">
        <v>457</v>
      </c>
      <c r="AI41" s="2103" t="s">
        <v>458</v>
      </c>
      <c r="AJ41" s="2104"/>
      <c r="AK41" s="2113"/>
      <c r="AL41" s="2072"/>
      <c r="AM41" s="797"/>
      <c r="AN41" s="2360" t="s">
        <v>455</v>
      </c>
      <c r="AO41" s="2360" t="s">
        <v>456</v>
      </c>
      <c r="AP41" s="2360" t="s">
        <v>457</v>
      </c>
      <c r="AQ41" s="2050" t="s">
        <v>458</v>
      </c>
      <c r="AR41" s="2066"/>
      <c r="AS41" s="2113"/>
      <c r="AT41" s="2072"/>
      <c r="AU41" s="797"/>
      <c r="AV41" s="2360" t="s">
        <v>455</v>
      </c>
      <c r="AW41" s="2360" t="s">
        <v>456</v>
      </c>
      <c r="AX41" s="2360" t="s">
        <v>457</v>
      </c>
      <c r="AY41" s="2050" t="s">
        <v>458</v>
      </c>
      <c r="AZ41" s="2066"/>
      <c r="BA41" s="2113"/>
      <c r="BB41" s="2072"/>
      <c r="BC41" s="797"/>
      <c r="BD41" s="2360" t="s">
        <v>455</v>
      </c>
      <c r="BE41" s="2360" t="s">
        <v>456</v>
      </c>
      <c r="BF41" s="2360" t="s">
        <v>457</v>
      </c>
      <c r="BG41" s="2050" t="s">
        <v>458</v>
      </c>
      <c r="BH41" s="2066"/>
      <c r="BI41" s="2113"/>
      <c r="BJ41" s="2072"/>
      <c r="BK41" s="797"/>
      <c r="BL41" s="2360" t="s">
        <v>455</v>
      </c>
      <c r="BM41" s="2360" t="s">
        <v>456</v>
      </c>
      <c r="BN41" s="2360" t="s">
        <v>457</v>
      </c>
      <c r="BO41" s="2050" t="s">
        <v>458</v>
      </c>
      <c r="BP41" s="2066"/>
      <c r="BQ41" s="2113"/>
      <c r="BR41" s="2072"/>
      <c r="BS41" s="797"/>
      <c r="BT41" s="2360" t="s">
        <v>455</v>
      </c>
      <c r="BU41" s="2360" t="s">
        <v>456</v>
      </c>
      <c r="BV41" s="2360" t="s">
        <v>457</v>
      </c>
      <c r="BW41" s="2050" t="s">
        <v>458</v>
      </c>
      <c r="BX41" s="2066"/>
      <c r="BY41" s="2113"/>
      <c r="BZ41" s="2072"/>
      <c r="CA41" s="797"/>
      <c r="CB41" s="2360" t="s">
        <v>455</v>
      </c>
      <c r="CC41" s="2360" t="s">
        <v>456</v>
      </c>
      <c r="CD41" s="2360" t="s">
        <v>457</v>
      </c>
      <c r="CE41" s="2050" t="s">
        <v>458</v>
      </c>
      <c r="CF41" s="2066"/>
      <c r="CG41" s="2113"/>
      <c r="CH41" s="2072"/>
      <c r="CI41" s="797"/>
      <c r="CJ41" s="2360" t="s">
        <v>455</v>
      </c>
      <c r="CK41" s="2360" t="s">
        <v>456</v>
      </c>
      <c r="CL41" s="2360" t="s">
        <v>457</v>
      </c>
      <c r="CM41" s="2050" t="s">
        <v>458</v>
      </c>
      <c r="CN41" s="2066"/>
      <c r="CO41" s="2113"/>
      <c r="CP41" s="2072"/>
      <c r="CQ41" s="797"/>
      <c r="CR41" s="2360" t="s">
        <v>455</v>
      </c>
      <c r="CS41" s="2360" t="s">
        <v>456</v>
      </c>
      <c r="CT41" s="2360" t="s">
        <v>457</v>
      </c>
      <c r="CU41" s="2050" t="s">
        <v>458</v>
      </c>
      <c r="CV41" s="2066"/>
      <c r="CW41" s="2113"/>
      <c r="CX41" s="2072"/>
      <c r="CY41" s="797"/>
      <c r="CZ41" s="2360" t="s">
        <v>455</v>
      </c>
      <c r="DA41" s="2360" t="s">
        <v>456</v>
      </c>
      <c r="DB41" s="2360" t="s">
        <v>457</v>
      </c>
      <c r="DC41" s="2050" t="s">
        <v>458</v>
      </c>
      <c r="DD41" s="2066"/>
      <c r="DE41" s="2113"/>
      <c r="DF41" s="2116"/>
      <c r="DG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269">
        <f>OFFSET(V42,0,-1)+1</f>
        <v>3</v>
      </c>
      <c r="W42" s="1269"/>
      <c r="X42" s="1269">
        <f>OFFSET(X42,0,-1)+1</f>
        <v>1</v>
      </c>
      <c r="Y42" s="1269">
        <f>OFFSET(Y42,0,-1)+1</f>
        <v>2</v>
      </c>
      <c r="Z42" s="1269">
        <f>OFFSET(Z42,0,-1)+1</f>
        <v>3</v>
      </c>
      <c r="AA42" s="2105">
        <f>OFFSET(AA42,0,-1)+1</f>
        <v>4</v>
      </c>
      <c r="AB42" s="2105"/>
      <c r="AC42" s="1269">
        <f>OFFSET(AC42,0,-2)+1</f>
        <v>5</v>
      </c>
      <c r="AD42" s="1329">
        <f>OFFSET(AD42,0,-1)+1</f>
        <v>6</v>
      </c>
      <c r="AE42" s="1329"/>
      <c r="AF42" s="1329">
        <f>OFFSET(AF42,0,-1)+1</f>
        <v>1</v>
      </c>
      <c r="AG42" s="1329">
        <f>OFFSET(AG42,0,-1)+1</f>
        <v>2</v>
      </c>
      <c r="AH42" s="1329">
        <f>OFFSET(AH42,0,-1)+1</f>
        <v>3</v>
      </c>
      <c r="AI42" s="2105">
        <f>OFFSET(AI42,0,-1)+1</f>
        <v>4</v>
      </c>
      <c r="AJ42" s="2105"/>
      <c r="AK42" s="1329">
        <f>OFFSET(AK42,0,-2)+1</f>
        <v>5</v>
      </c>
      <c r="AL42" s="2105">
        <f>OFFSET(AL42,0,-1)+1</f>
        <v>3</v>
      </c>
      <c r="AM42" s="2105"/>
      <c r="AN42" s="2105">
        <f>OFFSET(AN42,0,-1)+1</f>
        <v>1</v>
      </c>
      <c r="AO42" s="2105">
        <f>OFFSET(AO42,0,-1)+1</f>
        <v>2</v>
      </c>
      <c r="AP42" s="2105">
        <f>OFFSET(AP42,0,-1)+1</f>
        <v>3</v>
      </c>
      <c r="AQ42" s="2105">
        <f>OFFSET(AQ42,0,-1)+1</f>
        <v>4</v>
      </c>
      <c r="AR42" s="2105"/>
      <c r="AS42" s="2105">
        <f>OFFSET(AS42,0,-2)+1</f>
        <v>5</v>
      </c>
      <c r="AT42" s="2105">
        <f>OFFSET(AT42,0,-1)+1</f>
        <v>3</v>
      </c>
      <c r="AU42" s="2105"/>
      <c r="AV42" s="2105">
        <f>OFFSET(AV42,0,-1)+1</f>
        <v>1</v>
      </c>
      <c r="AW42" s="2105">
        <f>OFFSET(AW42,0,-1)+1</f>
        <v>2</v>
      </c>
      <c r="AX42" s="2105">
        <f>OFFSET(AX42,0,-1)+1</f>
        <v>3</v>
      </c>
      <c r="AY42" s="2105">
        <f>OFFSET(AY42,0,-1)+1</f>
        <v>4</v>
      </c>
      <c r="AZ42" s="2105"/>
      <c r="BA42" s="2105">
        <f>OFFSET(BA42,0,-2)+1</f>
        <v>5</v>
      </c>
      <c r="BB42" s="2105">
        <f>OFFSET(BB42,0,-1)+1</f>
        <v>3</v>
      </c>
      <c r="BC42" s="2105"/>
      <c r="BD42" s="2105">
        <f>OFFSET(BD42,0,-1)+1</f>
        <v>1</v>
      </c>
      <c r="BE42" s="2105">
        <f>OFFSET(BE42,0,-1)+1</f>
        <v>2</v>
      </c>
      <c r="BF42" s="2105">
        <f>OFFSET(BF42,0,-1)+1</f>
        <v>3</v>
      </c>
      <c r="BG42" s="2105">
        <f>OFFSET(BG42,0,-1)+1</f>
        <v>4</v>
      </c>
      <c r="BH42" s="2105"/>
      <c r="BI42" s="2105">
        <f>OFFSET(BI42,0,-2)+1</f>
        <v>5</v>
      </c>
      <c r="BJ42" s="2105">
        <f>OFFSET(BJ42,0,-1)+1</f>
        <v>3</v>
      </c>
      <c r="BK42" s="2105"/>
      <c r="BL42" s="2105">
        <f>OFFSET(BL42,0,-1)+1</f>
        <v>1</v>
      </c>
      <c r="BM42" s="2105">
        <f>OFFSET(BM42,0,-1)+1</f>
        <v>2</v>
      </c>
      <c r="BN42" s="2105">
        <f>OFFSET(BN42,0,-1)+1</f>
        <v>3</v>
      </c>
      <c r="BO42" s="2105">
        <f>OFFSET(BO42,0,-1)+1</f>
        <v>4</v>
      </c>
      <c r="BP42" s="2105"/>
      <c r="BQ42" s="2105">
        <f>OFFSET(BQ42,0,-2)+1</f>
        <v>5</v>
      </c>
      <c r="BR42" s="2105">
        <f>OFFSET(BR42,0,-1)+1</f>
        <v>3</v>
      </c>
      <c r="BS42" s="2105"/>
      <c r="BT42" s="2105">
        <f>OFFSET(BT42,0,-1)+1</f>
        <v>1</v>
      </c>
      <c r="BU42" s="2105">
        <f>OFFSET(BU42,0,-1)+1</f>
        <v>2</v>
      </c>
      <c r="BV42" s="2105">
        <f>OFFSET(BV42,0,-1)+1</f>
        <v>3</v>
      </c>
      <c r="BW42" s="2105">
        <f>OFFSET(BW42,0,-1)+1</f>
        <v>4</v>
      </c>
      <c r="BX42" s="2105"/>
      <c r="BY42" s="2105">
        <f>OFFSET(BY42,0,-2)+1</f>
        <v>5</v>
      </c>
      <c r="BZ42" s="2105">
        <f>OFFSET(BZ42,0,-1)+1</f>
        <v>3</v>
      </c>
      <c r="CA42" s="2105"/>
      <c r="CB42" s="2105">
        <f>OFFSET(CB42,0,-1)+1</f>
        <v>1</v>
      </c>
      <c r="CC42" s="2105">
        <f>OFFSET(CC42,0,-1)+1</f>
        <v>2</v>
      </c>
      <c r="CD42" s="2105">
        <f>OFFSET(CD42,0,-1)+1</f>
        <v>3</v>
      </c>
      <c r="CE42" s="2105">
        <f>OFFSET(CE42,0,-1)+1</f>
        <v>4</v>
      </c>
      <c r="CF42" s="2105"/>
      <c r="CG42" s="2105">
        <f>OFFSET(CG42,0,-2)+1</f>
        <v>5</v>
      </c>
      <c r="CH42" s="2105">
        <f>OFFSET(CH42,0,-1)+1</f>
        <v>3</v>
      </c>
      <c r="CI42" s="2105"/>
      <c r="CJ42" s="2105">
        <f>OFFSET(CJ42,0,-1)+1</f>
        <v>1</v>
      </c>
      <c r="CK42" s="2105">
        <f>OFFSET(CK42,0,-1)+1</f>
        <v>2</v>
      </c>
      <c r="CL42" s="2105">
        <f>OFFSET(CL42,0,-1)+1</f>
        <v>3</v>
      </c>
      <c r="CM42" s="2105">
        <f>OFFSET(CM42,0,-1)+1</f>
        <v>4</v>
      </c>
      <c r="CN42" s="2105"/>
      <c r="CO42" s="2105">
        <f>OFFSET(CO42,0,-2)+1</f>
        <v>5</v>
      </c>
      <c r="CP42" s="2105">
        <f>OFFSET(CP42,0,-1)+1</f>
        <v>3</v>
      </c>
      <c r="CQ42" s="2105"/>
      <c r="CR42" s="2105">
        <f>OFFSET(CR42,0,-1)+1</f>
        <v>1</v>
      </c>
      <c r="CS42" s="2105">
        <f>OFFSET(CS42,0,-1)+1</f>
        <v>2</v>
      </c>
      <c r="CT42" s="2105">
        <f>OFFSET(CT42,0,-1)+1</f>
        <v>3</v>
      </c>
      <c r="CU42" s="2105">
        <f>OFFSET(CU42,0,-1)+1</f>
        <v>4</v>
      </c>
      <c r="CV42" s="2105"/>
      <c r="CW42" s="2105">
        <f>OFFSET(CW42,0,-2)+1</f>
        <v>5</v>
      </c>
      <c r="CX42" s="2105">
        <f>OFFSET(CX42,0,-1)+1</f>
        <v>3</v>
      </c>
      <c r="CY42" s="2105"/>
      <c r="CZ42" s="2105">
        <f>OFFSET(CZ42,0,-1)+1</f>
        <v>1</v>
      </c>
      <c r="DA42" s="2105">
        <f>OFFSET(DA42,0,-1)+1</f>
        <v>2</v>
      </c>
      <c r="DB42" s="2105">
        <f>OFFSET(DB42,0,-1)+1</f>
        <v>3</v>
      </c>
      <c r="DC42" s="2105">
        <f>OFFSET(DC42,0,-1)+1</f>
        <v>4</v>
      </c>
      <c r="DD42" s="2105"/>
      <c r="DE42" s="2105">
        <f>OFFSET(DE42,0,-2)+1</f>
        <v>5</v>
      </c>
      <c r="DF42" s="1250">
        <f>OFFSET(DF42,0,-1)</f>
        <v>5</v>
      </c>
      <c r="DG42" s="1269">
        <f>OFFSET(DG42,0,-1)+1</f>
        <v>6</v>
      </c>
      <c r="DH42" s="507"/>
      <c r="DI42" s="507"/>
      <c r="DJ42" s="507"/>
      <c r="DK42" s="507"/>
      <c r="DL42" s="507"/>
    </row>
    <row customHeight="1" ht="23.25">
      <c r="A43" s="1380" t="s">
        <v>156</v>
      </c>
      <c r="B43" s="1380"/>
      <c r="C43" s="1380"/>
      <c r="D43" s="1380"/>
      <c r="E43" s="2089">
        <v>1</v>
      </c>
      <c r="F43" s="1380"/>
      <c r="G43" s="1380"/>
      <c r="H43" s="1380"/>
      <c r="I43" s="1380"/>
      <c r="J43" s="1380"/>
      <c r="K43" s="1380"/>
      <c r="L43" s="1381"/>
      <c r="M43" s="1382"/>
      <c r="N43" s="1382"/>
      <c r="O43" s="1382"/>
      <c r="P43" s="349"/>
      <c r="Q43" s="348"/>
      <c r="R43" s="343"/>
      <c r="S43" s="1228">
        <f>INDEX(PT_DIFFERENTIATION_NUM_NTAR,MATCH(A43,PT_DIFFERENTIATION_NTAR_ID,0))</f>
        <v>1</v>
      </c>
      <c r="T43" s="278" t="s">
        <v>122</v>
      </c>
      <c r="U43" s="280"/>
      <c r="V43" s="2083"/>
      <c r="W43" s="2084"/>
      <c r="X43" s="2084"/>
      <c r="Y43" s="2084"/>
      <c r="Z43" s="2084"/>
      <c r="AA43" s="2084"/>
      <c r="AB43" s="2084"/>
      <c r="AC43" s="2085"/>
      <c r="AD43" s="2083" t="str">
        <f>INDEX(PT_DIFFERENTIATION_NTAR,MATCH(A43,PT_DIFFERENTIATION_NTAR_ID,0))</f>
        <v>Тариф на тепловую энергию, поставляемую ПАО "ТГК-1" потребителям, расположенным на территории Санкт-Петербурга</v>
      </c>
      <c r="AE43" s="2084"/>
      <c r="AF43" s="2084"/>
      <c r="AG43" s="2084"/>
      <c r="AH43" s="2084"/>
      <c r="AI43" s="2084"/>
      <c r="AJ43" s="2084"/>
      <c r="AK43" s="2084"/>
      <c r="AL43" s="2083"/>
      <c r="AM43" s="2084"/>
      <c r="AN43" s="2084"/>
      <c r="AO43" s="2084"/>
      <c r="AP43" s="2084"/>
      <c r="AQ43" s="2084"/>
      <c r="AR43" s="2084"/>
      <c r="AS43" s="2085"/>
      <c r="AT43" s="2083"/>
      <c r="AU43" s="2084"/>
      <c r="AV43" s="2084"/>
      <c r="AW43" s="2084"/>
      <c r="AX43" s="2084"/>
      <c r="AY43" s="2084"/>
      <c r="AZ43" s="2084"/>
      <c r="BA43" s="2085"/>
      <c r="BB43" s="2083"/>
      <c r="BC43" s="2084"/>
      <c r="BD43" s="2084"/>
      <c r="BE43" s="2084"/>
      <c r="BF43" s="2084"/>
      <c r="BG43" s="2084"/>
      <c r="BH43" s="2084"/>
      <c r="BI43" s="2085"/>
      <c r="BJ43" s="2083"/>
      <c r="BK43" s="2084"/>
      <c r="BL43" s="2084"/>
      <c r="BM43" s="2084"/>
      <c r="BN43" s="2084"/>
      <c r="BO43" s="2084"/>
      <c r="BP43" s="2084"/>
      <c r="BQ43" s="2085"/>
      <c r="BR43" s="2083"/>
      <c r="BS43" s="2084"/>
      <c r="BT43" s="2084"/>
      <c r="BU43" s="2084"/>
      <c r="BV43" s="2084"/>
      <c r="BW43" s="2084"/>
      <c r="BX43" s="2084"/>
      <c r="BY43" s="2085"/>
      <c r="BZ43" s="2083"/>
      <c r="CA43" s="2084"/>
      <c r="CB43" s="2084"/>
      <c r="CC43" s="2084"/>
      <c r="CD43" s="2084"/>
      <c r="CE43" s="2084"/>
      <c r="CF43" s="2084"/>
      <c r="CG43" s="2085"/>
      <c r="CH43" s="2083"/>
      <c r="CI43" s="2084"/>
      <c r="CJ43" s="2084"/>
      <c r="CK43" s="2084"/>
      <c r="CL43" s="2084"/>
      <c r="CM43" s="2084"/>
      <c r="CN43" s="2084"/>
      <c r="CO43" s="2085"/>
      <c r="CP43" s="2083"/>
      <c r="CQ43" s="2084"/>
      <c r="CR43" s="2084"/>
      <c r="CS43" s="2084"/>
      <c r="CT43" s="2084"/>
      <c r="CU43" s="2084"/>
      <c r="CV43" s="2084"/>
      <c r="CW43" s="2085"/>
      <c r="CX43" s="2083"/>
      <c r="CY43" s="2084"/>
      <c r="CZ43" s="2084"/>
      <c r="DA43" s="2084"/>
      <c r="DB43" s="2084"/>
      <c r="DC43" s="2084"/>
      <c r="DD43" s="2084"/>
      <c r="DE43" s="2085"/>
      <c r="DF43" s="2085"/>
      <c r="DG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I43" s="496"/>
      <c r="DJ43" s="496" t="str">
        <f>IF(T43="","",T43)</f>
        <v>Наименование тарифа</v>
      </c>
      <c r="DK43" s="496"/>
      <c r="DL43" s="496"/>
    </row>
    <row customHeight="1" ht="23.25">
      <c r="A44" s="1380" t="s">
        <v>156</v>
      </c>
      <c r="B44" s="1380" t="s">
        <v>157</v>
      </c>
      <c r="C44" s="1380"/>
      <c r="D44" s="1380"/>
      <c r="E44" s="2090"/>
      <c r="F44" s="2089">
        <v>1</v>
      </c>
      <c r="G44" s="1380"/>
      <c r="H44" s="1380"/>
      <c r="I44" s="1380"/>
      <c r="J44" s="1380"/>
      <c r="K44" s="1380"/>
      <c r="L44" s="1381"/>
      <c r="M44" s="1382"/>
      <c r="N44" s="1382"/>
      <c r="O44" s="1382"/>
      <c r="P44" s="518"/>
      <c r="Q44" s="340"/>
      <c r="R44" s="341"/>
      <c r="S44" s="1228" t="str">
        <f>INDEX(PT_DIFFERENTIATION_NUM_TER,MATCH(B44,PT_DIFFERENTIATION_TER_ID,0))</f>
        <v>1.1</v>
      </c>
      <c r="T44" s="290" t="s">
        <v>411</v>
      </c>
      <c r="U44" s="280"/>
      <c r="V44" s="2083"/>
      <c r="W44" s="2084"/>
      <c r="X44" s="2084"/>
      <c r="Y44" s="2084"/>
      <c r="Z44" s="2084"/>
      <c r="AA44" s="2084"/>
      <c r="AB44" s="2084"/>
      <c r="AC44" s="2085"/>
      <c r="AD44" s="2083" t="str">
        <f>INDEX(PT_DIFFERENTIATION_TER,MATCH(B44,PT_DIFFERENTIATION_TER_ID,0))</f>
        <v>без дифференциации</v>
      </c>
      <c r="AE44" s="2084"/>
      <c r="AF44" s="2084"/>
      <c r="AG44" s="2084"/>
      <c r="AH44" s="2084"/>
      <c r="AI44" s="2084"/>
      <c r="AJ44" s="2084"/>
      <c r="AK44" s="2084"/>
      <c r="AL44" s="2083"/>
      <c r="AM44" s="2084"/>
      <c r="AN44" s="2084"/>
      <c r="AO44" s="2084"/>
      <c r="AP44" s="2084"/>
      <c r="AQ44" s="2084"/>
      <c r="AR44" s="2084"/>
      <c r="AS44" s="2085"/>
      <c r="AT44" s="2083"/>
      <c r="AU44" s="2084"/>
      <c r="AV44" s="2084"/>
      <c r="AW44" s="2084"/>
      <c r="AX44" s="2084"/>
      <c r="AY44" s="2084"/>
      <c r="AZ44" s="2084"/>
      <c r="BA44" s="2085"/>
      <c r="BB44" s="2083"/>
      <c r="BC44" s="2084"/>
      <c r="BD44" s="2084"/>
      <c r="BE44" s="2084"/>
      <c r="BF44" s="2084"/>
      <c r="BG44" s="2084"/>
      <c r="BH44" s="2084"/>
      <c r="BI44" s="2085"/>
      <c r="BJ44" s="2083"/>
      <c r="BK44" s="2084"/>
      <c r="BL44" s="2084"/>
      <c r="BM44" s="2084"/>
      <c r="BN44" s="2084"/>
      <c r="BO44" s="2084"/>
      <c r="BP44" s="2084"/>
      <c r="BQ44" s="2085"/>
      <c r="BR44" s="2083"/>
      <c r="BS44" s="2084"/>
      <c r="BT44" s="2084"/>
      <c r="BU44" s="2084"/>
      <c r="BV44" s="2084"/>
      <c r="BW44" s="2084"/>
      <c r="BX44" s="2084"/>
      <c r="BY44" s="2085"/>
      <c r="BZ44" s="2083"/>
      <c r="CA44" s="2084"/>
      <c r="CB44" s="2084"/>
      <c r="CC44" s="2084"/>
      <c r="CD44" s="2084"/>
      <c r="CE44" s="2084"/>
      <c r="CF44" s="2084"/>
      <c r="CG44" s="2085"/>
      <c r="CH44" s="2083"/>
      <c r="CI44" s="2084"/>
      <c r="CJ44" s="2084"/>
      <c r="CK44" s="2084"/>
      <c r="CL44" s="2084"/>
      <c r="CM44" s="2084"/>
      <c r="CN44" s="2084"/>
      <c r="CO44" s="2085"/>
      <c r="CP44" s="2083"/>
      <c r="CQ44" s="2084"/>
      <c r="CR44" s="2084"/>
      <c r="CS44" s="2084"/>
      <c r="CT44" s="2084"/>
      <c r="CU44" s="2084"/>
      <c r="CV44" s="2084"/>
      <c r="CW44" s="2085"/>
      <c r="CX44" s="2083"/>
      <c r="CY44" s="2084"/>
      <c r="CZ44" s="2084"/>
      <c r="DA44" s="2084"/>
      <c r="DB44" s="2084"/>
      <c r="DC44" s="2084"/>
      <c r="DD44" s="2084"/>
      <c r="DE44" s="2085"/>
      <c r="DF44" s="2085"/>
      <c r="DG44" s="1273" t="s">
        <v>412</v>
      </c>
      <c r="DI44" s="496"/>
      <c r="DJ44" s="496" t="str">
        <f>IF(T44="","",T44)</f>
        <v>Территория действия тарифа</v>
      </c>
      <c r="DK44" s="496"/>
      <c r="DL44" s="496"/>
    </row>
    <row customHeight="1" ht="23.25">
      <c r="A45" s="1380" t="s">
        <v>156</v>
      </c>
      <c r="B45" s="1380" t="s">
        <v>157</v>
      </c>
      <c r="C45" s="1380" t="s">
        <v>158</v>
      </c>
      <c r="D45" s="1380"/>
      <c r="E45" s="2090"/>
      <c r="F45" s="2090"/>
      <c r="G45" s="2089">
        <v>1</v>
      </c>
      <c r="H45" s="1380"/>
      <c r="I45" s="1380"/>
      <c r="J45" s="1380"/>
      <c r="K45" s="1380"/>
      <c r="L45" s="1381"/>
      <c r="M45" s="1382"/>
      <c r="N45" s="1382"/>
      <c r="O45" s="1382"/>
      <c r="P45" s="342"/>
      <c r="Q45" s="340"/>
      <c r="R45" s="341"/>
      <c r="S45" s="1228" t="str">
        <f>INDEX(PT_DIFFERENTIATION_NUM_CS,MATCH(C45,PT_DIFFERENTIATION_CS_ID,0))</f>
        <v>1.1.1</v>
      </c>
      <c r="T45" s="291" t="s">
        <v>413</v>
      </c>
      <c r="U45" s="280"/>
      <c r="V45" s="2083"/>
      <c r="W45" s="2084"/>
      <c r="X45" s="2084"/>
      <c r="Y45" s="2084"/>
      <c r="Z45" s="2084"/>
      <c r="AA45" s="2084"/>
      <c r="AB45" s="2084"/>
      <c r="AC45" s="2085"/>
      <c r="AD45" s="2083" t="str">
        <f>INDEX(PT_DIFFERENTIATION_CS,MATCH(C45,PT_DIFFERENTIATION_CS_ID,0))</f>
        <v>без дифференциации</v>
      </c>
      <c r="AE45" s="2084"/>
      <c r="AF45" s="2084"/>
      <c r="AG45" s="2084"/>
      <c r="AH45" s="2084"/>
      <c r="AI45" s="2084"/>
      <c r="AJ45" s="2084"/>
      <c r="AK45" s="2084"/>
      <c r="AL45" s="2083"/>
      <c r="AM45" s="2084"/>
      <c r="AN45" s="2084"/>
      <c r="AO45" s="2084"/>
      <c r="AP45" s="2084"/>
      <c r="AQ45" s="2084"/>
      <c r="AR45" s="2084"/>
      <c r="AS45" s="2085"/>
      <c r="AT45" s="2083"/>
      <c r="AU45" s="2084"/>
      <c r="AV45" s="2084"/>
      <c r="AW45" s="2084"/>
      <c r="AX45" s="2084"/>
      <c r="AY45" s="2084"/>
      <c r="AZ45" s="2084"/>
      <c r="BA45" s="2085"/>
      <c r="BB45" s="2083"/>
      <c r="BC45" s="2084"/>
      <c r="BD45" s="2084"/>
      <c r="BE45" s="2084"/>
      <c r="BF45" s="2084"/>
      <c r="BG45" s="2084"/>
      <c r="BH45" s="2084"/>
      <c r="BI45" s="2085"/>
      <c r="BJ45" s="2083"/>
      <c r="BK45" s="2084"/>
      <c r="BL45" s="2084"/>
      <c r="BM45" s="2084"/>
      <c r="BN45" s="2084"/>
      <c r="BO45" s="2084"/>
      <c r="BP45" s="2084"/>
      <c r="BQ45" s="2085"/>
      <c r="BR45" s="2083"/>
      <c r="BS45" s="2084"/>
      <c r="BT45" s="2084"/>
      <c r="BU45" s="2084"/>
      <c r="BV45" s="2084"/>
      <c r="BW45" s="2084"/>
      <c r="BX45" s="2084"/>
      <c r="BY45" s="2085"/>
      <c r="BZ45" s="2083"/>
      <c r="CA45" s="2084"/>
      <c r="CB45" s="2084"/>
      <c r="CC45" s="2084"/>
      <c r="CD45" s="2084"/>
      <c r="CE45" s="2084"/>
      <c r="CF45" s="2084"/>
      <c r="CG45" s="2085"/>
      <c r="CH45" s="2083"/>
      <c r="CI45" s="2084"/>
      <c r="CJ45" s="2084"/>
      <c r="CK45" s="2084"/>
      <c r="CL45" s="2084"/>
      <c r="CM45" s="2084"/>
      <c r="CN45" s="2084"/>
      <c r="CO45" s="2085"/>
      <c r="CP45" s="2083"/>
      <c r="CQ45" s="2084"/>
      <c r="CR45" s="2084"/>
      <c r="CS45" s="2084"/>
      <c r="CT45" s="2084"/>
      <c r="CU45" s="2084"/>
      <c r="CV45" s="2084"/>
      <c r="CW45" s="2085"/>
      <c r="CX45" s="2083"/>
      <c r="CY45" s="2084"/>
      <c r="CZ45" s="2084"/>
      <c r="DA45" s="2084"/>
      <c r="DB45" s="2084"/>
      <c r="DC45" s="2084"/>
      <c r="DD45" s="2084"/>
      <c r="DE45" s="2085"/>
      <c r="DF45" s="2085"/>
      <c r="DG45" s="1273" t="s">
        <v>414</v>
      </c>
      <c r="DI45" s="496"/>
      <c r="DJ45" s="496" t="str">
        <f>IF(T45="","",T45)</f>
        <v>Наименование системы теплоснабжения </v>
      </c>
      <c r="DK45" s="496"/>
      <c r="DL45" s="496"/>
    </row>
    <row customHeight="1" ht="23.25">
      <c r="A46" s="1380" t="s">
        <v>156</v>
      </c>
      <c r="B46" s="1380" t="s">
        <v>157</v>
      </c>
      <c r="C46" s="1380" t="s">
        <v>158</v>
      </c>
      <c r="D46" s="1380" t="s">
        <v>159</v>
      </c>
      <c r="E46" s="2090"/>
      <c r="F46" s="2090"/>
      <c r="G46" s="2090"/>
      <c r="H46" s="2089">
        <v>1</v>
      </c>
      <c r="I46" s="1380"/>
      <c r="J46" s="1380"/>
      <c r="K46" s="1380"/>
      <c r="L46" s="1381"/>
      <c r="M46" s="1382"/>
      <c r="N46" s="1382"/>
      <c r="O46" s="1382"/>
      <c r="P46" s="342"/>
      <c r="Q46" s="340"/>
      <c r="R46" s="341"/>
      <c r="S46" s="1228" t="str">
        <f>INDEX(PT_DIFFERENTIATION_NUM_IST_TE,MATCH(D46,PT_DIFFERENTIATION_IST_TE_ID,0))</f>
        <v>1.1.1.1</v>
      </c>
      <c r="T46" s="292" t="s">
        <v>415</v>
      </c>
      <c r="U46" s="280"/>
      <c r="V46" s="2083"/>
      <c r="W46" s="2084"/>
      <c r="X46" s="2084"/>
      <c r="Y46" s="2084"/>
      <c r="Z46" s="2084"/>
      <c r="AA46" s="2084"/>
      <c r="AB46" s="2084"/>
      <c r="AC46" s="2085"/>
      <c r="AD46" s="2083" t="str">
        <f>INDEX(PT_DIFFERENTIATION_IST_TE,MATCH(D46,PT_DIFFERENTIATION_IST_TE_ID,0))</f>
        <v>без дифференциации</v>
      </c>
      <c r="AE46" s="2084"/>
      <c r="AF46" s="2084"/>
      <c r="AG46" s="2084"/>
      <c r="AH46" s="2084"/>
      <c r="AI46" s="2084"/>
      <c r="AJ46" s="2084"/>
      <c r="AK46" s="2084"/>
      <c r="AL46" s="2083"/>
      <c r="AM46" s="2084"/>
      <c r="AN46" s="2084"/>
      <c r="AO46" s="2084"/>
      <c r="AP46" s="2084"/>
      <c r="AQ46" s="2084"/>
      <c r="AR46" s="2084"/>
      <c r="AS46" s="2085"/>
      <c r="AT46" s="2083"/>
      <c r="AU46" s="2084"/>
      <c r="AV46" s="2084"/>
      <c r="AW46" s="2084"/>
      <c r="AX46" s="2084"/>
      <c r="AY46" s="2084"/>
      <c r="AZ46" s="2084"/>
      <c r="BA46" s="2085"/>
      <c r="BB46" s="2083"/>
      <c r="BC46" s="2084"/>
      <c r="BD46" s="2084"/>
      <c r="BE46" s="2084"/>
      <c r="BF46" s="2084"/>
      <c r="BG46" s="2084"/>
      <c r="BH46" s="2084"/>
      <c r="BI46" s="2085"/>
      <c r="BJ46" s="2083"/>
      <c r="BK46" s="2084"/>
      <c r="BL46" s="2084"/>
      <c r="BM46" s="2084"/>
      <c r="BN46" s="2084"/>
      <c r="BO46" s="2084"/>
      <c r="BP46" s="2084"/>
      <c r="BQ46" s="2085"/>
      <c r="BR46" s="2083"/>
      <c r="BS46" s="2084"/>
      <c r="BT46" s="2084"/>
      <c r="BU46" s="2084"/>
      <c r="BV46" s="2084"/>
      <c r="BW46" s="2084"/>
      <c r="BX46" s="2084"/>
      <c r="BY46" s="2085"/>
      <c r="BZ46" s="2083"/>
      <c r="CA46" s="2084"/>
      <c r="CB46" s="2084"/>
      <c r="CC46" s="2084"/>
      <c r="CD46" s="2084"/>
      <c r="CE46" s="2084"/>
      <c r="CF46" s="2084"/>
      <c r="CG46" s="2085"/>
      <c r="CH46" s="2083"/>
      <c r="CI46" s="2084"/>
      <c r="CJ46" s="2084"/>
      <c r="CK46" s="2084"/>
      <c r="CL46" s="2084"/>
      <c r="CM46" s="2084"/>
      <c r="CN46" s="2084"/>
      <c r="CO46" s="2085"/>
      <c r="CP46" s="2083"/>
      <c r="CQ46" s="2084"/>
      <c r="CR46" s="2084"/>
      <c r="CS46" s="2084"/>
      <c r="CT46" s="2084"/>
      <c r="CU46" s="2084"/>
      <c r="CV46" s="2084"/>
      <c r="CW46" s="2085"/>
      <c r="CX46" s="2083"/>
      <c r="CY46" s="2084"/>
      <c r="CZ46" s="2084"/>
      <c r="DA46" s="2084"/>
      <c r="DB46" s="2084"/>
      <c r="DC46" s="2084"/>
      <c r="DD46" s="2084"/>
      <c r="DE46" s="2085"/>
      <c r="DF46" s="2085"/>
      <c r="DG46" s="1273" t="s">
        <v>416</v>
      </c>
      <c r="DI46" s="496"/>
      <c r="DJ46" s="496" t="str">
        <f>IF(T46="","",T46)</f>
        <v>Источник тепловой энергии  </v>
      </c>
      <c r="DK46" s="496"/>
      <c r="DL46" s="496"/>
    </row>
    <row customHeight="1" ht="47.25">
      <c r="A47" s="1380" t="s">
        <v>156</v>
      </c>
      <c r="B47" s="1380" t="s">
        <v>157</v>
      </c>
      <c r="C47" s="1380" t="s">
        <v>158</v>
      </c>
      <c r="D47" s="1380" t="s">
        <v>159</v>
      </c>
      <c r="E47" s="2090"/>
      <c r="F47" s="2090"/>
      <c r="G47" s="2090"/>
      <c r="H47" s="2090"/>
      <c r="I47" s="2091" t="str">
        <f>S46&amp;".1"</f>
        <v>1.1.1.1.1</v>
      </c>
      <c r="J47" s="1380"/>
      <c r="K47" s="1380"/>
      <c r="L47" s="1381" t="s">
        <v>417</v>
      </c>
      <c r="P47" s="2093">
        <v>1</v>
      </c>
      <c r="Q47" s="1222"/>
      <c r="R47" s="344"/>
      <c r="S47" s="1228" t="str">
        <f>$I47</f>
        <v>1.1.1.1.1</v>
      </c>
      <c r="T47" s="266" t="s">
        <v>418</v>
      </c>
      <c r="U47" s="280"/>
      <c r="V47" s="2077"/>
      <c r="W47" s="2078"/>
      <c r="X47" s="2078"/>
      <c r="Y47" s="2078"/>
      <c r="Z47" s="2078"/>
      <c r="AA47" s="2078"/>
      <c r="AB47" s="2078"/>
      <c r="AC47" s="2079"/>
      <c r="AD47" s="2077" t="s">
        <v>459</v>
      </c>
      <c r="AE47" s="2078"/>
      <c r="AF47" s="2078"/>
      <c r="AG47" s="2078"/>
      <c r="AH47" s="2078"/>
      <c r="AI47" s="2078"/>
      <c r="AJ47" s="2078"/>
      <c r="AK47" s="2078"/>
      <c r="AL47" s="2077"/>
      <c r="AM47" s="2078"/>
      <c r="AN47" s="2078"/>
      <c r="AO47" s="2078"/>
      <c r="AP47" s="2078"/>
      <c r="AQ47" s="2078"/>
      <c r="AR47" s="2078"/>
      <c r="AS47" s="2079"/>
      <c r="AT47" s="2077"/>
      <c r="AU47" s="2078"/>
      <c r="AV47" s="2078"/>
      <c r="AW47" s="2078"/>
      <c r="AX47" s="2078"/>
      <c r="AY47" s="2078"/>
      <c r="AZ47" s="2078"/>
      <c r="BA47" s="2079"/>
      <c r="BB47" s="2077"/>
      <c r="BC47" s="2078"/>
      <c r="BD47" s="2078"/>
      <c r="BE47" s="2078"/>
      <c r="BF47" s="2078"/>
      <c r="BG47" s="2078"/>
      <c r="BH47" s="2078"/>
      <c r="BI47" s="2079"/>
      <c r="BJ47" s="2077"/>
      <c r="BK47" s="2078"/>
      <c r="BL47" s="2078"/>
      <c r="BM47" s="2078"/>
      <c r="BN47" s="2078"/>
      <c r="BO47" s="2078"/>
      <c r="BP47" s="2078"/>
      <c r="BQ47" s="2079"/>
      <c r="BR47" s="2077"/>
      <c r="BS47" s="2078"/>
      <c r="BT47" s="2078"/>
      <c r="BU47" s="2078"/>
      <c r="BV47" s="2078"/>
      <c r="BW47" s="2078"/>
      <c r="BX47" s="2078"/>
      <c r="BY47" s="2079"/>
      <c r="BZ47" s="2077"/>
      <c r="CA47" s="2078"/>
      <c r="CB47" s="2078"/>
      <c r="CC47" s="2078"/>
      <c r="CD47" s="2078"/>
      <c r="CE47" s="2078"/>
      <c r="CF47" s="2078"/>
      <c r="CG47" s="2079"/>
      <c r="CH47" s="2077"/>
      <c r="CI47" s="2078"/>
      <c r="CJ47" s="2078"/>
      <c r="CK47" s="2078"/>
      <c r="CL47" s="2078"/>
      <c r="CM47" s="2078"/>
      <c r="CN47" s="2078"/>
      <c r="CO47" s="2079"/>
      <c r="CP47" s="2077"/>
      <c r="CQ47" s="2078"/>
      <c r="CR47" s="2078"/>
      <c r="CS47" s="2078"/>
      <c r="CT47" s="2078"/>
      <c r="CU47" s="2078"/>
      <c r="CV47" s="2078"/>
      <c r="CW47" s="2079"/>
      <c r="CX47" s="2077"/>
      <c r="CY47" s="2078"/>
      <c r="CZ47" s="2078"/>
      <c r="DA47" s="2078"/>
      <c r="DB47" s="2078"/>
      <c r="DC47" s="2078"/>
      <c r="DD47" s="2078"/>
      <c r="DE47" s="2079"/>
      <c r="DF47" s="2079"/>
      <c r="DG47" s="1273" t="s">
        <v>419</v>
      </c>
      <c r="DI47" s="496"/>
      <c r="DJ47" s="496" t="str">
        <f>IF(T47="","",T47)</f>
        <v>Схема подключения теплопотребляющей установки к коллектору источника тепловой энергии</v>
      </c>
      <c r="DK47" s="496"/>
      <c r="DL47" s="496"/>
    </row>
    <row customHeight="1" ht="23.25">
      <c r="A48" s="1380" t="s">
        <v>156</v>
      </c>
      <c r="B48" s="1380" t="s">
        <v>157</v>
      </c>
      <c r="C48" s="1380" t="s">
        <v>158</v>
      </c>
      <c r="D48" s="1380" t="s">
        <v>159</v>
      </c>
      <c r="E48" s="2090"/>
      <c r="F48" s="2090"/>
      <c r="G48" s="2090"/>
      <c r="H48" s="2090"/>
      <c r="I48" s="2092"/>
      <c r="J48" s="2091" t="str">
        <f>I47&amp;".1"</f>
        <v>1.1.1.1.1.1</v>
      </c>
      <c r="K48" s="1380"/>
      <c r="L48" s="1381" t="s">
        <v>420</v>
      </c>
      <c r="P48" s="2093"/>
      <c r="Q48" s="2093">
        <v>1</v>
      </c>
      <c r="R48" s="345"/>
      <c r="S48" s="1228" t="str">
        <f>$J48</f>
        <v>1.1.1.1.1.1</v>
      </c>
      <c r="T48" s="267" t="s">
        <v>421</v>
      </c>
      <c r="U48" s="280"/>
      <c r="V48" s="2077"/>
      <c r="W48" s="2078"/>
      <c r="X48" s="2078"/>
      <c r="Y48" s="2078"/>
      <c r="Z48" s="2078"/>
      <c r="AA48" s="2078"/>
      <c r="AB48" s="2078"/>
      <c r="AC48" s="2079"/>
      <c r="AD48" s="2077" t="s">
        <v>459</v>
      </c>
      <c r="AE48" s="2078"/>
      <c r="AF48" s="2078"/>
      <c r="AG48" s="2078"/>
      <c r="AH48" s="2078"/>
      <c r="AI48" s="2078"/>
      <c r="AJ48" s="2078"/>
      <c r="AK48" s="2078"/>
      <c r="AL48" s="2077"/>
      <c r="AM48" s="2078"/>
      <c r="AN48" s="2078"/>
      <c r="AO48" s="2078"/>
      <c r="AP48" s="2078"/>
      <c r="AQ48" s="2078"/>
      <c r="AR48" s="2078"/>
      <c r="AS48" s="2079"/>
      <c r="AT48" s="2077"/>
      <c r="AU48" s="2078"/>
      <c r="AV48" s="2078"/>
      <c r="AW48" s="2078"/>
      <c r="AX48" s="2078"/>
      <c r="AY48" s="2078"/>
      <c r="AZ48" s="2078"/>
      <c r="BA48" s="2079"/>
      <c r="BB48" s="2077"/>
      <c r="BC48" s="2078"/>
      <c r="BD48" s="2078"/>
      <c r="BE48" s="2078"/>
      <c r="BF48" s="2078"/>
      <c r="BG48" s="2078"/>
      <c r="BH48" s="2078"/>
      <c r="BI48" s="2079"/>
      <c r="BJ48" s="2077"/>
      <c r="BK48" s="2078"/>
      <c r="BL48" s="2078"/>
      <c r="BM48" s="2078"/>
      <c r="BN48" s="2078"/>
      <c r="BO48" s="2078"/>
      <c r="BP48" s="2078"/>
      <c r="BQ48" s="2079"/>
      <c r="BR48" s="2077"/>
      <c r="BS48" s="2078"/>
      <c r="BT48" s="2078"/>
      <c r="BU48" s="2078"/>
      <c r="BV48" s="2078"/>
      <c r="BW48" s="2078"/>
      <c r="BX48" s="2078"/>
      <c r="BY48" s="2079"/>
      <c r="BZ48" s="2077"/>
      <c r="CA48" s="2078"/>
      <c r="CB48" s="2078"/>
      <c r="CC48" s="2078"/>
      <c r="CD48" s="2078"/>
      <c r="CE48" s="2078"/>
      <c r="CF48" s="2078"/>
      <c r="CG48" s="2079"/>
      <c r="CH48" s="2077"/>
      <c r="CI48" s="2078"/>
      <c r="CJ48" s="2078"/>
      <c r="CK48" s="2078"/>
      <c r="CL48" s="2078"/>
      <c r="CM48" s="2078"/>
      <c r="CN48" s="2078"/>
      <c r="CO48" s="2079"/>
      <c r="CP48" s="2077"/>
      <c r="CQ48" s="2078"/>
      <c r="CR48" s="2078"/>
      <c r="CS48" s="2078"/>
      <c r="CT48" s="2078"/>
      <c r="CU48" s="2078"/>
      <c r="CV48" s="2078"/>
      <c r="CW48" s="2079"/>
      <c r="CX48" s="2077"/>
      <c r="CY48" s="2078"/>
      <c r="CZ48" s="2078"/>
      <c r="DA48" s="2078"/>
      <c r="DB48" s="2078"/>
      <c r="DC48" s="2078"/>
      <c r="DD48" s="2078"/>
      <c r="DE48" s="2079"/>
      <c r="DF48" s="2079"/>
      <c r="DG48" s="1273" t="s">
        <v>422</v>
      </c>
      <c r="DI48" s="496"/>
      <c r="DJ48" s="496" t="str">
        <f>IF(T48="","",T48)</f>
        <v>Группа потребителей</v>
      </c>
      <c r="DK48" s="496"/>
      <c r="DL48" s="496"/>
    </row>
    <row customHeight="1" ht="23.25">
      <c r="A49" s="1380" t="s">
        <v>156</v>
      </c>
      <c r="B49" s="1380" t="s">
        <v>157</v>
      </c>
      <c r="C49" s="1380" t="s">
        <v>158</v>
      </c>
      <c r="D49" s="1380" t="s">
        <v>159</v>
      </c>
      <c r="E49" s="2090"/>
      <c r="F49" s="2090"/>
      <c r="G49" s="2090"/>
      <c r="H49" s="2090"/>
      <c r="I49" s="2092"/>
      <c r="J49" s="2092"/>
      <c r="K49" s="2091" t="str">
        <f>J48&amp;".1"</f>
        <v>1.1.1.1.1.1.1</v>
      </c>
      <c r="L49" s="1381" t="s">
        <v>423</v>
      </c>
      <c r="P49" s="2093"/>
      <c r="Q49" s="2093"/>
      <c r="R49" s="345">
        <v>1</v>
      </c>
      <c r="S49" s="1228" t="str">
        <f>$K49</f>
        <v>1.1.1.1.1.1.1</v>
      </c>
      <c r="T49" s="1364" t="s">
        <v>460</v>
      </c>
      <c r="U49" s="280"/>
      <c r="V49" s="746"/>
      <c r="W49" s="312"/>
      <c r="X49" s="746"/>
      <c r="Y49" s="1272"/>
      <c r="Z49" s="2094"/>
      <c r="AA49" s="1963" t="s">
        <v>61</v>
      </c>
      <c r="AB49" s="2094"/>
      <c r="AC49" s="1963" t="s">
        <v>61</v>
      </c>
      <c r="AD49" s="746">
        <v>2059.04</v>
      </c>
      <c r="AE49" s="312"/>
      <c r="AF49" s="746"/>
      <c r="AG49" s="1272"/>
      <c r="AH49" s="2425">
        <v>45292.50201388889</v>
      </c>
      <c r="AI49" s="1963" t="s">
        <v>61</v>
      </c>
      <c r="AJ49" s="2096">
        <v>45473.502175925925</v>
      </c>
      <c r="AK49" s="1963" t="s">
        <v>61</v>
      </c>
      <c r="AL49" s="746">
        <v>2306.01</v>
      </c>
      <c r="AM49" s="312"/>
      <c r="AN49" s="746"/>
      <c r="AO49" s="1272"/>
      <c r="AP49" s="2425">
        <v>45474.56707175926</v>
      </c>
      <c r="AQ49" s="1963" t="s">
        <v>61</v>
      </c>
      <c r="AR49" s="2425">
        <v>45657.567349537036</v>
      </c>
      <c r="AS49" s="1963" t="s">
        <v>61</v>
      </c>
      <c r="AT49" s="746">
        <v>2306.01</v>
      </c>
      <c r="AU49" s="312"/>
      <c r="AV49" s="746"/>
      <c r="AW49" s="1272"/>
      <c r="AX49" s="2425">
        <v>45658.57200231482</v>
      </c>
      <c r="AY49" s="1963" t="s">
        <v>61</v>
      </c>
      <c r="AZ49" s="2425">
        <v>45838.57212962963</v>
      </c>
      <c r="BA49" s="1963" t="s">
        <v>61</v>
      </c>
      <c r="BB49" s="746">
        <v>2343.79</v>
      </c>
      <c r="BC49" s="312"/>
      <c r="BD49" s="746"/>
      <c r="BE49" s="1272"/>
      <c r="BF49" s="2425">
        <v>45839.57287037037</v>
      </c>
      <c r="BG49" s="1963" t="s">
        <v>61</v>
      </c>
      <c r="BH49" s="2425">
        <v>46022.573067129626</v>
      </c>
      <c r="BI49" s="1963" t="s">
        <v>61</v>
      </c>
      <c r="BJ49" s="746">
        <v>2343.79</v>
      </c>
      <c r="BK49" s="312"/>
      <c r="BL49" s="746"/>
      <c r="BM49" s="1272"/>
      <c r="BN49" s="2425">
        <v>46023.573530092595</v>
      </c>
      <c r="BO49" s="1963" t="s">
        <v>61</v>
      </c>
      <c r="BP49" s="2425">
        <v>46203.573796296296</v>
      </c>
      <c r="BQ49" s="1963" t="s">
        <v>61</v>
      </c>
      <c r="BR49" s="746">
        <v>2507.79</v>
      </c>
      <c r="BS49" s="312"/>
      <c r="BT49" s="746"/>
      <c r="BU49" s="1272"/>
      <c r="BV49" s="2425">
        <v>46204.574270833335</v>
      </c>
      <c r="BW49" s="1963" t="s">
        <v>61</v>
      </c>
      <c r="BX49" s="2425">
        <v>46387.57443287037</v>
      </c>
      <c r="BY49" s="1963" t="s">
        <v>61</v>
      </c>
      <c r="BZ49" s="746">
        <v>2507.79</v>
      </c>
      <c r="CA49" s="312"/>
      <c r="CB49" s="746"/>
      <c r="CC49" s="1272"/>
      <c r="CD49" s="2425">
        <v>46388.57480324074</v>
      </c>
      <c r="CE49" s="1963" t="s">
        <v>61</v>
      </c>
      <c r="CF49" s="2425">
        <v>46568.57496527778</v>
      </c>
      <c r="CG49" s="1963" t="s">
        <v>61</v>
      </c>
      <c r="CH49" s="746">
        <v>2515.52</v>
      </c>
      <c r="CI49" s="312"/>
      <c r="CJ49" s="746"/>
      <c r="CK49" s="1272"/>
      <c r="CL49" s="2425">
        <v>46569.5753587963</v>
      </c>
      <c r="CM49" s="1963" t="s">
        <v>61</v>
      </c>
      <c r="CN49" s="2425">
        <v>46752.580613425926</v>
      </c>
      <c r="CO49" s="1963" t="s">
        <v>61</v>
      </c>
      <c r="CP49" s="746">
        <v>2515.52</v>
      </c>
      <c r="CQ49" s="312"/>
      <c r="CR49" s="746"/>
      <c r="CS49" s="1272"/>
      <c r="CT49" s="2425">
        <v>46753.58105324074</v>
      </c>
      <c r="CU49" s="1963" t="s">
        <v>61</v>
      </c>
      <c r="CV49" s="2425">
        <v>46934.58122685185</v>
      </c>
      <c r="CW49" s="1963" t="s">
        <v>61</v>
      </c>
      <c r="CX49" s="746">
        <v>2649.96</v>
      </c>
      <c r="CY49" s="312"/>
      <c r="CZ49" s="746"/>
      <c r="DA49" s="1272"/>
      <c r="DB49" s="2425">
        <v>46935.58157407407</v>
      </c>
      <c r="DC49" s="1963" t="s">
        <v>61</v>
      </c>
      <c r="DD49" s="2425">
        <v>47118.581724537034</v>
      </c>
      <c r="DE49" s="1963" t="s">
        <v>61</v>
      </c>
      <c r="DF49" s="1365"/>
      <c r="DG49" s="2119" t="s">
        <v>424</v>
      </c>
      <c r="DH49" s="507">
        <f>STRCHECKDATE(V50:DF50)</f>
      </c>
      <c r="DI49" s="496"/>
      <c r="DJ49" s="496" t="str">
        <f>IF(T49="","",T49)</f>
        <v>вода</v>
      </c>
      <c r="DK49" s="496"/>
      <c r="DL49" s="496"/>
    </row>
    <row customHeight="1" ht="0.75">
      <c r="A50" s="1380" t="s">
        <v>156</v>
      </c>
      <c r="B50" s="1380" t="s">
        <v>157</v>
      </c>
      <c r="C50" s="1380" t="s">
        <v>158</v>
      </c>
      <c r="D50" s="1380" t="s">
        <v>159</v>
      </c>
      <c r="E50" s="2090"/>
      <c r="F50" s="2090"/>
      <c r="G50" s="2090"/>
      <c r="H50" s="2090"/>
      <c r="I50" s="2092"/>
      <c r="J50" s="2092"/>
      <c r="K50" s="2091"/>
      <c r="L50" s="1381"/>
      <c r="P50" s="2093"/>
      <c r="Q50" s="2093"/>
      <c r="R50" s="345"/>
      <c r="S50" s="1226"/>
      <c r="T50" s="280"/>
      <c r="U50" s="280"/>
      <c r="V50" s="312"/>
      <c r="W50" s="312"/>
      <c r="X50" s="312"/>
      <c r="Y50" s="316" t="str">
        <f>Z49&amp;"-"&amp;AB49</f>
        <v>-</v>
      </c>
      <c r="Z50" s="2095"/>
      <c r="AA50" s="1963"/>
      <c r="AB50" s="2095"/>
      <c r="AC50" s="1963"/>
      <c r="AD50" s="312"/>
      <c r="AE50" s="312"/>
      <c r="AF50" s="312"/>
      <c r="AG50" s="316" t="str">
        <f>AH49&amp;"-"&amp;AJ49</f>
        <v>45292.50201388889-45473.502175925925</v>
      </c>
      <c r="AH50" s="2095"/>
      <c r="AI50" s="1963"/>
      <c r="AJ50" s="2097"/>
      <c r="AK50" s="1963"/>
      <c r="AL50" s="312"/>
      <c r="AM50" s="312"/>
      <c r="AN50" s="312"/>
      <c r="AO50" s="316" t="str">
        <f>AP49&amp;"-"&amp;AR49</f>
        <v>45474.56707175926-45657.567349537036</v>
      </c>
      <c r="AP50" s="2134"/>
      <c r="AQ50" s="1963"/>
      <c r="AR50" s="2134"/>
      <c r="AS50" s="1963"/>
      <c r="AT50" s="312"/>
      <c r="AU50" s="312"/>
      <c r="AV50" s="312"/>
      <c r="AW50" s="316" t="str">
        <f>AX49&amp;"-"&amp;AZ49</f>
        <v>45658.57200231482-45838.57212962963</v>
      </c>
      <c r="AX50" s="2134"/>
      <c r="AY50" s="1963"/>
      <c r="AZ50" s="2134"/>
      <c r="BA50" s="1963"/>
      <c r="BB50" s="312"/>
      <c r="BC50" s="312"/>
      <c r="BD50" s="312"/>
      <c r="BE50" s="316" t="str">
        <f>BF49&amp;"-"&amp;BH49</f>
        <v>45839.57287037037-46022.573067129626</v>
      </c>
      <c r="BF50" s="2134"/>
      <c r="BG50" s="1963"/>
      <c r="BH50" s="2134"/>
      <c r="BI50" s="1963"/>
      <c r="BJ50" s="312"/>
      <c r="BK50" s="312"/>
      <c r="BL50" s="312"/>
      <c r="BM50" s="316" t="str">
        <f>BN49&amp;"-"&amp;BP49</f>
        <v>46023.573530092595-46203.573796296296</v>
      </c>
      <c r="BN50" s="2134"/>
      <c r="BO50" s="1963"/>
      <c r="BP50" s="2134"/>
      <c r="BQ50" s="1963"/>
      <c r="BR50" s="312"/>
      <c r="BS50" s="312"/>
      <c r="BT50" s="312"/>
      <c r="BU50" s="316" t="str">
        <f>BV49&amp;"-"&amp;BX49</f>
        <v>46204.574270833335-46387.57443287037</v>
      </c>
      <c r="BV50" s="2134"/>
      <c r="BW50" s="1963"/>
      <c r="BX50" s="2134"/>
      <c r="BY50" s="1963"/>
      <c r="BZ50" s="312"/>
      <c r="CA50" s="312"/>
      <c r="CB50" s="312"/>
      <c r="CC50" s="316" t="str">
        <f>CD49&amp;"-"&amp;CF49</f>
        <v>46388.57480324074-46568.57496527778</v>
      </c>
      <c r="CD50" s="2134"/>
      <c r="CE50" s="1963"/>
      <c r="CF50" s="2134"/>
      <c r="CG50" s="1963"/>
      <c r="CH50" s="312"/>
      <c r="CI50" s="312"/>
      <c r="CJ50" s="312"/>
      <c r="CK50" s="316" t="str">
        <f>CL49&amp;"-"&amp;CN49</f>
        <v>46569.5753587963-46752.580613425926</v>
      </c>
      <c r="CL50" s="2134"/>
      <c r="CM50" s="1963"/>
      <c r="CN50" s="2134"/>
      <c r="CO50" s="1963"/>
      <c r="CP50" s="312"/>
      <c r="CQ50" s="312"/>
      <c r="CR50" s="312"/>
      <c r="CS50" s="316" t="str">
        <f>CT49&amp;"-"&amp;CV49</f>
        <v>46753.58105324074-46934.58122685185</v>
      </c>
      <c r="CT50" s="2134"/>
      <c r="CU50" s="1963"/>
      <c r="CV50" s="2134"/>
      <c r="CW50" s="1963"/>
      <c r="CX50" s="312"/>
      <c r="CY50" s="312"/>
      <c r="CZ50" s="312"/>
      <c r="DA50" s="316" t="str">
        <f>DB49&amp;"-"&amp;DD49</f>
        <v>46935.58157407407-47118.581724537034</v>
      </c>
      <c r="DB50" s="2134"/>
      <c r="DC50" s="1963"/>
      <c r="DD50" s="2134"/>
      <c r="DE50" s="1963"/>
      <c r="DF50" s="1366"/>
      <c r="DG50" s="2120"/>
      <c r="DI50" s="496"/>
      <c r="DJ50" s="496" t="str">
        <f>IF(T50="","",T50)</f>
        <v/>
      </c>
      <c r="DK50" s="496"/>
      <c r="DL50" s="496"/>
    </row>
    <row customHeight="1" ht="11.25">
      <c r="A51" s="1380" t="s">
        <v>156</v>
      </c>
      <c r="B51" s="1380" t="s">
        <v>157</v>
      </c>
      <c r="C51" s="1380" t="s">
        <v>158</v>
      </c>
      <c r="D51" s="1380" t="s">
        <v>159</v>
      </c>
      <c r="E51" s="2090"/>
      <c r="F51" s="2090"/>
      <c r="G51" s="2090"/>
      <c r="H51" s="2090"/>
      <c r="I51" s="2092"/>
      <c r="J51" s="2091"/>
      <c r="K51" s="1380"/>
      <c r="L51" s="1381"/>
      <c r="P51" s="2093"/>
      <c r="Q51" s="2093"/>
      <c r="R51" s="344"/>
      <c r="S51" s="1295"/>
      <c r="T51" s="269" t="s">
        <v>425</v>
      </c>
      <c r="U51" s="359"/>
      <c r="V51" s="359"/>
      <c r="W51" s="359"/>
      <c r="X51" s="359"/>
      <c r="Y51" s="359"/>
      <c r="Z51" s="359"/>
      <c r="AA51" s="359"/>
      <c r="AB51" s="359"/>
      <c r="AC51" s="359"/>
      <c r="AD51" s="359"/>
      <c r="AE51" s="359"/>
      <c r="AF51" s="359"/>
      <c r="AG51" s="359"/>
      <c r="AH51" s="359"/>
      <c r="AI51" s="359"/>
      <c r="AJ51" s="359"/>
      <c r="AK51" s="359"/>
      <c r="AL51" s="2831"/>
      <c r="AM51" s="2832"/>
      <c r="AN51" s="2833"/>
      <c r="AO51" s="2834"/>
      <c r="AP51" s="2835"/>
      <c r="AQ51" s="2836"/>
      <c r="AR51" s="2837"/>
      <c r="AS51" s="2838"/>
      <c r="AT51" s="2839"/>
      <c r="AU51" s="2840"/>
      <c r="AV51" s="2841"/>
      <c r="AW51" s="2842"/>
      <c r="AX51" s="2843"/>
      <c r="AY51" s="2844"/>
      <c r="AZ51" s="2845"/>
      <c r="BA51" s="2846"/>
      <c r="BB51" s="2847"/>
      <c r="BC51" s="2848"/>
      <c r="BD51" s="2849"/>
      <c r="BE51" s="2850"/>
      <c r="BF51" s="2851"/>
      <c r="BG51" s="2852"/>
      <c r="BH51" s="2853"/>
      <c r="BI51" s="2854"/>
      <c r="BJ51" s="2855"/>
      <c r="BK51" s="2856"/>
      <c r="BL51" s="2857"/>
      <c r="BM51" s="2858"/>
      <c r="BN51" s="2859"/>
      <c r="BO51" s="2860"/>
      <c r="BP51" s="2861"/>
      <c r="BQ51" s="2862"/>
      <c r="BR51" s="2863"/>
      <c r="BS51" s="2864"/>
      <c r="BT51" s="2865"/>
      <c r="BU51" s="2866"/>
      <c r="BV51" s="2867"/>
      <c r="BW51" s="2868"/>
      <c r="BX51" s="2869"/>
      <c r="BY51" s="2870"/>
      <c r="BZ51" s="2871"/>
      <c r="CA51" s="2872"/>
      <c r="CB51" s="2873"/>
      <c r="CC51" s="2874"/>
      <c r="CD51" s="2875"/>
      <c r="CE51" s="2876"/>
      <c r="CF51" s="2877"/>
      <c r="CG51" s="2878"/>
      <c r="CH51" s="2879"/>
      <c r="CI51" s="2880"/>
      <c r="CJ51" s="2881"/>
      <c r="CK51" s="2882"/>
      <c r="CL51" s="2883"/>
      <c r="CM51" s="2884"/>
      <c r="CN51" s="2885"/>
      <c r="CO51" s="2886"/>
      <c r="CP51" s="2887"/>
      <c r="CQ51" s="2888"/>
      <c r="CR51" s="2889"/>
      <c r="CS51" s="2890"/>
      <c r="CT51" s="2891"/>
      <c r="CU51" s="2892"/>
      <c r="CV51" s="2893"/>
      <c r="CW51" s="2894"/>
      <c r="CX51" s="2895"/>
      <c r="CY51" s="2896"/>
      <c r="CZ51" s="2897"/>
      <c r="DA51" s="2898"/>
      <c r="DB51" s="2899"/>
      <c r="DC51" s="2900"/>
      <c r="DD51" s="2901"/>
      <c r="DE51" s="2902"/>
      <c r="DF51" s="311"/>
      <c r="DG51" s="2121"/>
      <c r="DI51" s="496"/>
      <c r="DJ51" s="496" t="str">
        <f>IF(T51="","",T51)</f>
        <v>Добавить вид теплоносителя (параметры теплоносителя)</v>
      </c>
      <c r="DK51" s="496"/>
      <c r="DL51" s="496"/>
    </row>
    <row s="2437" customFormat="1" customHeight="1" ht="21">
      <c r="A52" s="1380"/>
      <c r="B52" s="1380"/>
      <c r="C52" s="1380"/>
      <c r="D52" s="1380"/>
      <c r="E52" s="2090"/>
      <c r="F52" s="2090"/>
      <c r="G52" s="2090"/>
      <c r="H52" s="2090"/>
      <c r="I52" s="2092"/>
      <c r="J52" s="2091" t="str">
        <f>I47&amp;".2"</f>
        <v>1.1.1.1.1.2</v>
      </c>
      <c r="K52" s="1380"/>
      <c r="L52" s="1386" t="s">
        <v>420</v>
      </c>
      <c r="M52" s="1383"/>
      <c r="N52" s="1383"/>
      <c r="O52" s="1801"/>
      <c r="P52" s="2205"/>
      <c r="Q52" s="678" t="s">
        <v>163</v>
      </c>
      <c r="R52" s="345"/>
      <c r="S52" s="2107" t="str">
        <f>$J52</f>
        <v>1.1.1.1.1.2</v>
      </c>
      <c r="T52" s="267" t="s">
        <v>421</v>
      </c>
      <c r="U52" s="280"/>
      <c r="V52" s="2077"/>
      <c r="W52" s="2078"/>
      <c r="X52" s="2078"/>
      <c r="Y52" s="2078"/>
      <c r="Z52" s="2078"/>
      <c r="AA52" s="2078"/>
      <c r="AB52" s="2078"/>
      <c r="AC52" s="2079"/>
      <c r="AD52" s="2077" t="s">
        <v>461</v>
      </c>
      <c r="AE52" s="2078"/>
      <c r="AF52" s="2078"/>
      <c r="AG52" s="2078"/>
      <c r="AH52" s="2078"/>
      <c r="AI52" s="2078"/>
      <c r="AJ52" s="2078"/>
      <c r="AK52" s="2078"/>
      <c r="AL52" s="2077"/>
      <c r="AM52" s="2078"/>
      <c r="AN52" s="2078"/>
      <c r="AO52" s="2078"/>
      <c r="AP52" s="2078"/>
      <c r="AQ52" s="2078"/>
      <c r="AR52" s="2078"/>
      <c r="AS52" s="2079"/>
      <c r="AT52" s="2077"/>
      <c r="AU52" s="2078"/>
      <c r="AV52" s="2078"/>
      <c r="AW52" s="2078"/>
      <c r="AX52" s="2078"/>
      <c r="AY52" s="2078"/>
      <c r="AZ52" s="2078"/>
      <c r="BA52" s="2079"/>
      <c r="BB52" s="2077"/>
      <c r="BC52" s="2078"/>
      <c r="BD52" s="2078"/>
      <c r="BE52" s="2078"/>
      <c r="BF52" s="2078"/>
      <c r="BG52" s="2078"/>
      <c r="BH52" s="2078"/>
      <c r="BI52" s="2079"/>
      <c r="BJ52" s="2077"/>
      <c r="BK52" s="2078"/>
      <c r="BL52" s="2078"/>
      <c r="BM52" s="2078"/>
      <c r="BN52" s="2078"/>
      <c r="BO52" s="2078"/>
      <c r="BP52" s="2078"/>
      <c r="BQ52" s="2079"/>
      <c r="BR52" s="2077"/>
      <c r="BS52" s="2078"/>
      <c r="BT52" s="2078"/>
      <c r="BU52" s="2078"/>
      <c r="BV52" s="2078"/>
      <c r="BW52" s="2078"/>
      <c r="BX52" s="2078"/>
      <c r="BY52" s="2079"/>
      <c r="BZ52" s="2077"/>
      <c r="CA52" s="2078"/>
      <c r="CB52" s="2078"/>
      <c r="CC52" s="2078"/>
      <c r="CD52" s="2078"/>
      <c r="CE52" s="2078"/>
      <c r="CF52" s="2078"/>
      <c r="CG52" s="2079"/>
      <c r="CH52" s="2077"/>
      <c r="CI52" s="2078"/>
      <c r="CJ52" s="2078"/>
      <c r="CK52" s="2078"/>
      <c r="CL52" s="2078"/>
      <c r="CM52" s="2078"/>
      <c r="CN52" s="2078"/>
      <c r="CO52" s="2079"/>
      <c r="CP52" s="2077"/>
      <c r="CQ52" s="2078"/>
      <c r="CR52" s="2078"/>
      <c r="CS52" s="2078"/>
      <c r="CT52" s="2078"/>
      <c r="CU52" s="2078"/>
      <c r="CV52" s="2078"/>
      <c r="CW52" s="2079"/>
      <c r="CX52" s="2077"/>
      <c r="CY52" s="2078"/>
      <c r="CZ52" s="2078"/>
      <c r="DA52" s="2078"/>
      <c r="DB52" s="2078"/>
      <c r="DC52" s="2078"/>
      <c r="DD52" s="2078"/>
      <c r="DE52" s="2079"/>
      <c r="DF52" s="2079"/>
      <c r="DG52" s="1273" t="s">
        <v>422</v>
      </c>
      <c r="DH52" s="1667"/>
      <c r="DI52" s="1649"/>
      <c r="DJ52" s="1649" t="str">
        <f>IF(T52="","",T52)</f>
        <v>Группа потребителей</v>
      </c>
      <c r="DK52" s="1649"/>
      <c r="DL52" s="1649"/>
    </row>
    <row s="2437" customFormat="1" customHeight="1" ht="21">
      <c r="A53" s="1380"/>
      <c r="B53" s="1380"/>
      <c r="C53" s="1380"/>
      <c r="D53" s="1380"/>
      <c r="E53" s="2090"/>
      <c r="F53" s="2090"/>
      <c r="G53" s="2090"/>
      <c r="H53" s="2090"/>
      <c r="I53" s="2092"/>
      <c r="J53" s="2092" t="str">
        <f>I47&amp;".1"</f>
        <v>1.1.1.1.1.1</v>
      </c>
      <c r="K53" s="2091" t="str">
        <f>J52&amp;".1"</f>
        <v>1.1.1.1.1.2.1</v>
      </c>
      <c r="L53" s="1386" t="s">
        <v>423</v>
      </c>
      <c r="M53" s="1383"/>
      <c r="N53" s="1383"/>
      <c r="O53" s="1383"/>
      <c r="P53" s="2205"/>
      <c r="Q53" s="2205"/>
      <c r="R53" s="345">
        <v>1</v>
      </c>
      <c r="S53" s="2107" t="str">
        <f>$K53</f>
        <v>1.1.1.1.1.2.1</v>
      </c>
      <c r="T53" s="1364" t="s">
        <v>460</v>
      </c>
      <c r="U53" s="280"/>
      <c r="V53" s="746"/>
      <c r="W53" s="312"/>
      <c r="X53" s="746"/>
      <c r="Y53" s="1272"/>
      <c r="Z53" s="2425"/>
      <c r="AA53" s="1963" t="s">
        <v>61</v>
      </c>
      <c r="AB53" s="2425"/>
      <c r="AC53" s="1963" t="s">
        <v>61</v>
      </c>
      <c r="AD53" s="746">
        <v>1607.48</v>
      </c>
      <c r="AE53" s="312"/>
      <c r="AF53" s="746"/>
      <c r="AG53" s="1272"/>
      <c r="AH53" s="2425">
        <v>45292.58251157407</v>
      </c>
      <c r="AI53" s="1963" t="s">
        <v>61</v>
      </c>
      <c r="AJ53" s="2425">
        <v>45473.58259259259</v>
      </c>
      <c r="AK53" s="1963" t="s">
        <v>61</v>
      </c>
      <c r="AL53" s="746">
        <v>1806.07</v>
      </c>
      <c r="AM53" s="312"/>
      <c r="AN53" s="746"/>
      <c r="AO53" s="1272"/>
      <c r="AP53" s="2425">
        <v>45474.582766203705</v>
      </c>
      <c r="AQ53" s="1963" t="s">
        <v>61</v>
      </c>
      <c r="AR53" s="2425">
        <v>45657.58292824074</v>
      </c>
      <c r="AS53" s="1963" t="s">
        <v>61</v>
      </c>
      <c r="AT53" s="746">
        <v>1806.07</v>
      </c>
      <c r="AU53" s="312"/>
      <c r="AV53" s="746"/>
      <c r="AW53" s="1272"/>
      <c r="AX53" s="2425">
        <v>45658.5868287037</v>
      </c>
      <c r="AY53" s="1963" t="s">
        <v>61</v>
      </c>
      <c r="AZ53" s="2425">
        <v>45838.58703703704</v>
      </c>
      <c r="BA53" s="1963" t="s">
        <v>61</v>
      </c>
      <c r="BB53" s="746">
        <v>1835.69</v>
      </c>
      <c r="BC53" s="312"/>
      <c r="BD53" s="746"/>
      <c r="BE53" s="1272"/>
      <c r="BF53" s="2425">
        <v>45839.58734953704</v>
      </c>
      <c r="BG53" s="1963" t="s">
        <v>61</v>
      </c>
      <c r="BH53" s="2425">
        <v>46022.58752314815</v>
      </c>
      <c r="BI53" s="1963" t="s">
        <v>61</v>
      </c>
      <c r="BJ53" s="746">
        <v>1835.69</v>
      </c>
      <c r="BK53" s="312"/>
      <c r="BL53" s="746"/>
      <c r="BM53" s="1272"/>
      <c r="BN53" s="2425">
        <v>46023.587905092594</v>
      </c>
      <c r="BO53" s="1963" t="s">
        <v>61</v>
      </c>
      <c r="BP53" s="2425">
        <v>46203.58809027778</v>
      </c>
      <c r="BQ53" s="1963" t="s">
        <v>61</v>
      </c>
      <c r="BR53" s="746">
        <v>1955.82</v>
      </c>
      <c r="BS53" s="312"/>
      <c r="BT53" s="746"/>
      <c r="BU53" s="1272"/>
      <c r="BV53" s="2425">
        <v>46204.58923611111</v>
      </c>
      <c r="BW53" s="1963" t="s">
        <v>61</v>
      </c>
      <c r="BX53" s="2425">
        <v>46387.58936342593</v>
      </c>
      <c r="BY53" s="1963" t="s">
        <v>61</v>
      </c>
      <c r="BZ53" s="746">
        <v>1955.82</v>
      </c>
      <c r="CA53" s="312"/>
      <c r="CB53" s="746"/>
      <c r="CC53" s="1272"/>
      <c r="CD53" s="2425">
        <v>46388.59204861111</v>
      </c>
      <c r="CE53" s="1963" t="s">
        <v>61</v>
      </c>
      <c r="CF53" s="2425">
        <v>46568.59222222222</v>
      </c>
      <c r="CG53" s="1963" t="s">
        <v>61</v>
      </c>
      <c r="CH53" s="746">
        <v>1961.69</v>
      </c>
      <c r="CI53" s="312"/>
      <c r="CJ53" s="746"/>
      <c r="CK53" s="1272"/>
      <c r="CL53" s="2425">
        <v>46569.59273148148</v>
      </c>
      <c r="CM53" s="1963" t="s">
        <v>61</v>
      </c>
      <c r="CN53" s="2425">
        <v>46752.5928587963</v>
      </c>
      <c r="CO53" s="1963" t="s">
        <v>61</v>
      </c>
      <c r="CP53" s="746">
        <v>1961.69</v>
      </c>
      <c r="CQ53" s="312"/>
      <c r="CR53" s="746"/>
      <c r="CS53" s="1272"/>
      <c r="CT53" s="2425">
        <v>46753.593194444446</v>
      </c>
      <c r="CU53" s="1963" t="s">
        <v>61</v>
      </c>
      <c r="CV53" s="2425">
        <v>46934.593298611115</v>
      </c>
      <c r="CW53" s="1963" t="s">
        <v>61</v>
      </c>
      <c r="CX53" s="746">
        <v>2061.9</v>
      </c>
      <c r="CY53" s="312"/>
      <c r="CZ53" s="746"/>
      <c r="DA53" s="1272"/>
      <c r="DB53" s="2425">
        <v>46935.593622685185</v>
      </c>
      <c r="DC53" s="1963" t="s">
        <v>61</v>
      </c>
      <c r="DD53" s="2425">
        <v>47118.59375</v>
      </c>
      <c r="DE53" s="1963" t="s">
        <v>61</v>
      </c>
      <c r="DF53" s="312"/>
      <c r="DG53" s="2119" t="s">
        <v>424</v>
      </c>
      <c r="DH53" s="1667">
        <f>STRCHECKDATE(V54:DF54)</f>
      </c>
      <c r="DI53" s="1649"/>
      <c r="DJ53" s="1649" t="str">
        <f>IF(T53="","",T53)</f>
        <v>вода</v>
      </c>
      <c r="DK53" s="1649"/>
      <c r="DL53" s="1649"/>
    </row>
    <row s="2437" customFormat="1" customHeight="1" ht="0.75">
      <c r="A54" s="1380"/>
      <c r="B54" s="1380"/>
      <c r="C54" s="1380"/>
      <c r="D54" s="1380"/>
      <c r="E54" s="2090"/>
      <c r="F54" s="2090"/>
      <c r="G54" s="2090"/>
      <c r="H54" s="2090"/>
      <c r="I54" s="2092"/>
      <c r="J54" s="2092" t="str">
        <f>I47&amp;".1"</f>
        <v>1.1.1.1.1.1</v>
      </c>
      <c r="K54" s="2091"/>
      <c r="L54" s="1386"/>
      <c r="M54" s="1383"/>
      <c r="N54" s="1383"/>
      <c r="O54" s="1383"/>
      <c r="P54" s="2205"/>
      <c r="Q54" s="2205"/>
      <c r="R54" s="345"/>
      <c r="S54" s="2349"/>
      <c r="T54" s="280"/>
      <c r="U54" s="280"/>
      <c r="V54" s="312"/>
      <c r="W54" s="312"/>
      <c r="X54" s="312"/>
      <c r="Y54" s="316" t="str">
        <f>Z53&amp;"-"&amp;AB53</f>
        <v>-</v>
      </c>
      <c r="Z54" s="2134"/>
      <c r="AA54" s="1963"/>
      <c r="AB54" s="2134"/>
      <c r="AC54" s="1963"/>
      <c r="AD54" s="312"/>
      <c r="AE54" s="312"/>
      <c r="AF54" s="312"/>
      <c r="AG54" s="316" t="str">
        <f>AH53&amp;"-"&amp;AJ53</f>
        <v>45292.58251157407-45473.58259259259</v>
      </c>
      <c r="AH54" s="2134"/>
      <c r="AI54" s="1963"/>
      <c r="AJ54" s="2134"/>
      <c r="AK54" s="1963"/>
      <c r="AL54" s="312"/>
      <c r="AM54" s="312"/>
      <c r="AN54" s="312"/>
      <c r="AO54" s="316" t="str">
        <f>AP53&amp;"-"&amp;AR53</f>
        <v>45474.582766203705-45657.58292824074</v>
      </c>
      <c r="AP54" s="2134"/>
      <c r="AQ54" s="1963"/>
      <c r="AR54" s="2134"/>
      <c r="AS54" s="1963"/>
      <c r="AT54" s="312"/>
      <c r="AU54" s="312"/>
      <c r="AV54" s="312"/>
      <c r="AW54" s="316" t="str">
        <f>AX53&amp;"-"&amp;AZ53</f>
        <v>45658.5868287037-45838.58703703704</v>
      </c>
      <c r="AX54" s="2134"/>
      <c r="AY54" s="1963"/>
      <c r="AZ54" s="2134"/>
      <c r="BA54" s="1963"/>
      <c r="BB54" s="312"/>
      <c r="BC54" s="312"/>
      <c r="BD54" s="312"/>
      <c r="BE54" s="316" t="str">
        <f>BF53&amp;"-"&amp;BH53</f>
        <v>45839.58734953704-46022.58752314815</v>
      </c>
      <c r="BF54" s="2134"/>
      <c r="BG54" s="1963"/>
      <c r="BH54" s="2134"/>
      <c r="BI54" s="1963"/>
      <c r="BJ54" s="312"/>
      <c r="BK54" s="312"/>
      <c r="BL54" s="312"/>
      <c r="BM54" s="316" t="str">
        <f>BN53&amp;"-"&amp;BP53</f>
        <v>46023.587905092594-46203.58809027778</v>
      </c>
      <c r="BN54" s="2134"/>
      <c r="BO54" s="1963"/>
      <c r="BP54" s="2134"/>
      <c r="BQ54" s="1963"/>
      <c r="BR54" s="312"/>
      <c r="BS54" s="312"/>
      <c r="BT54" s="312"/>
      <c r="BU54" s="316" t="str">
        <f>BV53&amp;"-"&amp;BX53</f>
        <v>46204.58923611111-46387.58936342593</v>
      </c>
      <c r="BV54" s="2134"/>
      <c r="BW54" s="1963"/>
      <c r="BX54" s="2134"/>
      <c r="BY54" s="1963"/>
      <c r="BZ54" s="312"/>
      <c r="CA54" s="312"/>
      <c r="CB54" s="312"/>
      <c r="CC54" s="316" t="str">
        <f>CD53&amp;"-"&amp;CF53</f>
        <v>46388.59204861111-46568.59222222222</v>
      </c>
      <c r="CD54" s="2134"/>
      <c r="CE54" s="1963"/>
      <c r="CF54" s="2134"/>
      <c r="CG54" s="1963"/>
      <c r="CH54" s="312"/>
      <c r="CI54" s="312"/>
      <c r="CJ54" s="312"/>
      <c r="CK54" s="316" t="str">
        <f>CL53&amp;"-"&amp;CN53</f>
        <v>46569.59273148148-46752.5928587963</v>
      </c>
      <c r="CL54" s="2134"/>
      <c r="CM54" s="1963"/>
      <c r="CN54" s="2134"/>
      <c r="CO54" s="1963"/>
      <c r="CP54" s="312"/>
      <c r="CQ54" s="312"/>
      <c r="CR54" s="312"/>
      <c r="CS54" s="316" t="str">
        <f>CT53&amp;"-"&amp;CV53</f>
        <v>46753.593194444446-46934.593298611115</v>
      </c>
      <c r="CT54" s="2134"/>
      <c r="CU54" s="1963"/>
      <c r="CV54" s="2134"/>
      <c r="CW54" s="1963"/>
      <c r="CX54" s="312"/>
      <c r="CY54" s="312"/>
      <c r="CZ54" s="312"/>
      <c r="DA54" s="316" t="str">
        <f>DB53&amp;"-"&amp;DD53</f>
        <v>46935.593622685185-47118.59375</v>
      </c>
      <c r="DB54" s="2134"/>
      <c r="DC54" s="1963"/>
      <c r="DD54" s="2134"/>
      <c r="DE54" s="1963"/>
      <c r="DF54" s="312"/>
      <c r="DG54" s="2120"/>
      <c r="DH54" s="1667"/>
      <c r="DI54" s="1649"/>
      <c r="DJ54" s="1649" t="str">
        <f>IF(T54="","",T54)</f>
        <v/>
      </c>
      <c r="DK54" s="1649"/>
      <c r="DL54" s="1649"/>
    </row>
    <row s="2437" customFormat="1" customHeight="1" ht="15">
      <c r="A55" s="1380"/>
      <c r="B55" s="1380"/>
      <c r="C55" s="1380"/>
      <c r="D55" s="1380"/>
      <c r="E55" s="2090"/>
      <c r="F55" s="2090"/>
      <c r="G55" s="2090"/>
      <c r="H55" s="2090"/>
      <c r="I55" s="2092"/>
      <c r="J55" s="2091" t="str">
        <f>I47&amp;".1"</f>
        <v>1.1.1.1.1.1</v>
      </c>
      <c r="K55" s="1380"/>
      <c r="L55" s="1386"/>
      <c r="M55" s="1383"/>
      <c r="N55" s="1383"/>
      <c r="O55" s="1801"/>
      <c r="P55" s="2205"/>
      <c r="Q55" s="2205"/>
      <c r="R55" s="344"/>
      <c r="S55" s="2903"/>
      <c r="T55" s="2904" t="s">
        <v>425</v>
      </c>
      <c r="U55" s="2905"/>
      <c r="V55" s="2906"/>
      <c r="W55" s="2907"/>
      <c r="X55" s="2908"/>
      <c r="Y55" s="2909"/>
      <c r="Z55" s="2910"/>
      <c r="AA55" s="2911"/>
      <c r="AB55" s="2912"/>
      <c r="AC55" s="2913"/>
      <c r="AD55" s="2914"/>
      <c r="AE55" s="2915"/>
      <c r="AF55" s="2916"/>
      <c r="AG55" s="2917"/>
      <c r="AH55" s="2918"/>
      <c r="AI55" s="2919"/>
      <c r="AJ55" s="2920"/>
      <c r="AK55" s="2921"/>
      <c r="AL55" s="2922"/>
      <c r="AM55" s="2923"/>
      <c r="AN55" s="2924"/>
      <c r="AO55" s="2925"/>
      <c r="AP55" s="2926"/>
      <c r="AQ55" s="2927"/>
      <c r="AR55" s="2928"/>
      <c r="AS55" s="2929"/>
      <c r="AT55" s="2930"/>
      <c r="AU55" s="2931"/>
      <c r="AV55" s="2932"/>
      <c r="AW55" s="2933"/>
      <c r="AX55" s="2934"/>
      <c r="AY55" s="2935"/>
      <c r="AZ55" s="2936"/>
      <c r="BA55" s="2937"/>
      <c r="BB55" s="2938"/>
      <c r="BC55" s="2939"/>
      <c r="BD55" s="2940"/>
      <c r="BE55" s="2941"/>
      <c r="BF55" s="2942"/>
      <c r="BG55" s="2943"/>
      <c r="BH55" s="2944"/>
      <c r="BI55" s="2945"/>
      <c r="BJ55" s="2946"/>
      <c r="BK55" s="2947"/>
      <c r="BL55" s="2948"/>
      <c r="BM55" s="2949"/>
      <c r="BN55" s="2950"/>
      <c r="BO55" s="2951"/>
      <c r="BP55" s="2952"/>
      <c r="BQ55" s="2953"/>
      <c r="BR55" s="2954"/>
      <c r="BS55" s="2955"/>
      <c r="BT55" s="2956"/>
      <c r="BU55" s="2957"/>
      <c r="BV55" s="2958"/>
      <c r="BW55" s="2959"/>
      <c r="BX55" s="2960"/>
      <c r="BY55" s="2961"/>
      <c r="BZ55" s="2962"/>
      <c r="CA55" s="2963"/>
      <c r="CB55" s="2964"/>
      <c r="CC55" s="2965"/>
      <c r="CD55" s="2966"/>
      <c r="CE55" s="2967"/>
      <c r="CF55" s="2968"/>
      <c r="CG55" s="2969"/>
      <c r="CH55" s="2970"/>
      <c r="CI55" s="2971"/>
      <c r="CJ55" s="2972"/>
      <c r="CK55" s="2973"/>
      <c r="CL55" s="2974"/>
      <c r="CM55" s="2975"/>
      <c r="CN55" s="2976"/>
      <c r="CO55" s="2977"/>
      <c r="CP55" s="2978"/>
      <c r="CQ55" s="2979"/>
      <c r="CR55" s="2980"/>
      <c r="CS55" s="2981"/>
      <c r="CT55" s="2982"/>
      <c r="CU55" s="2983"/>
      <c r="CV55" s="2984"/>
      <c r="CW55" s="2985"/>
      <c r="CX55" s="2986"/>
      <c r="CY55" s="2987"/>
      <c r="CZ55" s="2988"/>
      <c r="DA55" s="2989"/>
      <c r="DB55" s="2990"/>
      <c r="DC55" s="2991"/>
      <c r="DD55" s="2992"/>
      <c r="DE55" s="2993"/>
      <c r="DF55" s="2994"/>
      <c r="DG55" s="2121"/>
      <c r="DH55" s="1667"/>
      <c r="DI55" s="1649"/>
      <c r="DJ55" s="1649" t="str">
        <f>IF(T55="","",T55)</f>
        <v>Добавить вид теплоносителя (параметры теплоносителя)</v>
      </c>
      <c r="DK55" s="1649"/>
      <c r="DL55" s="1649"/>
    </row>
    <row s="2437" customFormat="1" customHeight="1" ht="21">
      <c r="A56" s="1380"/>
      <c r="B56" s="1380"/>
      <c r="C56" s="1380"/>
      <c r="D56" s="1380"/>
      <c r="E56" s="2090"/>
      <c r="F56" s="2090"/>
      <c r="G56" s="2090"/>
      <c r="H56" s="2090"/>
      <c r="I56" s="2092"/>
      <c r="J56" s="2091" t="str">
        <f>I47&amp;".3"</f>
        <v>1.1.1.1.1.3</v>
      </c>
      <c r="K56" s="1380"/>
      <c r="L56" s="1386" t="s">
        <v>420</v>
      </c>
      <c r="M56" s="1383"/>
      <c r="N56" s="1383"/>
      <c r="O56" s="1801"/>
      <c r="P56" s="2205"/>
      <c r="Q56" s="678" t="s">
        <v>163</v>
      </c>
      <c r="R56" s="345"/>
      <c r="S56" s="2107" t="str">
        <f>$J56</f>
        <v>1.1.1.1.1.3</v>
      </c>
      <c r="T56" s="267" t="s">
        <v>421</v>
      </c>
      <c r="U56" s="280"/>
      <c r="V56" s="2077"/>
      <c r="W56" s="2078"/>
      <c r="X56" s="2078"/>
      <c r="Y56" s="2078"/>
      <c r="Z56" s="2078"/>
      <c r="AA56" s="2078"/>
      <c r="AB56" s="2078"/>
      <c r="AC56" s="2079"/>
      <c r="AD56" s="2077" t="s">
        <v>462</v>
      </c>
      <c r="AE56" s="2078"/>
      <c r="AF56" s="2078"/>
      <c r="AG56" s="2078"/>
      <c r="AH56" s="2078"/>
      <c r="AI56" s="2078"/>
      <c r="AJ56" s="2078"/>
      <c r="AK56" s="2078"/>
      <c r="AL56" s="2077"/>
      <c r="AM56" s="2078"/>
      <c r="AN56" s="2078"/>
      <c r="AO56" s="2078"/>
      <c r="AP56" s="2078"/>
      <c r="AQ56" s="2078"/>
      <c r="AR56" s="2078"/>
      <c r="AS56" s="2079"/>
      <c r="AT56" s="2077"/>
      <c r="AU56" s="2078"/>
      <c r="AV56" s="2078"/>
      <c r="AW56" s="2078"/>
      <c r="AX56" s="2078"/>
      <c r="AY56" s="2078"/>
      <c r="AZ56" s="2078"/>
      <c r="BA56" s="2079"/>
      <c r="BB56" s="2077"/>
      <c r="BC56" s="2078"/>
      <c r="BD56" s="2078"/>
      <c r="BE56" s="2078"/>
      <c r="BF56" s="2078"/>
      <c r="BG56" s="2078"/>
      <c r="BH56" s="2078"/>
      <c r="BI56" s="2079"/>
      <c r="BJ56" s="2077"/>
      <c r="BK56" s="2078"/>
      <c r="BL56" s="2078"/>
      <c r="BM56" s="2078"/>
      <c r="BN56" s="2078"/>
      <c r="BO56" s="2078"/>
      <c r="BP56" s="2078"/>
      <c r="BQ56" s="2079"/>
      <c r="BR56" s="2077"/>
      <c r="BS56" s="2078"/>
      <c r="BT56" s="2078"/>
      <c r="BU56" s="2078"/>
      <c r="BV56" s="2078"/>
      <c r="BW56" s="2078"/>
      <c r="BX56" s="2078"/>
      <c r="BY56" s="2079"/>
      <c r="BZ56" s="2077"/>
      <c r="CA56" s="2078"/>
      <c r="CB56" s="2078"/>
      <c r="CC56" s="2078"/>
      <c r="CD56" s="2078"/>
      <c r="CE56" s="2078"/>
      <c r="CF56" s="2078"/>
      <c r="CG56" s="2079"/>
      <c r="CH56" s="2077"/>
      <c r="CI56" s="2078"/>
      <c r="CJ56" s="2078"/>
      <c r="CK56" s="2078"/>
      <c r="CL56" s="2078"/>
      <c r="CM56" s="2078"/>
      <c r="CN56" s="2078"/>
      <c r="CO56" s="2079"/>
      <c r="CP56" s="2077"/>
      <c r="CQ56" s="2078"/>
      <c r="CR56" s="2078"/>
      <c r="CS56" s="2078"/>
      <c r="CT56" s="2078"/>
      <c r="CU56" s="2078"/>
      <c r="CV56" s="2078"/>
      <c r="CW56" s="2079"/>
      <c r="CX56" s="2077"/>
      <c r="CY56" s="2078"/>
      <c r="CZ56" s="2078"/>
      <c r="DA56" s="2078"/>
      <c r="DB56" s="2078"/>
      <c r="DC56" s="2078"/>
      <c r="DD56" s="2078"/>
      <c r="DE56" s="2079"/>
      <c r="DF56" s="2079"/>
      <c r="DG56" s="1273" t="s">
        <v>422</v>
      </c>
      <c r="DH56" s="1667"/>
      <c r="DI56" s="1649"/>
      <c r="DJ56" s="1649" t="str">
        <f>IF(T56="","",T56)</f>
        <v>Группа потребителей</v>
      </c>
      <c r="DK56" s="1649"/>
      <c r="DL56" s="1649"/>
    </row>
    <row s="2437" customFormat="1" customHeight="1" ht="21">
      <c r="A57" s="1380"/>
      <c r="B57" s="1380"/>
      <c r="C57" s="1380"/>
      <c r="D57" s="1380"/>
      <c r="E57" s="2090"/>
      <c r="F57" s="2090"/>
      <c r="G57" s="2090"/>
      <c r="H57" s="2090"/>
      <c r="I57" s="2092"/>
      <c r="J57" s="2092" t="str">
        <f>I47&amp;".2"</f>
        <v>1.1.1.1.1.2</v>
      </c>
      <c r="K57" s="2091" t="str">
        <f>J56&amp;".1"</f>
        <v>1.1.1.1.1.3.1</v>
      </c>
      <c r="L57" s="1386" t="s">
        <v>423</v>
      </c>
      <c r="M57" s="1383"/>
      <c r="N57" s="1383"/>
      <c r="O57" s="1383"/>
      <c r="P57" s="2205"/>
      <c r="Q57" s="2205"/>
      <c r="R57" s="345">
        <v>1</v>
      </c>
      <c r="S57" s="2107" t="str">
        <f>$K57</f>
        <v>1.1.1.1.1.3.1</v>
      </c>
      <c r="T57" s="1364" t="s">
        <v>460</v>
      </c>
      <c r="U57" s="280"/>
      <c r="V57" s="746"/>
      <c r="W57" s="312"/>
      <c r="X57" s="746"/>
      <c r="Y57" s="1272"/>
      <c r="Z57" s="2425"/>
      <c r="AA57" s="1963" t="s">
        <v>61</v>
      </c>
      <c r="AB57" s="2425"/>
      <c r="AC57" s="1963" t="s">
        <v>61</v>
      </c>
      <c r="AD57" s="746">
        <v>2649.78</v>
      </c>
      <c r="AE57" s="312"/>
      <c r="AF57" s="746"/>
      <c r="AG57" s="1272"/>
      <c r="AH57" s="2425">
        <v>45292.59494212963</v>
      </c>
      <c r="AI57" s="1963" t="s">
        <v>61</v>
      </c>
      <c r="AJ57" s="2425">
        <v>45473.595034722224</v>
      </c>
      <c r="AK57" s="1963" t="s">
        <v>61</v>
      </c>
      <c r="AL57" s="746">
        <v>2998.6</v>
      </c>
      <c r="AM57" s="312"/>
      <c r="AN57" s="746"/>
      <c r="AO57" s="1272"/>
      <c r="AP57" s="2425">
        <v>45474.59846064815</v>
      </c>
      <c r="AQ57" s="1963" t="s">
        <v>61</v>
      </c>
      <c r="AR57" s="2425">
        <v>45657.59855324074</v>
      </c>
      <c r="AS57" s="1963" t="s">
        <v>61</v>
      </c>
      <c r="AT57" s="746">
        <v>2937.42</v>
      </c>
      <c r="AU57" s="312"/>
      <c r="AV57" s="746"/>
      <c r="AW57" s="1272"/>
      <c r="AX57" s="2425">
        <v>45658.59883101852</v>
      </c>
      <c r="AY57" s="1963" t="s">
        <v>61</v>
      </c>
      <c r="AZ57" s="2425">
        <v>45838.598958333336</v>
      </c>
      <c r="BA57" s="1963" t="s">
        <v>61</v>
      </c>
      <c r="BB57" s="746">
        <v>3053.41</v>
      </c>
      <c r="BC57" s="312"/>
      <c r="BD57" s="746"/>
      <c r="BE57" s="1272"/>
      <c r="BF57" s="2425">
        <v>45839.59916666667</v>
      </c>
      <c r="BG57" s="1963" t="s">
        <v>61</v>
      </c>
      <c r="BH57" s="2425">
        <v>46022.599340277775</v>
      </c>
      <c r="BI57" s="1963" t="s">
        <v>61</v>
      </c>
      <c r="BJ57" s="746">
        <v>3053.41</v>
      </c>
      <c r="BK57" s="312"/>
      <c r="BL57" s="746"/>
      <c r="BM57" s="1272"/>
      <c r="BN57" s="2425">
        <v>46023.59972222222</v>
      </c>
      <c r="BO57" s="1963" t="s">
        <v>61</v>
      </c>
      <c r="BP57" s="2425">
        <v>46203.59984953704</v>
      </c>
      <c r="BQ57" s="1963" t="s">
        <v>61</v>
      </c>
      <c r="BR57" s="746">
        <v>3260.06</v>
      </c>
      <c r="BS57" s="312"/>
      <c r="BT57" s="746"/>
      <c r="BU57" s="1272"/>
      <c r="BV57" s="2425">
        <v>46204.60016203704</v>
      </c>
      <c r="BW57" s="1963" t="s">
        <v>61</v>
      </c>
      <c r="BX57" s="2425">
        <v>46387.600335648145</v>
      </c>
      <c r="BY57" s="1963" t="s">
        <v>61</v>
      </c>
      <c r="BZ57" s="746">
        <v>3193.8</v>
      </c>
      <c r="CA57" s="312"/>
      <c r="CB57" s="746"/>
      <c r="CC57" s="1272"/>
      <c r="CD57" s="2425">
        <v>46388.600636574076</v>
      </c>
      <c r="CE57" s="1963" t="s">
        <v>61</v>
      </c>
      <c r="CF57" s="2425">
        <v>46568.60077546296</v>
      </c>
      <c r="CG57" s="1963" t="s">
        <v>61</v>
      </c>
      <c r="CH57" s="746">
        <v>3279.65</v>
      </c>
      <c r="CI57" s="312"/>
      <c r="CJ57" s="746"/>
      <c r="CK57" s="1272"/>
      <c r="CL57" s="2425">
        <v>46569.60103009259</v>
      </c>
      <c r="CM57" s="1963" t="s">
        <v>61</v>
      </c>
      <c r="CN57" s="2425">
        <v>46752.60113425926</v>
      </c>
      <c r="CO57" s="1963" t="s">
        <v>61</v>
      </c>
      <c r="CP57" s="746">
        <v>3279.65</v>
      </c>
      <c r="CQ57" s="312"/>
      <c r="CR57" s="746"/>
      <c r="CS57" s="1272"/>
      <c r="CT57" s="2425">
        <v>46753.60142361111</v>
      </c>
      <c r="CU57" s="1963" t="s">
        <v>61</v>
      </c>
      <c r="CV57" s="2425">
        <v>46934.60152777778</v>
      </c>
      <c r="CW57" s="1963" t="s">
        <v>61</v>
      </c>
      <c r="CX57" s="746">
        <v>3451.67</v>
      </c>
      <c r="CY57" s="312"/>
      <c r="CZ57" s="746"/>
      <c r="DA57" s="1272"/>
      <c r="DB57" s="2425">
        <v>46935.601875</v>
      </c>
      <c r="DC57" s="1963" t="s">
        <v>61</v>
      </c>
      <c r="DD57" s="2425">
        <v>47118.60204861111</v>
      </c>
      <c r="DE57" s="1963" t="s">
        <v>61</v>
      </c>
      <c r="DF57" s="312"/>
      <c r="DG57" s="2119" t="s">
        <v>424</v>
      </c>
      <c r="DH57" s="1667">
        <f>STRCHECKDATE(V58:DF58)</f>
      </c>
      <c r="DI57" s="1649"/>
      <c r="DJ57" s="1649" t="str">
        <f>IF(T57="","",T57)</f>
        <v>вода</v>
      </c>
      <c r="DK57" s="1649"/>
      <c r="DL57" s="1649"/>
    </row>
    <row s="2437" customFormat="1" customHeight="1" ht="0.75">
      <c r="A58" s="1380"/>
      <c r="B58" s="1380"/>
      <c r="C58" s="1380"/>
      <c r="D58" s="1380"/>
      <c r="E58" s="2090"/>
      <c r="F58" s="2090"/>
      <c r="G58" s="2090"/>
      <c r="H58" s="2090"/>
      <c r="I58" s="2092"/>
      <c r="J58" s="2092" t="str">
        <f>I47&amp;".2"</f>
        <v>1.1.1.1.1.2</v>
      </c>
      <c r="K58" s="2091"/>
      <c r="L58" s="1386"/>
      <c r="M58" s="1383"/>
      <c r="N58" s="1383"/>
      <c r="O58" s="1383"/>
      <c r="P58" s="2205"/>
      <c r="Q58" s="2205"/>
      <c r="R58" s="345"/>
      <c r="S58" s="2349"/>
      <c r="T58" s="280"/>
      <c r="U58" s="280"/>
      <c r="V58" s="312"/>
      <c r="W58" s="312"/>
      <c r="X58" s="312"/>
      <c r="Y58" s="316" t="str">
        <f>Z57&amp;"-"&amp;AB57</f>
        <v>-</v>
      </c>
      <c r="Z58" s="2134"/>
      <c r="AA58" s="1963"/>
      <c r="AB58" s="2134"/>
      <c r="AC58" s="1963"/>
      <c r="AD58" s="312"/>
      <c r="AE58" s="312"/>
      <c r="AF58" s="312"/>
      <c r="AG58" s="316" t="str">
        <f>AH57&amp;"-"&amp;AJ57</f>
        <v>45292.59494212963-45473.595034722224</v>
      </c>
      <c r="AH58" s="2134"/>
      <c r="AI58" s="1963"/>
      <c r="AJ58" s="2134"/>
      <c r="AK58" s="1963"/>
      <c r="AL58" s="312"/>
      <c r="AM58" s="312"/>
      <c r="AN58" s="312"/>
      <c r="AO58" s="316" t="str">
        <f>AP57&amp;"-"&amp;AR57</f>
        <v>45474.59846064815-45657.59855324074</v>
      </c>
      <c r="AP58" s="2134"/>
      <c r="AQ58" s="1963"/>
      <c r="AR58" s="2134"/>
      <c r="AS58" s="1963"/>
      <c r="AT58" s="312"/>
      <c r="AU58" s="312"/>
      <c r="AV58" s="312"/>
      <c r="AW58" s="316" t="str">
        <f>AX57&amp;"-"&amp;AZ57</f>
        <v>45658.59883101852-45838.598958333336</v>
      </c>
      <c r="AX58" s="2134"/>
      <c r="AY58" s="1963"/>
      <c r="AZ58" s="2134"/>
      <c r="BA58" s="1963"/>
      <c r="BB58" s="312"/>
      <c r="BC58" s="312"/>
      <c r="BD58" s="312"/>
      <c r="BE58" s="316" t="str">
        <f>BF57&amp;"-"&amp;BH57</f>
        <v>45839.59916666667-46022.599340277775</v>
      </c>
      <c r="BF58" s="2134"/>
      <c r="BG58" s="1963"/>
      <c r="BH58" s="2134"/>
      <c r="BI58" s="1963"/>
      <c r="BJ58" s="312"/>
      <c r="BK58" s="312"/>
      <c r="BL58" s="312"/>
      <c r="BM58" s="316" t="str">
        <f>BN57&amp;"-"&amp;BP57</f>
        <v>46023.59972222222-46203.59984953704</v>
      </c>
      <c r="BN58" s="2134"/>
      <c r="BO58" s="1963"/>
      <c r="BP58" s="2134"/>
      <c r="BQ58" s="1963"/>
      <c r="BR58" s="312"/>
      <c r="BS58" s="312"/>
      <c r="BT58" s="312"/>
      <c r="BU58" s="316" t="str">
        <f>BV57&amp;"-"&amp;BX57</f>
        <v>46204.60016203704-46387.600335648145</v>
      </c>
      <c r="BV58" s="2134"/>
      <c r="BW58" s="1963"/>
      <c r="BX58" s="2134"/>
      <c r="BY58" s="1963"/>
      <c r="BZ58" s="312"/>
      <c r="CA58" s="312"/>
      <c r="CB58" s="312"/>
      <c r="CC58" s="316" t="str">
        <f>CD57&amp;"-"&amp;CF57</f>
        <v>46388.600636574076-46568.60077546296</v>
      </c>
      <c r="CD58" s="2134"/>
      <c r="CE58" s="1963"/>
      <c r="CF58" s="2134"/>
      <c r="CG58" s="1963"/>
      <c r="CH58" s="312"/>
      <c r="CI58" s="312"/>
      <c r="CJ58" s="312"/>
      <c r="CK58" s="316" t="str">
        <f>CL57&amp;"-"&amp;CN57</f>
        <v>46569.60103009259-46752.60113425926</v>
      </c>
      <c r="CL58" s="2134"/>
      <c r="CM58" s="1963"/>
      <c r="CN58" s="2134"/>
      <c r="CO58" s="1963"/>
      <c r="CP58" s="312"/>
      <c r="CQ58" s="312"/>
      <c r="CR58" s="312"/>
      <c r="CS58" s="316" t="str">
        <f>CT57&amp;"-"&amp;CV57</f>
        <v>46753.60142361111-46934.60152777778</v>
      </c>
      <c r="CT58" s="2134"/>
      <c r="CU58" s="1963"/>
      <c r="CV58" s="2134"/>
      <c r="CW58" s="1963"/>
      <c r="CX58" s="312"/>
      <c r="CY58" s="312"/>
      <c r="CZ58" s="312"/>
      <c r="DA58" s="316" t="str">
        <f>DB57&amp;"-"&amp;DD57</f>
        <v>46935.601875-47118.60204861111</v>
      </c>
      <c r="DB58" s="2134"/>
      <c r="DC58" s="1963"/>
      <c r="DD58" s="2134"/>
      <c r="DE58" s="1963"/>
      <c r="DF58" s="312"/>
      <c r="DG58" s="2120"/>
      <c r="DH58" s="1667"/>
      <c r="DI58" s="1649"/>
      <c r="DJ58" s="1649" t="str">
        <f>IF(T58="","",T58)</f>
        <v/>
      </c>
      <c r="DK58" s="1649"/>
      <c r="DL58" s="1649"/>
    </row>
    <row s="2437" customFormat="1" customHeight="1" ht="15">
      <c r="A59" s="1380"/>
      <c r="B59" s="1380"/>
      <c r="C59" s="1380"/>
      <c r="D59" s="1380"/>
      <c r="E59" s="2090"/>
      <c r="F59" s="2090"/>
      <c r="G59" s="2090"/>
      <c r="H59" s="2090"/>
      <c r="I59" s="2092"/>
      <c r="J59" s="2091" t="str">
        <f>I47&amp;".2"</f>
        <v>1.1.1.1.1.2</v>
      </c>
      <c r="K59" s="1380"/>
      <c r="L59" s="1386"/>
      <c r="M59" s="1383"/>
      <c r="N59" s="1383"/>
      <c r="O59" s="1801"/>
      <c r="P59" s="2205"/>
      <c r="Q59" s="2205"/>
      <c r="R59" s="344"/>
      <c r="S59" s="2995"/>
      <c r="T59" s="2996" t="s">
        <v>425</v>
      </c>
      <c r="U59" s="2997"/>
      <c r="V59" s="2998"/>
      <c r="W59" s="2999"/>
      <c r="X59" s="3000"/>
      <c r="Y59" s="3001"/>
      <c r="Z59" s="3002"/>
      <c r="AA59" s="3003"/>
      <c r="AB59" s="3004"/>
      <c r="AC59" s="3005"/>
      <c r="AD59" s="3006"/>
      <c r="AE59" s="3007"/>
      <c r="AF59" s="3008"/>
      <c r="AG59" s="3009"/>
      <c r="AH59" s="3010"/>
      <c r="AI59" s="3011"/>
      <c r="AJ59" s="3012"/>
      <c r="AK59" s="3013"/>
      <c r="AL59" s="3014"/>
      <c r="AM59" s="3015"/>
      <c r="AN59" s="3016"/>
      <c r="AO59" s="3017"/>
      <c r="AP59" s="3018"/>
      <c r="AQ59" s="3019"/>
      <c r="AR59" s="3020"/>
      <c r="AS59" s="3021"/>
      <c r="AT59" s="3022"/>
      <c r="AU59" s="3023"/>
      <c r="AV59" s="3024"/>
      <c r="AW59" s="3025"/>
      <c r="AX59" s="3026"/>
      <c r="AY59" s="3027"/>
      <c r="AZ59" s="3028"/>
      <c r="BA59" s="3029"/>
      <c r="BB59" s="3030"/>
      <c r="BC59" s="3031"/>
      <c r="BD59" s="3032"/>
      <c r="BE59" s="3033"/>
      <c r="BF59" s="3034"/>
      <c r="BG59" s="3035"/>
      <c r="BH59" s="3036"/>
      <c r="BI59" s="3037"/>
      <c r="BJ59" s="3038"/>
      <c r="BK59" s="3039"/>
      <c r="BL59" s="3040"/>
      <c r="BM59" s="3041"/>
      <c r="BN59" s="3042"/>
      <c r="BO59" s="3043"/>
      <c r="BP59" s="3044"/>
      <c r="BQ59" s="3045"/>
      <c r="BR59" s="3046"/>
      <c r="BS59" s="3047"/>
      <c r="BT59" s="3048"/>
      <c r="BU59" s="3049"/>
      <c r="BV59" s="3050"/>
      <c r="BW59" s="3051"/>
      <c r="BX59" s="3052"/>
      <c r="BY59" s="3053"/>
      <c r="BZ59" s="3054"/>
      <c r="CA59" s="3055"/>
      <c r="CB59" s="3056"/>
      <c r="CC59" s="3057"/>
      <c r="CD59" s="3058"/>
      <c r="CE59" s="3059"/>
      <c r="CF59" s="3060"/>
      <c r="CG59" s="3061"/>
      <c r="CH59" s="3062"/>
      <c r="CI59" s="3063"/>
      <c r="CJ59" s="3064"/>
      <c r="CK59" s="3065"/>
      <c r="CL59" s="3066"/>
      <c r="CM59" s="3067"/>
      <c r="CN59" s="3068"/>
      <c r="CO59" s="3069"/>
      <c r="CP59" s="3070"/>
      <c r="CQ59" s="3071"/>
      <c r="CR59" s="3072"/>
      <c r="CS59" s="3073"/>
      <c r="CT59" s="3074"/>
      <c r="CU59" s="3075"/>
      <c r="CV59" s="3076"/>
      <c r="CW59" s="3077"/>
      <c r="CX59" s="3078"/>
      <c r="CY59" s="3079"/>
      <c r="CZ59" s="3080"/>
      <c r="DA59" s="3081"/>
      <c r="DB59" s="3082"/>
      <c r="DC59" s="3083"/>
      <c r="DD59" s="3084"/>
      <c r="DE59" s="3085"/>
      <c r="DF59" s="3086"/>
      <c r="DG59" s="2121"/>
      <c r="DH59" s="1667"/>
      <c r="DI59" s="1649"/>
      <c r="DJ59" s="1649" t="str">
        <f>IF(T59="","",T59)</f>
        <v>Добавить вид теплоносителя (параметры теплоносителя)</v>
      </c>
      <c r="DK59" s="1649"/>
      <c r="DL59" s="1649"/>
    </row>
    <row customHeight="1" ht="11.25">
      <c r="A60" s="1380" t="s">
        <v>156</v>
      </c>
      <c r="B60" s="1380" t="s">
        <v>157</v>
      </c>
      <c r="C60" s="1380" t="s">
        <v>158</v>
      </c>
      <c r="D60" s="1380" t="s">
        <v>159</v>
      </c>
      <c r="E60" s="2090"/>
      <c r="F60" s="2090"/>
      <c r="G60" s="2090"/>
      <c r="H60" s="2090"/>
      <c r="I60" s="2091"/>
      <c r="J60" s="1380"/>
      <c r="K60" s="1380"/>
      <c r="L60" s="1381"/>
      <c r="P60" s="2093"/>
      <c r="Q60" s="1222"/>
      <c r="R60" s="344"/>
      <c r="S60" s="1295"/>
      <c r="T60" s="268" t="s">
        <v>426</v>
      </c>
      <c r="U60" s="359"/>
      <c r="V60" s="359"/>
      <c r="W60" s="359"/>
      <c r="X60" s="359"/>
      <c r="Y60" s="359"/>
      <c r="Z60" s="359"/>
      <c r="AA60" s="359"/>
      <c r="AB60" s="359"/>
      <c r="AC60" s="358"/>
      <c r="AD60" s="359"/>
      <c r="AE60" s="359"/>
      <c r="AF60" s="359"/>
      <c r="AG60" s="359"/>
      <c r="AH60" s="359"/>
      <c r="AI60" s="359"/>
      <c r="AJ60" s="359"/>
      <c r="AK60" s="358"/>
      <c r="AL60" s="3087"/>
      <c r="AM60" s="3088"/>
      <c r="AN60" s="3089"/>
      <c r="AO60" s="3090"/>
      <c r="AP60" s="3091"/>
      <c r="AQ60" s="3092"/>
      <c r="AR60" s="3093"/>
      <c r="AS60" s="3094"/>
      <c r="AT60" s="3095"/>
      <c r="AU60" s="3096"/>
      <c r="AV60" s="3097"/>
      <c r="AW60" s="3098"/>
      <c r="AX60" s="3099"/>
      <c r="AY60" s="3100"/>
      <c r="AZ60" s="3101"/>
      <c r="BA60" s="3102"/>
      <c r="BB60" s="3103"/>
      <c r="BC60" s="3104"/>
      <c r="BD60" s="3105"/>
      <c r="BE60" s="3106"/>
      <c r="BF60" s="3107"/>
      <c r="BG60" s="3108"/>
      <c r="BH60" s="3109"/>
      <c r="BI60" s="3110"/>
      <c r="BJ60" s="3111"/>
      <c r="BK60" s="3112"/>
      <c r="BL60" s="3113"/>
      <c r="BM60" s="3114"/>
      <c r="BN60" s="3115"/>
      <c r="BO60" s="3116"/>
      <c r="BP60" s="3117"/>
      <c r="BQ60" s="3118"/>
      <c r="BR60" s="3119"/>
      <c r="BS60" s="3120"/>
      <c r="BT60" s="3121"/>
      <c r="BU60" s="3122"/>
      <c r="BV60" s="3123"/>
      <c r="BW60" s="3124"/>
      <c r="BX60" s="3125"/>
      <c r="BY60" s="3126"/>
      <c r="BZ60" s="3127"/>
      <c r="CA60" s="3128"/>
      <c r="CB60" s="3129"/>
      <c r="CC60" s="3130"/>
      <c r="CD60" s="3131"/>
      <c r="CE60" s="3132"/>
      <c r="CF60" s="3133"/>
      <c r="CG60" s="3134"/>
      <c r="CH60" s="3135"/>
      <c r="CI60" s="3136"/>
      <c r="CJ60" s="3137"/>
      <c r="CK60" s="3138"/>
      <c r="CL60" s="3139"/>
      <c r="CM60" s="3140"/>
      <c r="CN60" s="3141"/>
      <c r="CO60" s="3142"/>
      <c r="CP60" s="3143"/>
      <c r="CQ60" s="3144"/>
      <c r="CR60" s="3145"/>
      <c r="CS60" s="3146"/>
      <c r="CT60" s="3147"/>
      <c r="CU60" s="3148"/>
      <c r="CV60" s="3149"/>
      <c r="CW60" s="3150"/>
      <c r="CX60" s="3151"/>
      <c r="CY60" s="3152"/>
      <c r="CZ60" s="3153"/>
      <c r="DA60" s="3154"/>
      <c r="DB60" s="3155"/>
      <c r="DC60" s="3156"/>
      <c r="DD60" s="3157"/>
      <c r="DE60" s="3158"/>
      <c r="DF60" s="359"/>
      <c r="DG60" s="283"/>
      <c r="DI60" s="496"/>
      <c r="DJ60" s="496" t="str">
        <f>IF(T60="","",T60)</f>
        <v>Добавить группу потребителей</v>
      </c>
      <c r="DK60" s="496"/>
      <c r="DL60" s="496"/>
    </row>
    <row customHeight="1" ht="14.25">
      <c r="A61" s="1380" t="s">
        <v>156</v>
      </c>
      <c r="B61" s="1380" t="s">
        <v>157</v>
      </c>
      <c r="C61" s="1380" t="s">
        <v>158</v>
      </c>
      <c r="D61" s="1380" t="s">
        <v>159</v>
      </c>
      <c r="E61" s="2090"/>
      <c r="F61" s="2090"/>
      <c r="G61" s="2090"/>
      <c r="H61" s="2089"/>
      <c r="I61" s="1380"/>
      <c r="J61" s="1380"/>
      <c r="K61" s="1380"/>
      <c r="L61" s="1381"/>
      <c r="M61" s="1382"/>
      <c r="N61" s="1382"/>
      <c r="O61" s="533"/>
      <c r="P61" s="348"/>
      <c r="Q61" s="367"/>
      <c r="R61" s="343"/>
      <c r="S61" s="1295"/>
      <c r="T61" s="356" t="s">
        <v>427</v>
      </c>
      <c r="U61" s="359"/>
      <c r="V61" s="359"/>
      <c r="W61" s="359"/>
      <c r="X61" s="359"/>
      <c r="Y61" s="359"/>
      <c r="Z61" s="359"/>
      <c r="AA61" s="359"/>
      <c r="AB61" s="359"/>
      <c r="AC61" s="358"/>
      <c r="AD61" s="359"/>
      <c r="AE61" s="359"/>
      <c r="AF61" s="359"/>
      <c r="AG61" s="359"/>
      <c r="AH61" s="359"/>
      <c r="AI61" s="359"/>
      <c r="AJ61" s="359"/>
      <c r="AK61" s="358"/>
      <c r="AL61" s="3159"/>
      <c r="AM61" s="3160"/>
      <c r="AN61" s="3161"/>
      <c r="AO61" s="3162"/>
      <c r="AP61" s="3163"/>
      <c r="AQ61" s="3164"/>
      <c r="AR61" s="3165"/>
      <c r="AS61" s="3166"/>
      <c r="AT61" s="3167"/>
      <c r="AU61" s="3168"/>
      <c r="AV61" s="3169"/>
      <c r="AW61" s="3170"/>
      <c r="AX61" s="3171"/>
      <c r="AY61" s="3172"/>
      <c r="AZ61" s="3173"/>
      <c r="BA61" s="3174"/>
      <c r="BB61" s="3175"/>
      <c r="BC61" s="3176"/>
      <c r="BD61" s="3177"/>
      <c r="BE61" s="3178"/>
      <c r="BF61" s="3179"/>
      <c r="BG61" s="3180"/>
      <c r="BH61" s="3181"/>
      <c r="BI61" s="3182"/>
      <c r="BJ61" s="3183"/>
      <c r="BK61" s="3184"/>
      <c r="BL61" s="3185"/>
      <c r="BM61" s="3186"/>
      <c r="BN61" s="3187"/>
      <c r="BO61" s="3188"/>
      <c r="BP61" s="3189"/>
      <c r="BQ61" s="3190"/>
      <c r="BR61" s="3191"/>
      <c r="BS61" s="3192"/>
      <c r="BT61" s="3193"/>
      <c r="BU61" s="3194"/>
      <c r="BV61" s="3195"/>
      <c r="BW61" s="3196"/>
      <c r="BX61" s="3197"/>
      <c r="BY61" s="3198"/>
      <c r="BZ61" s="3199"/>
      <c r="CA61" s="3200"/>
      <c r="CB61" s="3201"/>
      <c r="CC61" s="3202"/>
      <c r="CD61" s="3203"/>
      <c r="CE61" s="3204"/>
      <c r="CF61" s="3205"/>
      <c r="CG61" s="3206"/>
      <c r="CH61" s="3207"/>
      <c r="CI61" s="3208"/>
      <c r="CJ61" s="3209"/>
      <c r="CK61" s="3210"/>
      <c r="CL61" s="3211"/>
      <c r="CM61" s="3212"/>
      <c r="CN61" s="3213"/>
      <c r="CO61" s="3214"/>
      <c r="CP61" s="3215"/>
      <c r="CQ61" s="3216"/>
      <c r="CR61" s="3217"/>
      <c r="CS61" s="3218"/>
      <c r="CT61" s="3219"/>
      <c r="CU61" s="3220"/>
      <c r="CV61" s="3221"/>
      <c r="CW61" s="3222"/>
      <c r="CX61" s="3223"/>
      <c r="CY61" s="3224"/>
      <c r="CZ61" s="3225"/>
      <c r="DA61" s="3226"/>
      <c r="DB61" s="3227"/>
      <c r="DC61" s="3228"/>
      <c r="DD61" s="3229"/>
      <c r="DE61" s="3230"/>
      <c r="DF61" s="359"/>
      <c r="DG61" s="283"/>
      <c r="DI61" s="496"/>
      <c r="DJ61" s="496" t="str">
        <f>IF(T61="","",T61)</f>
        <v>Добавить схему подключения</v>
      </c>
      <c r="DK61" s="496"/>
      <c r="DL61" s="496"/>
    </row>
    <row s="1667" customFormat="1" customHeight="1" ht="0.75">
      <c r="A62" s="1360" t="s">
        <v>156</v>
      </c>
      <c r="B62" s="1360" t="s">
        <v>157</v>
      </c>
      <c r="C62" s="1360" t="s">
        <v>158</v>
      </c>
      <c r="D62" s="1331"/>
      <c r="E62" s="2090"/>
      <c r="F62" s="2090"/>
      <c r="G62" s="2089"/>
      <c r="H62" s="1331"/>
      <c r="I62" s="1331"/>
      <c r="J62" s="1331"/>
      <c r="K62" s="1331"/>
      <c r="L62" s="1356"/>
      <c r="M62" s="1332"/>
      <c r="N62" s="1332"/>
      <c r="P62" s="1333"/>
      <c r="Q62" s="1334"/>
      <c r="R62" s="1333"/>
      <c r="S62" s="1339"/>
      <c r="T62" s="1342" t="s">
        <v>160</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D62" s="1341"/>
      <c r="BE62" s="1341"/>
      <c r="BF62" s="1341"/>
      <c r="BG62" s="1341"/>
      <c r="BH62" s="1341"/>
      <c r="BI62" s="1341"/>
      <c r="BJ62" s="1341"/>
      <c r="BK62" s="1341"/>
      <c r="BL62" s="1341"/>
      <c r="BM62" s="1341"/>
      <c r="BN62" s="1341"/>
      <c r="BO62" s="1341"/>
      <c r="BP62" s="1341"/>
      <c r="BQ62" s="1341"/>
      <c r="BR62" s="1341"/>
      <c r="BS62" s="1341"/>
      <c r="BT62" s="1341"/>
      <c r="BU62" s="1341"/>
      <c r="BV62" s="1341"/>
      <c r="BW62" s="1341"/>
      <c r="BX62" s="1341"/>
      <c r="BY62" s="1341"/>
      <c r="BZ62" s="1341"/>
      <c r="CA62" s="1341"/>
      <c r="CB62" s="1341"/>
      <c r="CC62" s="1341"/>
      <c r="CD62" s="1341"/>
      <c r="CE62" s="1341"/>
      <c r="CF62" s="1341"/>
      <c r="CG62" s="1341"/>
      <c r="CH62" s="1341"/>
      <c r="CI62" s="1341"/>
      <c r="CJ62" s="1341"/>
      <c r="CK62" s="1341"/>
      <c r="CL62" s="1341"/>
      <c r="CM62" s="1341"/>
      <c r="CN62" s="1341"/>
      <c r="CO62" s="1341"/>
      <c r="CP62" s="1341"/>
      <c r="CQ62" s="1341"/>
      <c r="CR62" s="1341"/>
      <c r="CS62" s="1341"/>
      <c r="CT62" s="1341"/>
      <c r="CU62" s="1341"/>
      <c r="CV62" s="1341"/>
      <c r="CW62" s="1341"/>
      <c r="CX62" s="1341"/>
      <c r="CY62" s="1341"/>
      <c r="CZ62" s="1341"/>
      <c r="DA62" s="1341"/>
      <c r="DB62" s="1341"/>
      <c r="DC62" s="1341"/>
      <c r="DD62" s="1341"/>
      <c r="DE62" s="1341"/>
      <c r="DF62" s="1341"/>
      <c r="DG62" s="1341"/>
      <c r="DI62" s="783"/>
      <c r="DJ62" s="783" t="str">
        <f>IF(T62="","",T62)</f>
        <v>Добавить источник для дифференциации</v>
      </c>
      <c r="DK62" s="783"/>
      <c r="DL62" s="783"/>
    </row>
    <row s="1667" customFormat="1" customHeight="1" ht="0.75">
      <c r="A63" s="1360" t="s">
        <v>156</v>
      </c>
      <c r="B63" s="1360" t="s">
        <v>157</v>
      </c>
      <c r="C63" s="1331"/>
      <c r="D63" s="1331"/>
      <c r="E63" s="2090"/>
      <c r="F63" s="2089"/>
      <c r="G63" s="1331"/>
      <c r="H63" s="1331"/>
      <c r="I63" s="1331"/>
      <c r="J63" s="1331"/>
      <c r="K63" s="1331"/>
      <c r="L63" s="1356"/>
      <c r="M63" s="1338"/>
      <c r="N63" s="1338"/>
      <c r="P63" s="1333"/>
      <c r="Q63" s="1334"/>
      <c r="R63" s="1333"/>
      <c r="S63" s="1339"/>
      <c r="T63" s="1342" t="s">
        <v>161</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D63" s="1341"/>
      <c r="BE63" s="1341"/>
      <c r="BF63" s="1341"/>
      <c r="BG63" s="1341"/>
      <c r="BH63" s="1341"/>
      <c r="BI63" s="1341"/>
      <c r="BJ63" s="1341"/>
      <c r="BK63" s="1341"/>
      <c r="BL63" s="1341"/>
      <c r="BM63" s="1341"/>
      <c r="BN63" s="1341"/>
      <c r="BO63" s="1341"/>
      <c r="BP63" s="1341"/>
      <c r="BQ63" s="1341"/>
      <c r="BR63" s="1341"/>
      <c r="BS63" s="1341"/>
      <c r="BT63" s="1341"/>
      <c r="BU63" s="1341"/>
      <c r="BV63" s="1341"/>
      <c r="BW63" s="1341"/>
      <c r="BX63" s="1341"/>
      <c r="BY63" s="1341"/>
      <c r="BZ63" s="1341"/>
      <c r="CA63" s="1341"/>
      <c r="CB63" s="1341"/>
      <c r="CC63" s="1341"/>
      <c r="CD63" s="1341"/>
      <c r="CE63" s="1341"/>
      <c r="CF63" s="1341"/>
      <c r="CG63" s="1341"/>
      <c r="CH63" s="1341"/>
      <c r="CI63" s="1341"/>
      <c r="CJ63" s="1341"/>
      <c r="CK63" s="1341"/>
      <c r="CL63" s="1341"/>
      <c r="CM63" s="1341"/>
      <c r="CN63" s="1341"/>
      <c r="CO63" s="1341"/>
      <c r="CP63" s="1341"/>
      <c r="CQ63" s="1341"/>
      <c r="CR63" s="1341"/>
      <c r="CS63" s="1341"/>
      <c r="CT63" s="1341"/>
      <c r="CU63" s="1341"/>
      <c r="CV63" s="1341"/>
      <c r="CW63" s="1341"/>
      <c r="CX63" s="1341"/>
      <c r="CY63" s="1341"/>
      <c r="CZ63" s="1341"/>
      <c r="DA63" s="1341"/>
      <c r="DB63" s="1341"/>
      <c r="DC63" s="1341"/>
      <c r="DD63" s="1341"/>
      <c r="DE63" s="1341"/>
      <c r="DF63" s="1341"/>
      <c r="DG63" s="1341"/>
      <c r="DI63" s="783"/>
      <c r="DJ63" s="783" t="str">
        <f>IF(T63="","",T63)</f>
        <v>Добавить централизованную систему для дифференциации</v>
      </c>
      <c r="DK63" s="783"/>
      <c r="DL63" s="783"/>
    </row>
    <row s="1667" customFormat="1" customHeight="1" ht="0.75">
      <c r="A64" s="1360" t="s">
        <v>156</v>
      </c>
      <c r="B64" s="1360"/>
      <c r="C64" s="1360"/>
      <c r="D64" s="1360"/>
      <c r="E64" s="2089"/>
      <c r="F64" s="1360"/>
      <c r="G64" s="1360"/>
      <c r="H64" s="1360"/>
      <c r="I64" s="1360"/>
      <c r="J64" s="1360"/>
      <c r="K64" s="1360"/>
      <c r="L64" s="1363"/>
      <c r="M64" s="1338"/>
      <c r="N64" s="1338"/>
      <c r="O64" s="514"/>
      <c r="P64" s="376"/>
      <c r="Q64" s="1361"/>
      <c r="R64" s="376"/>
      <c r="S64" s="1339"/>
      <c r="T64" s="1342" t="s">
        <v>162</v>
      </c>
      <c r="U64" s="1341"/>
      <c r="V64" s="1341"/>
      <c r="W64" s="1341"/>
      <c r="X64" s="1341"/>
      <c r="Y64" s="1341"/>
      <c r="Z64" s="1341"/>
      <c r="AA64" s="1341"/>
      <c r="AB64" s="1341"/>
      <c r="AC64" s="1341"/>
      <c r="AD64" s="1341"/>
      <c r="AE64" s="1341"/>
      <c r="AF64" s="1341"/>
      <c r="AG64" s="1341"/>
      <c r="AH64" s="1341"/>
      <c r="AI64" s="1341"/>
      <c r="AJ64" s="1341"/>
      <c r="AK64" s="1341"/>
      <c r="AL64" s="1341"/>
      <c r="AM64" s="1341"/>
      <c r="AN64" s="1341"/>
      <c r="AO64" s="1341"/>
      <c r="AP64" s="1341"/>
      <c r="AQ64" s="1341"/>
      <c r="AR64" s="1341"/>
      <c r="AS64" s="1341"/>
      <c r="AT64" s="1341"/>
      <c r="AU64" s="1341"/>
      <c r="AV64" s="1341"/>
      <c r="AW64" s="1341"/>
      <c r="AX64" s="1341"/>
      <c r="AY64" s="1341"/>
      <c r="AZ64" s="1341"/>
      <c r="BA64" s="1341"/>
      <c r="BB64" s="1341"/>
      <c r="BC64" s="1341"/>
      <c r="BD64" s="1341"/>
      <c r="BE64" s="1341"/>
      <c r="BF64" s="1341"/>
      <c r="BG64" s="1341"/>
      <c r="BH64" s="1341"/>
      <c r="BI64" s="1341"/>
      <c r="BJ64" s="1341"/>
      <c r="BK64" s="1341"/>
      <c r="BL64" s="1341"/>
      <c r="BM64" s="1341"/>
      <c r="BN64" s="1341"/>
      <c r="BO64" s="1341"/>
      <c r="BP64" s="1341"/>
      <c r="BQ64" s="1341"/>
      <c r="BR64" s="1341"/>
      <c r="BS64" s="1341"/>
      <c r="BT64" s="1341"/>
      <c r="BU64" s="1341"/>
      <c r="BV64" s="1341"/>
      <c r="BW64" s="1341"/>
      <c r="BX64" s="1341"/>
      <c r="BY64" s="1341"/>
      <c r="BZ64" s="1341"/>
      <c r="CA64" s="1341"/>
      <c r="CB64" s="1341"/>
      <c r="CC64" s="1341"/>
      <c r="CD64" s="1341"/>
      <c r="CE64" s="1341"/>
      <c r="CF64" s="1341"/>
      <c r="CG64" s="1341"/>
      <c r="CH64" s="1341"/>
      <c r="CI64" s="1341"/>
      <c r="CJ64" s="1341"/>
      <c r="CK64" s="1341"/>
      <c r="CL64" s="1341"/>
      <c r="CM64" s="1341"/>
      <c r="CN64" s="1341"/>
      <c r="CO64" s="1341"/>
      <c r="CP64" s="1341"/>
      <c r="CQ64" s="1341"/>
      <c r="CR64" s="1341"/>
      <c r="CS64" s="1341"/>
      <c r="CT64" s="1341"/>
      <c r="CU64" s="1341"/>
      <c r="CV64" s="1341"/>
      <c r="CW64" s="1341"/>
      <c r="CX64" s="1341"/>
      <c r="CY64" s="1341"/>
      <c r="CZ64" s="1341"/>
      <c r="DA64" s="1341"/>
      <c r="DB64" s="1341"/>
      <c r="DC64" s="1341"/>
      <c r="DD64" s="1341"/>
      <c r="DE64" s="1341"/>
      <c r="DF64" s="1341"/>
      <c r="DG64" s="1341"/>
      <c r="DI64" s="496"/>
      <c r="DJ64" s="496" t="str">
        <f>IF(T64="","",T64)</f>
        <v>Добавить территорию для дифференциации</v>
      </c>
      <c r="DK64" s="496"/>
      <c r="DL64" s="496"/>
    </row>
    <row s="2437" customFormat="1" customHeight="1" ht="21">
      <c r="A65" s="1380" t="s">
        <v>165</v>
      </c>
      <c r="B65" s="1380"/>
      <c r="C65" s="1380"/>
      <c r="D65" s="1380"/>
      <c r="E65" s="2089" t="s">
        <v>109</v>
      </c>
      <c r="F65" s="1380"/>
      <c r="G65" s="1380"/>
      <c r="H65" s="1380"/>
      <c r="I65" s="1380"/>
      <c r="J65" s="1380"/>
      <c r="K65" s="1380"/>
      <c r="L65" s="1386"/>
      <c r="M65" s="1382"/>
      <c r="N65" s="1382"/>
      <c r="O65" s="1382"/>
      <c r="P65" s="2216"/>
      <c r="Q65" s="1848"/>
      <c r="R65" s="343"/>
      <c r="S65" s="2107" t="str">
        <f>INDEX(PT_DIFFERENTIATION_NUM_NTAR,MATCH(A65,PT_DIFFERENTIATION_NTAR_ID,0))</f>
        <v>2</v>
      </c>
      <c r="T65" s="1542" t="s">
        <v>122</v>
      </c>
      <c r="U65" s="280"/>
      <c r="V65" s="2083"/>
      <c r="W65" s="2084"/>
      <c r="X65" s="2084"/>
      <c r="Y65" s="2084"/>
      <c r="Z65" s="2084"/>
      <c r="AA65" s="2084"/>
      <c r="AB65" s="2084"/>
      <c r="AC65" s="2085"/>
      <c r="AD65" s="2083" t="str">
        <f>INDEX(PT_DIFFERENTIATION_NTAR,MATCH(A65,PT_DIFFERENTIATION_NTAR_ID,0))</f>
        <v>Тариф на тепловую энергию, поставляемую ПАО "ТГК-1" на коллекторах источников тепловой энергии потребителям, расположенным на территории Санкт-Петербурга</v>
      </c>
      <c r="AE65" s="2084"/>
      <c r="AF65" s="2084"/>
      <c r="AG65" s="2084"/>
      <c r="AH65" s="2084"/>
      <c r="AI65" s="2084"/>
      <c r="AJ65" s="2084"/>
      <c r="AK65" s="2084"/>
      <c r="AL65" s="2083"/>
      <c r="AM65" s="2084"/>
      <c r="AN65" s="2084"/>
      <c r="AO65" s="2084"/>
      <c r="AP65" s="2084"/>
      <c r="AQ65" s="2084"/>
      <c r="AR65" s="2084"/>
      <c r="AS65" s="2085"/>
      <c r="AT65" s="2083"/>
      <c r="AU65" s="2084"/>
      <c r="AV65" s="2084"/>
      <c r="AW65" s="2084"/>
      <c r="AX65" s="2084"/>
      <c r="AY65" s="2084"/>
      <c r="AZ65" s="2084"/>
      <c r="BA65" s="2085"/>
      <c r="BB65" s="2083"/>
      <c r="BC65" s="2084"/>
      <c r="BD65" s="2084"/>
      <c r="BE65" s="2084"/>
      <c r="BF65" s="2084"/>
      <c r="BG65" s="2084"/>
      <c r="BH65" s="2084"/>
      <c r="BI65" s="2085"/>
      <c r="BJ65" s="2083"/>
      <c r="BK65" s="2084"/>
      <c r="BL65" s="2084"/>
      <c r="BM65" s="2084"/>
      <c r="BN65" s="2084"/>
      <c r="BO65" s="2084"/>
      <c r="BP65" s="2084"/>
      <c r="BQ65" s="2085"/>
      <c r="BR65" s="2083"/>
      <c r="BS65" s="2084"/>
      <c r="BT65" s="2084"/>
      <c r="BU65" s="2084"/>
      <c r="BV65" s="2084"/>
      <c r="BW65" s="2084"/>
      <c r="BX65" s="2084"/>
      <c r="BY65" s="2085"/>
      <c r="BZ65" s="2083"/>
      <c r="CA65" s="2084"/>
      <c r="CB65" s="2084"/>
      <c r="CC65" s="2084"/>
      <c r="CD65" s="2084"/>
      <c r="CE65" s="2084"/>
      <c r="CF65" s="2084"/>
      <c r="CG65" s="2085"/>
      <c r="CH65" s="2083"/>
      <c r="CI65" s="2084"/>
      <c r="CJ65" s="2084"/>
      <c r="CK65" s="2084"/>
      <c r="CL65" s="2084"/>
      <c r="CM65" s="2084"/>
      <c r="CN65" s="2084"/>
      <c r="CO65" s="2085"/>
      <c r="CP65" s="2083"/>
      <c r="CQ65" s="2084"/>
      <c r="CR65" s="2084"/>
      <c r="CS65" s="2084"/>
      <c r="CT65" s="2084"/>
      <c r="CU65" s="2084"/>
      <c r="CV65" s="2084"/>
      <c r="CW65" s="2085"/>
      <c r="CX65" s="2083"/>
      <c r="CY65" s="2084"/>
      <c r="CZ65" s="2084"/>
      <c r="DA65" s="2084"/>
      <c r="DB65" s="2084"/>
      <c r="DC65" s="2084"/>
      <c r="DD65" s="2084"/>
      <c r="DE65" s="2085"/>
      <c r="DF65" s="2085"/>
      <c r="DG65" s="1273" t="s">
        <v>410</v>
      </c>
      <c r="DH65" s="1667"/>
      <c r="DI65" s="1649"/>
      <c r="DJ65" s="1649" t="str">
        <f>IF(T65="","",T65)</f>
        <v>Наименование тарифа</v>
      </c>
      <c r="DK65" s="1649"/>
      <c r="DL65" s="1649"/>
    </row>
    <row s="2437" customFormat="1" customHeight="1" ht="21">
      <c r="A66" s="1380"/>
      <c r="B66" s="1380" t="s">
        <v>166</v>
      </c>
      <c r="C66" s="1380"/>
      <c r="D66" s="1380"/>
      <c r="E66" s="2090">
        <v>1</v>
      </c>
      <c r="F66" s="2089">
        <v>1</v>
      </c>
      <c r="G66" s="1380"/>
      <c r="H66" s="1380"/>
      <c r="I66" s="1380"/>
      <c r="J66" s="1380"/>
      <c r="K66" s="1380"/>
      <c r="L66" s="1386"/>
      <c r="M66" s="1382"/>
      <c r="N66" s="1382"/>
      <c r="O66" s="1382"/>
      <c r="P66" s="1951"/>
      <c r="Q66" s="340"/>
      <c r="R66" s="341"/>
      <c r="S66" s="2107" t="str">
        <f>INDEX(PT_DIFFERENTIATION_NUM_TER,MATCH(B66,PT_DIFFERENTIATION_TER_ID,0))</f>
        <v>2.1</v>
      </c>
      <c r="T66" s="1539" t="s">
        <v>411</v>
      </c>
      <c r="U66" s="280"/>
      <c r="V66" s="2083"/>
      <c r="W66" s="2084"/>
      <c r="X66" s="2084"/>
      <c r="Y66" s="2084"/>
      <c r="Z66" s="2084"/>
      <c r="AA66" s="2084"/>
      <c r="AB66" s="2084"/>
      <c r="AC66" s="2085"/>
      <c r="AD66" s="2083" t="str">
        <f>INDEX(PT_DIFFERENTIATION_TER,MATCH(B66,PT_DIFFERENTIATION_TER_ID,0))</f>
        <v>без дифференциации</v>
      </c>
      <c r="AE66" s="2084"/>
      <c r="AF66" s="2084"/>
      <c r="AG66" s="2084"/>
      <c r="AH66" s="2084"/>
      <c r="AI66" s="2084"/>
      <c r="AJ66" s="2084"/>
      <c r="AK66" s="2084"/>
      <c r="AL66" s="2083"/>
      <c r="AM66" s="2084"/>
      <c r="AN66" s="2084"/>
      <c r="AO66" s="2084"/>
      <c r="AP66" s="2084"/>
      <c r="AQ66" s="2084"/>
      <c r="AR66" s="2084"/>
      <c r="AS66" s="2085"/>
      <c r="AT66" s="2083"/>
      <c r="AU66" s="2084"/>
      <c r="AV66" s="2084"/>
      <c r="AW66" s="2084"/>
      <c r="AX66" s="2084"/>
      <c r="AY66" s="2084"/>
      <c r="AZ66" s="2084"/>
      <c r="BA66" s="2085"/>
      <c r="BB66" s="2083"/>
      <c r="BC66" s="2084"/>
      <c r="BD66" s="2084"/>
      <c r="BE66" s="2084"/>
      <c r="BF66" s="2084"/>
      <c r="BG66" s="2084"/>
      <c r="BH66" s="2084"/>
      <c r="BI66" s="2085"/>
      <c r="BJ66" s="2083"/>
      <c r="BK66" s="2084"/>
      <c r="BL66" s="2084"/>
      <c r="BM66" s="2084"/>
      <c r="BN66" s="2084"/>
      <c r="BO66" s="2084"/>
      <c r="BP66" s="2084"/>
      <c r="BQ66" s="2085"/>
      <c r="BR66" s="2083"/>
      <c r="BS66" s="2084"/>
      <c r="BT66" s="2084"/>
      <c r="BU66" s="2084"/>
      <c r="BV66" s="2084"/>
      <c r="BW66" s="2084"/>
      <c r="BX66" s="2084"/>
      <c r="BY66" s="2085"/>
      <c r="BZ66" s="2083"/>
      <c r="CA66" s="2084"/>
      <c r="CB66" s="2084"/>
      <c r="CC66" s="2084"/>
      <c r="CD66" s="2084"/>
      <c r="CE66" s="2084"/>
      <c r="CF66" s="2084"/>
      <c r="CG66" s="2085"/>
      <c r="CH66" s="2083"/>
      <c r="CI66" s="2084"/>
      <c r="CJ66" s="2084"/>
      <c r="CK66" s="2084"/>
      <c r="CL66" s="2084"/>
      <c r="CM66" s="2084"/>
      <c r="CN66" s="2084"/>
      <c r="CO66" s="2085"/>
      <c r="CP66" s="2083"/>
      <c r="CQ66" s="2084"/>
      <c r="CR66" s="2084"/>
      <c r="CS66" s="2084"/>
      <c r="CT66" s="2084"/>
      <c r="CU66" s="2084"/>
      <c r="CV66" s="2084"/>
      <c r="CW66" s="2085"/>
      <c r="CX66" s="2083"/>
      <c r="CY66" s="2084"/>
      <c r="CZ66" s="2084"/>
      <c r="DA66" s="2084"/>
      <c r="DB66" s="2084"/>
      <c r="DC66" s="2084"/>
      <c r="DD66" s="2084"/>
      <c r="DE66" s="2085"/>
      <c r="DF66" s="2085"/>
      <c r="DG66" s="1273" t="s">
        <v>412</v>
      </c>
      <c r="DH66" s="1667"/>
      <c r="DI66" s="1649"/>
      <c r="DJ66" s="1649" t="str">
        <f>IF(T66="","",T66)</f>
        <v>Территория действия тарифа</v>
      </c>
      <c r="DK66" s="1649"/>
      <c r="DL66" s="1649"/>
    </row>
    <row s="2437" customFormat="1" customHeight="1" ht="23.25">
      <c r="A67" s="1380"/>
      <c r="B67" s="1380"/>
      <c r="C67" s="1380" t="s">
        <v>167</v>
      </c>
      <c r="D67" s="1380"/>
      <c r="E67" s="2090">
        <v>1</v>
      </c>
      <c r="F67" s="2090"/>
      <c r="G67" s="2089">
        <v>1</v>
      </c>
      <c r="H67" s="1380"/>
      <c r="I67" s="1380"/>
      <c r="J67" s="1380"/>
      <c r="K67" s="1380"/>
      <c r="L67" s="1386"/>
      <c r="M67" s="1382"/>
      <c r="N67" s="1382"/>
      <c r="O67" s="1382"/>
      <c r="P67" s="342"/>
      <c r="Q67" s="340"/>
      <c r="R67" s="341"/>
      <c r="S67" s="2107" t="str">
        <f>INDEX(PT_DIFFERENTIATION_NUM_CS,MATCH(C67,PT_DIFFERENTIATION_CS_ID,0))</f>
        <v>2.1.1</v>
      </c>
      <c r="T67" s="291" t="s">
        <v>413</v>
      </c>
      <c r="U67" s="280"/>
      <c r="V67" s="2083"/>
      <c r="W67" s="2084"/>
      <c r="X67" s="2084"/>
      <c r="Y67" s="2084"/>
      <c r="Z67" s="2084"/>
      <c r="AA67" s="2084"/>
      <c r="AB67" s="2084"/>
      <c r="AC67" s="2085"/>
      <c r="AD67" s="2083" t="str">
        <f>INDEX(PT_DIFFERENTIATION_CS,MATCH(C67,PT_DIFFERENTIATION_CS_ID,0))</f>
        <v>без дифференциации</v>
      </c>
      <c r="AE67" s="2084"/>
      <c r="AF67" s="2084"/>
      <c r="AG67" s="2084"/>
      <c r="AH67" s="2084"/>
      <c r="AI67" s="2084"/>
      <c r="AJ67" s="2084"/>
      <c r="AK67" s="2084"/>
      <c r="AL67" s="2083"/>
      <c r="AM67" s="2084"/>
      <c r="AN67" s="2084"/>
      <c r="AO67" s="2084"/>
      <c r="AP67" s="2084"/>
      <c r="AQ67" s="2084"/>
      <c r="AR67" s="2084"/>
      <c r="AS67" s="2085"/>
      <c r="AT67" s="2083"/>
      <c r="AU67" s="2084"/>
      <c r="AV67" s="2084"/>
      <c r="AW67" s="2084"/>
      <c r="AX67" s="2084"/>
      <c r="AY67" s="2084"/>
      <c r="AZ67" s="2084"/>
      <c r="BA67" s="2085"/>
      <c r="BB67" s="2083"/>
      <c r="BC67" s="2084"/>
      <c r="BD67" s="2084"/>
      <c r="BE67" s="2084"/>
      <c r="BF67" s="2084"/>
      <c r="BG67" s="2084"/>
      <c r="BH67" s="2084"/>
      <c r="BI67" s="2085"/>
      <c r="BJ67" s="2083"/>
      <c r="BK67" s="2084"/>
      <c r="BL67" s="2084"/>
      <c r="BM67" s="2084"/>
      <c r="BN67" s="2084"/>
      <c r="BO67" s="2084"/>
      <c r="BP67" s="2084"/>
      <c r="BQ67" s="2085"/>
      <c r="BR67" s="2083"/>
      <c r="BS67" s="2084"/>
      <c r="BT67" s="2084"/>
      <c r="BU67" s="2084"/>
      <c r="BV67" s="2084"/>
      <c r="BW67" s="2084"/>
      <c r="BX67" s="2084"/>
      <c r="BY67" s="2085"/>
      <c r="BZ67" s="2083"/>
      <c r="CA67" s="2084"/>
      <c r="CB67" s="2084"/>
      <c r="CC67" s="2084"/>
      <c r="CD67" s="2084"/>
      <c r="CE67" s="2084"/>
      <c r="CF67" s="2084"/>
      <c r="CG67" s="2085"/>
      <c r="CH67" s="2083"/>
      <c r="CI67" s="2084"/>
      <c r="CJ67" s="2084"/>
      <c r="CK67" s="2084"/>
      <c r="CL67" s="2084"/>
      <c r="CM67" s="2084"/>
      <c r="CN67" s="2084"/>
      <c r="CO67" s="2085"/>
      <c r="CP67" s="2083"/>
      <c r="CQ67" s="2084"/>
      <c r="CR67" s="2084"/>
      <c r="CS67" s="2084"/>
      <c r="CT67" s="2084"/>
      <c r="CU67" s="2084"/>
      <c r="CV67" s="2084"/>
      <c r="CW67" s="2085"/>
      <c r="CX67" s="2083"/>
      <c r="CY67" s="2084"/>
      <c r="CZ67" s="2084"/>
      <c r="DA67" s="2084"/>
      <c r="DB67" s="2084"/>
      <c r="DC67" s="2084"/>
      <c r="DD67" s="2084"/>
      <c r="DE67" s="2085"/>
      <c r="DF67" s="2085"/>
      <c r="DG67" s="1273" t="s">
        <v>414</v>
      </c>
      <c r="DH67" s="1667"/>
      <c r="DI67" s="1649"/>
      <c r="DJ67" s="1649" t="str">
        <f>IF(T67="","",T67)</f>
        <v>Наименование системы теплоснабжения </v>
      </c>
      <c r="DK67" s="1649"/>
      <c r="DL67" s="1649"/>
    </row>
    <row s="2437" customFormat="1" customHeight="1" ht="21">
      <c r="A68" s="1380"/>
      <c r="B68" s="1380"/>
      <c r="C68" s="1380"/>
      <c r="D68" s="1380" t="s">
        <v>168</v>
      </c>
      <c r="E68" s="2090">
        <v>1</v>
      </c>
      <c r="F68" s="2090"/>
      <c r="G68" s="2090"/>
      <c r="H68" s="2089">
        <v>1</v>
      </c>
      <c r="I68" s="1380"/>
      <c r="J68" s="1380"/>
      <c r="K68" s="1380"/>
      <c r="L68" s="1386"/>
      <c r="M68" s="1382"/>
      <c r="N68" s="1382"/>
      <c r="O68" s="1382"/>
      <c r="P68" s="342"/>
      <c r="Q68" s="340"/>
      <c r="R68" s="341"/>
      <c r="S68" s="2107" t="str">
        <f>INDEX(PT_DIFFERENTIATION_NUM_IST_TE,MATCH(D68,PT_DIFFERENTIATION_IST_TE_ID,0))</f>
        <v>2.1.1.1</v>
      </c>
      <c r="T68" s="292" t="s">
        <v>415</v>
      </c>
      <c r="U68" s="280"/>
      <c r="V68" s="2083"/>
      <c r="W68" s="2084"/>
      <c r="X68" s="2084"/>
      <c r="Y68" s="2084"/>
      <c r="Z68" s="2084"/>
      <c r="AA68" s="2084"/>
      <c r="AB68" s="2084"/>
      <c r="AC68" s="2085"/>
      <c r="AD68" s="2083" t="str">
        <f>INDEX(PT_DIFFERENTIATION_IST_TE,MATCH(D68,PT_DIFFERENTIATION_IST_TE_ID,0))</f>
        <v>без дифференциации</v>
      </c>
      <c r="AE68" s="2084"/>
      <c r="AF68" s="2084"/>
      <c r="AG68" s="2084"/>
      <c r="AH68" s="2084"/>
      <c r="AI68" s="2084"/>
      <c r="AJ68" s="2084"/>
      <c r="AK68" s="2084"/>
      <c r="AL68" s="2083"/>
      <c r="AM68" s="2084"/>
      <c r="AN68" s="2084"/>
      <c r="AO68" s="2084"/>
      <c r="AP68" s="2084"/>
      <c r="AQ68" s="2084"/>
      <c r="AR68" s="2084"/>
      <c r="AS68" s="2085"/>
      <c r="AT68" s="2083"/>
      <c r="AU68" s="2084"/>
      <c r="AV68" s="2084"/>
      <c r="AW68" s="2084"/>
      <c r="AX68" s="2084"/>
      <c r="AY68" s="2084"/>
      <c r="AZ68" s="2084"/>
      <c r="BA68" s="2085"/>
      <c r="BB68" s="2083"/>
      <c r="BC68" s="2084"/>
      <c r="BD68" s="2084"/>
      <c r="BE68" s="2084"/>
      <c r="BF68" s="2084"/>
      <c r="BG68" s="2084"/>
      <c r="BH68" s="2084"/>
      <c r="BI68" s="2085"/>
      <c r="BJ68" s="2083"/>
      <c r="BK68" s="2084"/>
      <c r="BL68" s="2084"/>
      <c r="BM68" s="2084"/>
      <c r="BN68" s="2084"/>
      <c r="BO68" s="2084"/>
      <c r="BP68" s="2084"/>
      <c r="BQ68" s="2085"/>
      <c r="BR68" s="2083"/>
      <c r="BS68" s="2084"/>
      <c r="BT68" s="2084"/>
      <c r="BU68" s="2084"/>
      <c r="BV68" s="2084"/>
      <c r="BW68" s="2084"/>
      <c r="BX68" s="2084"/>
      <c r="BY68" s="2085"/>
      <c r="BZ68" s="2083"/>
      <c r="CA68" s="2084"/>
      <c r="CB68" s="2084"/>
      <c r="CC68" s="2084"/>
      <c r="CD68" s="2084"/>
      <c r="CE68" s="2084"/>
      <c r="CF68" s="2084"/>
      <c r="CG68" s="2085"/>
      <c r="CH68" s="2083"/>
      <c r="CI68" s="2084"/>
      <c r="CJ68" s="2084"/>
      <c r="CK68" s="2084"/>
      <c r="CL68" s="2084"/>
      <c r="CM68" s="2084"/>
      <c r="CN68" s="2084"/>
      <c r="CO68" s="2085"/>
      <c r="CP68" s="2083"/>
      <c r="CQ68" s="2084"/>
      <c r="CR68" s="2084"/>
      <c r="CS68" s="2084"/>
      <c r="CT68" s="2084"/>
      <c r="CU68" s="2084"/>
      <c r="CV68" s="2084"/>
      <c r="CW68" s="2085"/>
      <c r="CX68" s="2083"/>
      <c r="CY68" s="2084"/>
      <c r="CZ68" s="2084"/>
      <c r="DA68" s="2084"/>
      <c r="DB68" s="2084"/>
      <c r="DC68" s="2084"/>
      <c r="DD68" s="2084"/>
      <c r="DE68" s="2085"/>
      <c r="DF68" s="2085"/>
      <c r="DG68" s="1273" t="s">
        <v>416</v>
      </c>
      <c r="DH68" s="1667"/>
      <c r="DI68" s="1649"/>
      <c r="DJ68" s="1649" t="str">
        <f>IF(T68="","",T68)</f>
        <v>Источник тепловой энергии  </v>
      </c>
      <c r="DK68" s="1649"/>
      <c r="DL68" s="1649"/>
    </row>
    <row s="2437" customFormat="1" customHeight="1" ht="47.25">
      <c r="A69" s="1380"/>
      <c r="B69" s="1380"/>
      <c r="C69" s="1380"/>
      <c r="D69" s="1380"/>
      <c r="E69" s="2090">
        <v>1</v>
      </c>
      <c r="F69" s="2090"/>
      <c r="G69" s="2090"/>
      <c r="H69" s="2090"/>
      <c r="I69" s="2091" t="str">
        <f>S68&amp;".1"</f>
        <v>2.1.1.1.1</v>
      </c>
      <c r="J69" s="1380"/>
      <c r="K69" s="1380"/>
      <c r="L69" s="1386" t="s">
        <v>417</v>
      </c>
      <c r="M69" s="1383"/>
      <c r="N69" s="1801"/>
      <c r="O69" s="1801"/>
      <c r="P69" s="2205">
        <v>1</v>
      </c>
      <c r="Q69" s="2205"/>
      <c r="R69" s="344"/>
      <c r="S69" s="2107" t="str">
        <f>$I69</f>
        <v>2.1.1.1.1</v>
      </c>
      <c r="T69" s="266" t="s">
        <v>418</v>
      </c>
      <c r="U69" s="280"/>
      <c r="V69" s="2077"/>
      <c r="W69" s="2078"/>
      <c r="X69" s="2078"/>
      <c r="Y69" s="2078"/>
      <c r="Z69" s="2078"/>
      <c r="AA69" s="2078"/>
      <c r="AB69" s="2078"/>
      <c r="AC69" s="2079"/>
      <c r="AD69" s="2077" t="s">
        <v>463</v>
      </c>
      <c r="AE69" s="2078"/>
      <c r="AF69" s="2078"/>
      <c r="AG69" s="2078"/>
      <c r="AH69" s="2078"/>
      <c r="AI69" s="2078"/>
      <c r="AJ69" s="2078"/>
      <c r="AK69" s="2078"/>
      <c r="AL69" s="2077"/>
      <c r="AM69" s="2078"/>
      <c r="AN69" s="2078"/>
      <c r="AO69" s="2078"/>
      <c r="AP69" s="2078"/>
      <c r="AQ69" s="2078"/>
      <c r="AR69" s="2078"/>
      <c r="AS69" s="2079"/>
      <c r="AT69" s="2077"/>
      <c r="AU69" s="2078"/>
      <c r="AV69" s="2078"/>
      <c r="AW69" s="2078"/>
      <c r="AX69" s="2078"/>
      <c r="AY69" s="2078"/>
      <c r="AZ69" s="2078"/>
      <c r="BA69" s="2079"/>
      <c r="BB69" s="2077"/>
      <c r="BC69" s="2078"/>
      <c r="BD69" s="2078"/>
      <c r="BE69" s="2078"/>
      <c r="BF69" s="2078"/>
      <c r="BG69" s="2078"/>
      <c r="BH69" s="2078"/>
      <c r="BI69" s="2079"/>
      <c r="BJ69" s="2077"/>
      <c r="BK69" s="2078"/>
      <c r="BL69" s="2078"/>
      <c r="BM69" s="2078"/>
      <c r="BN69" s="2078"/>
      <c r="BO69" s="2078"/>
      <c r="BP69" s="2078"/>
      <c r="BQ69" s="2079"/>
      <c r="BR69" s="2077"/>
      <c r="BS69" s="2078"/>
      <c r="BT69" s="2078"/>
      <c r="BU69" s="2078"/>
      <c r="BV69" s="2078"/>
      <c r="BW69" s="2078"/>
      <c r="BX69" s="2078"/>
      <c r="BY69" s="2079"/>
      <c r="BZ69" s="2077"/>
      <c r="CA69" s="2078"/>
      <c r="CB69" s="2078"/>
      <c r="CC69" s="2078"/>
      <c r="CD69" s="2078"/>
      <c r="CE69" s="2078"/>
      <c r="CF69" s="2078"/>
      <c r="CG69" s="2079"/>
      <c r="CH69" s="2077"/>
      <c r="CI69" s="2078"/>
      <c r="CJ69" s="2078"/>
      <c r="CK69" s="2078"/>
      <c r="CL69" s="2078"/>
      <c r="CM69" s="2078"/>
      <c r="CN69" s="2078"/>
      <c r="CO69" s="2079"/>
      <c r="CP69" s="2077"/>
      <c r="CQ69" s="2078"/>
      <c r="CR69" s="2078"/>
      <c r="CS69" s="2078"/>
      <c r="CT69" s="2078"/>
      <c r="CU69" s="2078"/>
      <c r="CV69" s="2078"/>
      <c r="CW69" s="2079"/>
      <c r="CX69" s="2077"/>
      <c r="CY69" s="2078"/>
      <c r="CZ69" s="2078"/>
      <c r="DA69" s="2078"/>
      <c r="DB69" s="2078"/>
      <c r="DC69" s="2078"/>
      <c r="DD69" s="2078"/>
      <c r="DE69" s="2079"/>
      <c r="DF69" s="2079"/>
      <c r="DG69" s="1273" t="s">
        <v>419</v>
      </c>
      <c r="DH69" s="1667"/>
      <c r="DI69" s="1649"/>
      <c r="DJ69" s="1649" t="str">
        <f>IF(T69="","",T69)</f>
        <v>Схема подключения теплопотребляющей установки к коллектору источника тепловой энергии</v>
      </c>
      <c r="DK69" s="1649"/>
      <c r="DL69" s="1649"/>
    </row>
    <row s="2437" customFormat="1" customHeight="1" ht="21">
      <c r="A70" s="1380"/>
      <c r="B70" s="1380"/>
      <c r="C70" s="1380"/>
      <c r="D70" s="1380"/>
      <c r="E70" s="2090">
        <v>1</v>
      </c>
      <c r="F70" s="2090"/>
      <c r="G70" s="2090"/>
      <c r="H70" s="2090"/>
      <c r="I70" s="2092"/>
      <c r="J70" s="2091" t="str">
        <f>I69&amp;".1"</f>
        <v>2.1.1.1.1.1</v>
      </c>
      <c r="K70" s="1380"/>
      <c r="L70" s="1386" t="s">
        <v>420</v>
      </c>
      <c r="M70" s="1383"/>
      <c r="N70" s="1383"/>
      <c r="O70" s="1801"/>
      <c r="P70" s="2205"/>
      <c r="Q70" s="2205">
        <v>1</v>
      </c>
      <c r="R70" s="345"/>
      <c r="S70" s="2107" t="str">
        <f>$J70</f>
        <v>2.1.1.1.1.1</v>
      </c>
      <c r="T70" s="267" t="s">
        <v>421</v>
      </c>
      <c r="U70" s="280"/>
      <c r="V70" s="2077"/>
      <c r="W70" s="2078"/>
      <c r="X70" s="2078"/>
      <c r="Y70" s="2078"/>
      <c r="Z70" s="2078"/>
      <c r="AA70" s="2078"/>
      <c r="AB70" s="2078"/>
      <c r="AC70" s="2079"/>
      <c r="AD70" s="2077" t="s">
        <v>459</v>
      </c>
      <c r="AE70" s="2078"/>
      <c r="AF70" s="2078"/>
      <c r="AG70" s="2078"/>
      <c r="AH70" s="2078"/>
      <c r="AI70" s="2078"/>
      <c r="AJ70" s="2078"/>
      <c r="AK70" s="2078"/>
      <c r="AL70" s="2077"/>
      <c r="AM70" s="2078"/>
      <c r="AN70" s="2078"/>
      <c r="AO70" s="2078"/>
      <c r="AP70" s="2078"/>
      <c r="AQ70" s="2078"/>
      <c r="AR70" s="2078"/>
      <c r="AS70" s="2079"/>
      <c r="AT70" s="2077"/>
      <c r="AU70" s="2078"/>
      <c r="AV70" s="2078"/>
      <c r="AW70" s="2078"/>
      <c r="AX70" s="2078"/>
      <c r="AY70" s="2078"/>
      <c r="AZ70" s="2078"/>
      <c r="BA70" s="2079"/>
      <c r="BB70" s="2077"/>
      <c r="BC70" s="2078"/>
      <c r="BD70" s="2078"/>
      <c r="BE70" s="2078"/>
      <c r="BF70" s="2078"/>
      <c r="BG70" s="2078"/>
      <c r="BH70" s="2078"/>
      <c r="BI70" s="2079"/>
      <c r="BJ70" s="2077"/>
      <c r="BK70" s="2078"/>
      <c r="BL70" s="2078"/>
      <c r="BM70" s="2078"/>
      <c r="BN70" s="2078"/>
      <c r="BO70" s="2078"/>
      <c r="BP70" s="2078"/>
      <c r="BQ70" s="2079"/>
      <c r="BR70" s="2077"/>
      <c r="BS70" s="2078"/>
      <c r="BT70" s="2078"/>
      <c r="BU70" s="2078"/>
      <c r="BV70" s="2078"/>
      <c r="BW70" s="2078"/>
      <c r="BX70" s="2078"/>
      <c r="BY70" s="2079"/>
      <c r="BZ70" s="2077"/>
      <c r="CA70" s="2078"/>
      <c r="CB70" s="2078"/>
      <c r="CC70" s="2078"/>
      <c r="CD70" s="2078"/>
      <c r="CE70" s="2078"/>
      <c r="CF70" s="2078"/>
      <c r="CG70" s="2079"/>
      <c r="CH70" s="2077"/>
      <c r="CI70" s="2078"/>
      <c r="CJ70" s="2078"/>
      <c r="CK70" s="2078"/>
      <c r="CL70" s="2078"/>
      <c r="CM70" s="2078"/>
      <c r="CN70" s="2078"/>
      <c r="CO70" s="2079"/>
      <c r="CP70" s="2077"/>
      <c r="CQ70" s="2078"/>
      <c r="CR70" s="2078"/>
      <c r="CS70" s="2078"/>
      <c r="CT70" s="2078"/>
      <c r="CU70" s="2078"/>
      <c r="CV70" s="2078"/>
      <c r="CW70" s="2079"/>
      <c r="CX70" s="2077"/>
      <c r="CY70" s="2078"/>
      <c r="CZ70" s="2078"/>
      <c r="DA70" s="2078"/>
      <c r="DB70" s="2078"/>
      <c r="DC70" s="2078"/>
      <c r="DD70" s="2078"/>
      <c r="DE70" s="2079"/>
      <c r="DF70" s="2079"/>
      <c r="DG70" s="1273" t="s">
        <v>422</v>
      </c>
      <c r="DH70" s="1667"/>
      <c r="DI70" s="1649"/>
      <c r="DJ70" s="1649" t="str">
        <f>IF(T70="","",T70)</f>
        <v>Группа потребителей</v>
      </c>
      <c r="DK70" s="1649"/>
      <c r="DL70" s="1649"/>
    </row>
    <row s="2437" customFormat="1" customHeight="1" ht="21">
      <c r="A71" s="1380"/>
      <c r="B71" s="1380"/>
      <c r="C71" s="1380"/>
      <c r="D71" s="1380"/>
      <c r="E71" s="2090">
        <v>1</v>
      </c>
      <c r="F71" s="2090"/>
      <c r="G71" s="2090"/>
      <c r="H71" s="2090"/>
      <c r="I71" s="2092"/>
      <c r="J71" s="2092"/>
      <c r="K71" s="2091" t="str">
        <f>J70&amp;".1"</f>
        <v>2.1.1.1.1.1.1</v>
      </c>
      <c r="L71" s="1386" t="s">
        <v>423</v>
      </c>
      <c r="M71" s="1383"/>
      <c r="N71" s="1383"/>
      <c r="O71" s="1383"/>
      <c r="P71" s="2205"/>
      <c r="Q71" s="2205"/>
      <c r="R71" s="345">
        <v>1</v>
      </c>
      <c r="S71" s="2107" t="str">
        <f>$K71</f>
        <v>2.1.1.1.1.1.1</v>
      </c>
      <c r="T71" s="1364" t="s">
        <v>460</v>
      </c>
      <c r="U71" s="280"/>
      <c r="V71" s="746"/>
      <c r="W71" s="312"/>
      <c r="X71" s="746"/>
      <c r="Y71" s="1272"/>
      <c r="Z71" s="2425"/>
      <c r="AA71" s="1963" t="s">
        <v>61</v>
      </c>
      <c r="AB71" s="2425"/>
      <c r="AC71" s="1963" t="s">
        <v>61</v>
      </c>
      <c r="AD71" s="746">
        <v>1368.99</v>
      </c>
      <c r="AE71" s="312"/>
      <c r="AF71" s="746"/>
      <c r="AG71" s="1272"/>
      <c r="AH71" s="2425">
        <v>45292.63936342593</v>
      </c>
      <c r="AI71" s="1963" t="s">
        <v>61</v>
      </c>
      <c r="AJ71" s="2425">
        <v>45473.63943287037</v>
      </c>
      <c r="AK71" s="1963" t="s">
        <v>61</v>
      </c>
      <c r="AL71" s="746">
        <v>1468.64</v>
      </c>
      <c r="AM71" s="312"/>
      <c r="AN71" s="746"/>
      <c r="AO71" s="1272"/>
      <c r="AP71" s="2425">
        <v>45474.63978009259</v>
      </c>
      <c r="AQ71" s="1963" t="s">
        <v>61</v>
      </c>
      <c r="AR71" s="2425">
        <v>45657.63984953704</v>
      </c>
      <c r="AS71" s="1963" t="s">
        <v>61</v>
      </c>
      <c r="AT71" s="746">
        <v>1468.64</v>
      </c>
      <c r="AU71" s="312"/>
      <c r="AV71" s="746"/>
      <c r="AW71" s="1272"/>
      <c r="AX71" s="2425">
        <v>45658.64050925926</v>
      </c>
      <c r="AY71" s="1963" t="s">
        <v>61</v>
      </c>
      <c r="AZ71" s="2425">
        <v>45838.64061342592</v>
      </c>
      <c r="BA71" s="1963" t="s">
        <v>61</v>
      </c>
      <c r="BB71" s="746">
        <v>1591.98</v>
      </c>
      <c r="BC71" s="312"/>
      <c r="BD71" s="746"/>
      <c r="BE71" s="1272"/>
      <c r="BF71" s="2425">
        <v>45839.64083333333</v>
      </c>
      <c r="BG71" s="1963" t="s">
        <v>61</v>
      </c>
      <c r="BH71" s="2425">
        <v>46022.64094907408</v>
      </c>
      <c r="BI71" s="1963" t="s">
        <v>61</v>
      </c>
      <c r="BJ71" s="746">
        <v>1591.98</v>
      </c>
      <c r="BK71" s="312"/>
      <c r="BL71" s="746"/>
      <c r="BM71" s="1272"/>
      <c r="BN71" s="2425">
        <v>46023.64135416667</v>
      </c>
      <c r="BO71" s="1963" t="s">
        <v>61</v>
      </c>
      <c r="BP71" s="2425">
        <v>46203.64145833333</v>
      </c>
      <c r="BQ71" s="1963" t="s">
        <v>61</v>
      </c>
      <c r="BR71" s="746">
        <v>1620.49</v>
      </c>
      <c r="BS71" s="312"/>
      <c r="BT71" s="746"/>
      <c r="BU71" s="1272"/>
      <c r="BV71" s="2425">
        <v>46204.64236111111</v>
      </c>
      <c r="BW71" s="1963" t="s">
        <v>61</v>
      </c>
      <c r="BX71" s="2425">
        <v>46387.6425</v>
      </c>
      <c r="BY71" s="1963" t="s">
        <v>61</v>
      </c>
      <c r="BZ71" s="746">
        <v>1620.49</v>
      </c>
      <c r="CA71" s="312"/>
      <c r="CB71" s="746"/>
      <c r="CC71" s="1272"/>
      <c r="CD71" s="2425">
        <v>46388.64304398148</v>
      </c>
      <c r="CE71" s="1963" t="s">
        <v>61</v>
      </c>
      <c r="CF71" s="2425">
        <v>46568.64314814815</v>
      </c>
      <c r="CG71" s="1963" t="s">
        <v>61</v>
      </c>
      <c r="CH71" s="746">
        <v>1716.79</v>
      </c>
      <c r="CI71" s="312"/>
      <c r="CJ71" s="746"/>
      <c r="CK71" s="1272"/>
      <c r="CL71" s="2425">
        <v>46569.6433912037</v>
      </c>
      <c r="CM71" s="1963" t="s">
        <v>61</v>
      </c>
      <c r="CN71" s="2425">
        <v>46752.643541666665</v>
      </c>
      <c r="CO71" s="1963" t="s">
        <v>61</v>
      </c>
      <c r="CP71" s="746">
        <v>1716.79</v>
      </c>
      <c r="CQ71" s="312"/>
      <c r="CR71" s="746"/>
      <c r="CS71" s="1272"/>
      <c r="CT71" s="2425">
        <v>46753.64383101852</v>
      </c>
      <c r="CU71" s="1963" t="s">
        <v>61</v>
      </c>
      <c r="CV71" s="2425">
        <v>46934.64394675926</v>
      </c>
      <c r="CW71" s="1963" t="s">
        <v>61</v>
      </c>
      <c r="CX71" s="746">
        <v>1735.07</v>
      </c>
      <c r="CY71" s="312"/>
      <c r="CZ71" s="746"/>
      <c r="DA71" s="1272"/>
      <c r="DB71" s="2425">
        <v>46935.64417824074</v>
      </c>
      <c r="DC71" s="1963" t="s">
        <v>61</v>
      </c>
      <c r="DD71" s="2425">
        <v>47118.644328703704</v>
      </c>
      <c r="DE71" s="1963" t="s">
        <v>61</v>
      </c>
      <c r="DF71" s="312"/>
      <c r="DG71" s="2119" t="s">
        <v>424</v>
      </c>
      <c r="DH71" s="1667">
        <f>STRCHECKDATE(V72:DF72)</f>
      </c>
      <c r="DI71" s="1649"/>
      <c r="DJ71" s="1649" t="str">
        <f>IF(T71="","",T71)</f>
        <v>вода</v>
      </c>
      <c r="DK71" s="1649"/>
      <c r="DL71" s="1649"/>
    </row>
    <row s="2437" customFormat="1" customHeight="1" ht="0.75">
      <c r="A72" s="1380"/>
      <c r="B72" s="1380"/>
      <c r="C72" s="1380"/>
      <c r="D72" s="1380"/>
      <c r="E72" s="2090">
        <v>1</v>
      </c>
      <c r="F72" s="2090"/>
      <c r="G72" s="2090"/>
      <c r="H72" s="2090"/>
      <c r="I72" s="2092"/>
      <c r="J72" s="2092"/>
      <c r="K72" s="2091"/>
      <c r="L72" s="1386"/>
      <c r="M72" s="1383"/>
      <c r="N72" s="1383"/>
      <c r="O72" s="1383"/>
      <c r="P72" s="2205"/>
      <c r="Q72" s="2205"/>
      <c r="R72" s="345"/>
      <c r="S72" s="2349"/>
      <c r="T72" s="280"/>
      <c r="U72" s="280"/>
      <c r="V72" s="312"/>
      <c r="W72" s="312"/>
      <c r="X72" s="312"/>
      <c r="Y72" s="316" t="str">
        <f>Z71&amp;"-"&amp;AB71</f>
        <v>-</v>
      </c>
      <c r="Z72" s="2134"/>
      <c r="AA72" s="1963"/>
      <c r="AB72" s="2134"/>
      <c r="AC72" s="1963"/>
      <c r="AD72" s="312"/>
      <c r="AE72" s="312"/>
      <c r="AF72" s="312"/>
      <c r="AG72" s="316" t="str">
        <f>AH71&amp;"-"&amp;AJ71</f>
        <v>45292.63936342593-45473.63943287037</v>
      </c>
      <c r="AH72" s="2134"/>
      <c r="AI72" s="1963"/>
      <c r="AJ72" s="2134"/>
      <c r="AK72" s="1963"/>
      <c r="AL72" s="312"/>
      <c r="AM72" s="312"/>
      <c r="AN72" s="312"/>
      <c r="AO72" s="316" t="str">
        <f>AP71&amp;"-"&amp;AR71</f>
        <v>45474.63978009259-45657.63984953704</v>
      </c>
      <c r="AP72" s="2134"/>
      <c r="AQ72" s="1963"/>
      <c r="AR72" s="2134"/>
      <c r="AS72" s="1963"/>
      <c r="AT72" s="312"/>
      <c r="AU72" s="312"/>
      <c r="AV72" s="312"/>
      <c r="AW72" s="316" t="str">
        <f>AX71&amp;"-"&amp;AZ71</f>
        <v>45658.64050925926-45838.64061342592</v>
      </c>
      <c r="AX72" s="2134"/>
      <c r="AY72" s="1963"/>
      <c r="AZ72" s="2134"/>
      <c r="BA72" s="1963"/>
      <c r="BB72" s="312"/>
      <c r="BC72" s="312"/>
      <c r="BD72" s="312"/>
      <c r="BE72" s="316" t="str">
        <f>BF71&amp;"-"&amp;BH71</f>
        <v>45839.64083333333-46022.64094907408</v>
      </c>
      <c r="BF72" s="2134"/>
      <c r="BG72" s="1963"/>
      <c r="BH72" s="2134"/>
      <c r="BI72" s="1963"/>
      <c r="BJ72" s="312"/>
      <c r="BK72" s="312"/>
      <c r="BL72" s="312"/>
      <c r="BM72" s="316" t="str">
        <f>BN71&amp;"-"&amp;BP71</f>
        <v>46023.64135416667-46203.64145833333</v>
      </c>
      <c r="BN72" s="2134"/>
      <c r="BO72" s="1963"/>
      <c r="BP72" s="2134"/>
      <c r="BQ72" s="1963"/>
      <c r="BR72" s="312"/>
      <c r="BS72" s="312"/>
      <c r="BT72" s="312"/>
      <c r="BU72" s="316" t="str">
        <f>BV71&amp;"-"&amp;BX71</f>
        <v>46204.64236111111-46387.6425</v>
      </c>
      <c r="BV72" s="2134"/>
      <c r="BW72" s="1963"/>
      <c r="BX72" s="2134"/>
      <c r="BY72" s="1963"/>
      <c r="BZ72" s="312"/>
      <c r="CA72" s="312"/>
      <c r="CB72" s="312"/>
      <c r="CC72" s="316" t="str">
        <f>CD71&amp;"-"&amp;CF71</f>
        <v>46388.64304398148-46568.64314814815</v>
      </c>
      <c r="CD72" s="2134"/>
      <c r="CE72" s="1963"/>
      <c r="CF72" s="2134"/>
      <c r="CG72" s="1963"/>
      <c r="CH72" s="312"/>
      <c r="CI72" s="312"/>
      <c r="CJ72" s="312"/>
      <c r="CK72" s="316" t="str">
        <f>CL71&amp;"-"&amp;CN71</f>
        <v>46569.6433912037-46752.643541666665</v>
      </c>
      <c r="CL72" s="2134"/>
      <c r="CM72" s="1963"/>
      <c r="CN72" s="2134"/>
      <c r="CO72" s="1963"/>
      <c r="CP72" s="312"/>
      <c r="CQ72" s="312"/>
      <c r="CR72" s="312"/>
      <c r="CS72" s="316" t="str">
        <f>CT71&amp;"-"&amp;CV71</f>
        <v>46753.64383101852-46934.64394675926</v>
      </c>
      <c r="CT72" s="2134"/>
      <c r="CU72" s="1963"/>
      <c r="CV72" s="2134"/>
      <c r="CW72" s="1963"/>
      <c r="CX72" s="312"/>
      <c r="CY72" s="312"/>
      <c r="CZ72" s="312"/>
      <c r="DA72" s="316" t="str">
        <f>DB71&amp;"-"&amp;DD71</f>
        <v>46935.64417824074-47118.644328703704</v>
      </c>
      <c r="DB72" s="2134"/>
      <c r="DC72" s="1963"/>
      <c r="DD72" s="2134"/>
      <c r="DE72" s="1963"/>
      <c r="DF72" s="312"/>
      <c r="DG72" s="2120"/>
      <c r="DH72" s="1667"/>
      <c r="DI72" s="1649"/>
      <c r="DJ72" s="1649" t="str">
        <f>IF(T72="","",T72)</f>
        <v/>
      </c>
      <c r="DK72" s="1649"/>
      <c r="DL72" s="1649"/>
    </row>
    <row s="2437" customFormat="1" customHeight="1" ht="15">
      <c r="A73" s="1380"/>
      <c r="B73" s="1380"/>
      <c r="C73" s="1380"/>
      <c r="D73" s="1380"/>
      <c r="E73" s="2090">
        <v>1</v>
      </c>
      <c r="F73" s="2090"/>
      <c r="G73" s="2090"/>
      <c r="H73" s="2090"/>
      <c r="I73" s="2092"/>
      <c r="J73" s="2091"/>
      <c r="K73" s="1380"/>
      <c r="L73" s="1386"/>
      <c r="M73" s="1383"/>
      <c r="N73" s="1383"/>
      <c r="O73" s="1801"/>
      <c r="P73" s="2205"/>
      <c r="Q73" s="2205"/>
      <c r="R73" s="344"/>
      <c r="S73" s="3231"/>
      <c r="T73" s="3232" t="s">
        <v>425</v>
      </c>
      <c r="U73" s="3233"/>
      <c r="V73" s="3234"/>
      <c r="W73" s="3235"/>
      <c r="X73" s="3236"/>
      <c r="Y73" s="3237"/>
      <c r="Z73" s="3238"/>
      <c r="AA73" s="3239"/>
      <c r="AB73" s="3240"/>
      <c r="AC73" s="3241"/>
      <c r="AD73" s="3242"/>
      <c r="AE73" s="3243"/>
      <c r="AF73" s="3244"/>
      <c r="AG73" s="3245"/>
      <c r="AH73" s="3246"/>
      <c r="AI73" s="3247"/>
      <c r="AJ73" s="3248"/>
      <c r="AK73" s="3249"/>
      <c r="AL73" s="3250"/>
      <c r="AM73" s="3251"/>
      <c r="AN73" s="3252"/>
      <c r="AO73" s="3253"/>
      <c r="AP73" s="3254"/>
      <c r="AQ73" s="3255"/>
      <c r="AR73" s="3256"/>
      <c r="AS73" s="3257"/>
      <c r="AT73" s="3258"/>
      <c r="AU73" s="3259"/>
      <c r="AV73" s="3260"/>
      <c r="AW73" s="3261"/>
      <c r="AX73" s="3262"/>
      <c r="AY73" s="3263"/>
      <c r="AZ73" s="3264"/>
      <c r="BA73" s="3265"/>
      <c r="BB73" s="3266"/>
      <c r="BC73" s="3267"/>
      <c r="BD73" s="3268"/>
      <c r="BE73" s="3269"/>
      <c r="BF73" s="3270"/>
      <c r="BG73" s="3271"/>
      <c r="BH73" s="3272"/>
      <c r="BI73" s="3273"/>
      <c r="BJ73" s="3274"/>
      <c r="BK73" s="3275"/>
      <c r="BL73" s="3276"/>
      <c r="BM73" s="3277"/>
      <c r="BN73" s="3278"/>
      <c r="BO73" s="3279"/>
      <c r="BP73" s="3280"/>
      <c r="BQ73" s="3281"/>
      <c r="BR73" s="3282"/>
      <c r="BS73" s="3283"/>
      <c r="BT73" s="3284"/>
      <c r="BU73" s="3285"/>
      <c r="BV73" s="3286"/>
      <c r="BW73" s="3287"/>
      <c r="BX73" s="3288"/>
      <c r="BY73" s="3289"/>
      <c r="BZ73" s="3290"/>
      <c r="CA73" s="3291"/>
      <c r="CB73" s="3292"/>
      <c r="CC73" s="3293"/>
      <c r="CD73" s="3294"/>
      <c r="CE73" s="3295"/>
      <c r="CF73" s="3296"/>
      <c r="CG73" s="3297"/>
      <c r="CH73" s="3298"/>
      <c r="CI73" s="3299"/>
      <c r="CJ73" s="3300"/>
      <c r="CK73" s="3301"/>
      <c r="CL73" s="3302"/>
      <c r="CM73" s="3303"/>
      <c r="CN73" s="3304"/>
      <c r="CO73" s="3305"/>
      <c r="CP73" s="3306"/>
      <c r="CQ73" s="3307"/>
      <c r="CR73" s="3308"/>
      <c r="CS73" s="3309"/>
      <c r="CT73" s="3310"/>
      <c r="CU73" s="3311"/>
      <c r="CV73" s="3312"/>
      <c r="CW73" s="3313"/>
      <c r="CX73" s="3314"/>
      <c r="CY73" s="3315"/>
      <c r="CZ73" s="3316"/>
      <c r="DA73" s="3317"/>
      <c r="DB73" s="3318"/>
      <c r="DC73" s="3319"/>
      <c r="DD73" s="3320"/>
      <c r="DE73" s="3321"/>
      <c r="DF73" s="3322"/>
      <c r="DG73" s="2121"/>
      <c r="DH73" s="1667"/>
      <c r="DI73" s="1649"/>
      <c r="DJ73" s="1649" t="str">
        <f>IF(T73="","",T73)</f>
        <v>Добавить вид теплоносителя (параметры теплоносителя)</v>
      </c>
      <c r="DK73" s="1649"/>
      <c r="DL73" s="1649"/>
    </row>
    <row s="2437" customFormat="1" customHeight="1" ht="15">
      <c r="A74" s="1380"/>
      <c r="B74" s="1380"/>
      <c r="C74" s="1380"/>
      <c r="D74" s="1380"/>
      <c r="E74" s="2090">
        <v>1</v>
      </c>
      <c r="F74" s="2090"/>
      <c r="G74" s="2090"/>
      <c r="H74" s="2090"/>
      <c r="I74" s="2091"/>
      <c r="J74" s="1380"/>
      <c r="K74" s="1380"/>
      <c r="L74" s="1386"/>
      <c r="M74" s="1383"/>
      <c r="N74" s="1801"/>
      <c r="O74" s="1801"/>
      <c r="P74" s="2205"/>
      <c r="Q74" s="2205"/>
      <c r="R74" s="344"/>
      <c r="S74" s="3323"/>
      <c r="T74" s="3324" t="s">
        <v>426</v>
      </c>
      <c r="U74" s="3325"/>
      <c r="V74" s="3326"/>
      <c r="W74" s="3327"/>
      <c r="X74" s="3328"/>
      <c r="Y74" s="3329"/>
      <c r="Z74" s="3330"/>
      <c r="AA74" s="3331"/>
      <c r="AB74" s="3332"/>
      <c r="AC74" s="3333"/>
      <c r="AD74" s="3334"/>
      <c r="AE74" s="3335"/>
      <c r="AF74" s="3336"/>
      <c r="AG74" s="3337"/>
      <c r="AH74" s="3338"/>
      <c r="AI74" s="3339"/>
      <c r="AJ74" s="3340"/>
      <c r="AK74" s="3341"/>
      <c r="AL74" s="3342"/>
      <c r="AM74" s="3343"/>
      <c r="AN74" s="3344"/>
      <c r="AO74" s="3345"/>
      <c r="AP74" s="3346"/>
      <c r="AQ74" s="3347"/>
      <c r="AR74" s="3348"/>
      <c r="AS74" s="3349"/>
      <c r="AT74" s="3350"/>
      <c r="AU74" s="3351"/>
      <c r="AV74" s="3352"/>
      <c r="AW74" s="3353"/>
      <c r="AX74" s="3354"/>
      <c r="AY74" s="3355"/>
      <c r="AZ74" s="3356"/>
      <c r="BA74" s="3357"/>
      <c r="BB74" s="3358"/>
      <c r="BC74" s="3359"/>
      <c r="BD74" s="3360"/>
      <c r="BE74" s="3361"/>
      <c r="BF74" s="3362"/>
      <c r="BG74" s="3363"/>
      <c r="BH74" s="3364"/>
      <c r="BI74" s="3365"/>
      <c r="BJ74" s="3366"/>
      <c r="BK74" s="3367"/>
      <c r="BL74" s="3368"/>
      <c r="BM74" s="3369"/>
      <c r="BN74" s="3370"/>
      <c r="BO74" s="3371"/>
      <c r="BP74" s="3372"/>
      <c r="BQ74" s="3373"/>
      <c r="BR74" s="3374"/>
      <c r="BS74" s="3375"/>
      <c r="BT74" s="3376"/>
      <c r="BU74" s="3377"/>
      <c r="BV74" s="3378"/>
      <c r="BW74" s="3379"/>
      <c r="BX74" s="3380"/>
      <c r="BY74" s="3381"/>
      <c r="BZ74" s="3382"/>
      <c r="CA74" s="3383"/>
      <c r="CB74" s="3384"/>
      <c r="CC74" s="3385"/>
      <c r="CD74" s="3386"/>
      <c r="CE74" s="3387"/>
      <c r="CF74" s="3388"/>
      <c r="CG74" s="3389"/>
      <c r="CH74" s="3390"/>
      <c r="CI74" s="3391"/>
      <c r="CJ74" s="3392"/>
      <c r="CK74" s="3393"/>
      <c r="CL74" s="3394"/>
      <c r="CM74" s="3395"/>
      <c r="CN74" s="3396"/>
      <c r="CO74" s="3397"/>
      <c r="CP74" s="3398"/>
      <c r="CQ74" s="3399"/>
      <c r="CR74" s="3400"/>
      <c r="CS74" s="3401"/>
      <c r="CT74" s="3402"/>
      <c r="CU74" s="3403"/>
      <c r="CV74" s="3404"/>
      <c r="CW74" s="3405"/>
      <c r="CX74" s="3406"/>
      <c r="CY74" s="3407"/>
      <c r="CZ74" s="3408"/>
      <c r="DA74" s="3409"/>
      <c r="DB74" s="3410"/>
      <c r="DC74" s="3411"/>
      <c r="DD74" s="3412"/>
      <c r="DE74" s="3413"/>
      <c r="DF74" s="3414"/>
      <c r="DG74" s="3415"/>
      <c r="DH74" s="1667"/>
      <c r="DI74" s="1649"/>
      <c r="DJ74" s="1649" t="str">
        <f>IF(T74="","",T74)</f>
        <v>Добавить группу потребителей</v>
      </c>
      <c r="DK74" s="1649"/>
      <c r="DL74" s="1649"/>
    </row>
    <row s="2437" customFormat="1" customHeight="1" ht="14.25">
      <c r="A75" s="1380"/>
      <c r="B75" s="1380"/>
      <c r="C75" s="1380"/>
      <c r="D75" s="1380"/>
      <c r="E75" s="2090">
        <v>1</v>
      </c>
      <c r="F75" s="2090"/>
      <c r="G75" s="2090"/>
      <c r="H75" s="2089"/>
      <c r="I75" s="1380"/>
      <c r="J75" s="1380"/>
      <c r="K75" s="1380"/>
      <c r="L75" s="1386"/>
      <c r="M75" s="1382"/>
      <c r="N75" s="1382"/>
      <c r="O75" s="1383"/>
      <c r="P75" s="1848"/>
      <c r="Q75" s="367"/>
      <c r="R75" s="343"/>
      <c r="S75" s="3416"/>
      <c r="T75" s="3417" t="s">
        <v>427</v>
      </c>
      <c r="U75" s="3418"/>
      <c r="V75" s="3419"/>
      <c r="W75" s="3420"/>
      <c r="X75" s="3421"/>
      <c r="Y75" s="3422"/>
      <c r="Z75" s="3423"/>
      <c r="AA75" s="3424"/>
      <c r="AB75" s="3425"/>
      <c r="AC75" s="3426"/>
      <c r="AD75" s="3427"/>
      <c r="AE75" s="3428"/>
      <c r="AF75" s="3429"/>
      <c r="AG75" s="3430"/>
      <c r="AH75" s="3431"/>
      <c r="AI75" s="3432"/>
      <c r="AJ75" s="3433"/>
      <c r="AK75" s="3434"/>
      <c r="AL75" s="3435"/>
      <c r="AM75" s="3436"/>
      <c r="AN75" s="3437"/>
      <c r="AO75" s="3438"/>
      <c r="AP75" s="3439"/>
      <c r="AQ75" s="3440"/>
      <c r="AR75" s="3441"/>
      <c r="AS75" s="3442"/>
      <c r="AT75" s="3443"/>
      <c r="AU75" s="3444"/>
      <c r="AV75" s="3445"/>
      <c r="AW75" s="3446"/>
      <c r="AX75" s="3447"/>
      <c r="AY75" s="3448"/>
      <c r="AZ75" s="3449"/>
      <c r="BA75" s="3450"/>
      <c r="BB75" s="3451"/>
      <c r="BC75" s="3452"/>
      <c r="BD75" s="3453"/>
      <c r="BE75" s="3454"/>
      <c r="BF75" s="3455"/>
      <c r="BG75" s="3456"/>
      <c r="BH75" s="3457"/>
      <c r="BI75" s="3458"/>
      <c r="BJ75" s="3459"/>
      <c r="BK75" s="3460"/>
      <c r="BL75" s="3461"/>
      <c r="BM75" s="3462"/>
      <c r="BN75" s="3463"/>
      <c r="BO75" s="3464"/>
      <c r="BP75" s="3465"/>
      <c r="BQ75" s="3466"/>
      <c r="BR75" s="3467"/>
      <c r="BS75" s="3468"/>
      <c r="BT75" s="3469"/>
      <c r="BU75" s="3470"/>
      <c r="BV75" s="3471"/>
      <c r="BW75" s="3472"/>
      <c r="BX75" s="3473"/>
      <c r="BY75" s="3474"/>
      <c r="BZ75" s="3475"/>
      <c r="CA75" s="3476"/>
      <c r="CB75" s="3477"/>
      <c r="CC75" s="3478"/>
      <c r="CD75" s="3479"/>
      <c r="CE75" s="3480"/>
      <c r="CF75" s="3481"/>
      <c r="CG75" s="3482"/>
      <c r="CH75" s="3483"/>
      <c r="CI75" s="3484"/>
      <c r="CJ75" s="3485"/>
      <c r="CK75" s="3486"/>
      <c r="CL75" s="3487"/>
      <c r="CM75" s="3488"/>
      <c r="CN75" s="3489"/>
      <c r="CO75" s="3490"/>
      <c r="CP75" s="3491"/>
      <c r="CQ75" s="3492"/>
      <c r="CR75" s="3493"/>
      <c r="CS75" s="3494"/>
      <c r="CT75" s="3495"/>
      <c r="CU75" s="3496"/>
      <c r="CV75" s="3497"/>
      <c r="CW75" s="3498"/>
      <c r="CX75" s="3499"/>
      <c r="CY75" s="3500"/>
      <c r="CZ75" s="3501"/>
      <c r="DA75" s="3502"/>
      <c r="DB75" s="3503"/>
      <c r="DC75" s="3504"/>
      <c r="DD75" s="3505"/>
      <c r="DE75" s="3506"/>
      <c r="DF75" s="3507"/>
      <c r="DG75" s="3508"/>
      <c r="DH75" s="1667"/>
      <c r="DI75" s="1649"/>
      <c r="DJ75" s="1649" t="str">
        <f>IF(T75="","",T75)</f>
        <v>Добавить схему подключения</v>
      </c>
      <c r="DK75" s="1649"/>
      <c r="DL75" s="1649"/>
    </row>
    <row s="618" customFormat="1" customHeight="1" ht="0.75">
      <c r="A76" s="1360"/>
      <c r="B76" s="1360"/>
      <c r="C76" s="1360"/>
      <c r="D76" s="1360"/>
      <c r="E76" s="2090">
        <v>1</v>
      </c>
      <c r="F76" s="2090"/>
      <c r="G76" s="2089"/>
      <c r="H76" s="1360"/>
      <c r="I76" s="1360"/>
      <c r="J76" s="1360"/>
      <c r="K76" s="1360"/>
      <c r="L76" s="1568"/>
      <c r="M76" s="1332"/>
      <c r="N76" s="1332"/>
      <c r="O76" s="1667"/>
      <c r="P76" s="1333"/>
      <c r="Q76" s="1361"/>
      <c r="R76" s="1333"/>
      <c r="S76" s="1335"/>
      <c r="T76" s="1336" t="s">
        <v>160</v>
      </c>
      <c r="U76" s="1337"/>
      <c r="V76" s="1337"/>
      <c r="W76" s="1337"/>
      <c r="X76" s="1337"/>
      <c r="Y76" s="1337"/>
      <c r="Z76" s="1337"/>
      <c r="AA76" s="1337"/>
      <c r="AB76" s="1337"/>
      <c r="AC76" s="1337"/>
      <c r="AD76" s="1337"/>
      <c r="AE76" s="1337"/>
      <c r="AF76" s="1337"/>
      <c r="AG76" s="1337"/>
      <c r="AH76" s="1337"/>
      <c r="AI76" s="1337"/>
      <c r="AJ76" s="1337"/>
      <c r="AK76" s="1337"/>
      <c r="AL76" s="1337"/>
      <c r="AM76" s="1337"/>
      <c r="AN76" s="1337"/>
      <c r="AO76" s="1337"/>
      <c r="AP76" s="1337"/>
      <c r="AQ76" s="1337"/>
      <c r="AR76" s="1337"/>
      <c r="AS76" s="1337"/>
      <c r="AT76" s="1337"/>
      <c r="AU76" s="1337"/>
      <c r="AV76" s="1337"/>
      <c r="AW76" s="1337"/>
      <c r="AX76" s="1337"/>
      <c r="AY76" s="1337"/>
      <c r="AZ76" s="1337"/>
      <c r="BA76" s="1337"/>
      <c r="BB76" s="1337"/>
      <c r="BC76" s="1337"/>
      <c r="BD76" s="1337"/>
      <c r="BE76" s="1337"/>
      <c r="BF76" s="1337"/>
      <c r="BG76" s="1337"/>
      <c r="BH76" s="1337"/>
      <c r="BI76" s="1337"/>
      <c r="BJ76" s="1337"/>
      <c r="BK76" s="1337"/>
      <c r="BL76" s="1337"/>
      <c r="BM76" s="1337"/>
      <c r="BN76" s="1337"/>
      <c r="BO76" s="1337"/>
      <c r="BP76" s="1337"/>
      <c r="BQ76" s="1337"/>
      <c r="BR76" s="1337"/>
      <c r="BS76" s="1337"/>
      <c r="BT76" s="1337"/>
      <c r="BU76" s="1337"/>
      <c r="BV76" s="1337"/>
      <c r="BW76" s="1337"/>
      <c r="BX76" s="1337"/>
      <c r="BY76" s="1337"/>
      <c r="BZ76" s="1337"/>
      <c r="CA76" s="1337"/>
      <c r="CB76" s="1337"/>
      <c r="CC76" s="1337"/>
      <c r="CD76" s="1337"/>
      <c r="CE76" s="1337"/>
      <c r="CF76" s="1337"/>
      <c r="CG76" s="1337"/>
      <c r="CH76" s="1337"/>
      <c r="CI76" s="1337"/>
      <c r="CJ76" s="1337"/>
      <c r="CK76" s="1337"/>
      <c r="CL76" s="1337"/>
      <c r="CM76" s="1337"/>
      <c r="CN76" s="1337"/>
      <c r="CO76" s="1337"/>
      <c r="CP76" s="1337"/>
      <c r="CQ76" s="1337"/>
      <c r="CR76" s="1337"/>
      <c r="CS76" s="1337"/>
      <c r="CT76" s="1337"/>
      <c r="CU76" s="1337"/>
      <c r="CV76" s="1337"/>
      <c r="CW76" s="1337"/>
      <c r="CX76" s="1337"/>
      <c r="CY76" s="1337"/>
      <c r="CZ76" s="1337"/>
      <c r="DA76" s="1337"/>
      <c r="DB76" s="1337"/>
      <c r="DC76" s="1337"/>
      <c r="DD76" s="1337"/>
      <c r="DE76" s="1337"/>
      <c r="DF76" s="1337"/>
      <c r="DG76" s="1337"/>
      <c r="DH76" s="1667"/>
      <c r="DI76" s="1649"/>
      <c r="DJ76" s="1649" t="str">
        <f>IF(T76="","",T76)</f>
        <v>Добавить источник для дифференциации</v>
      </c>
      <c r="DK76" s="1649"/>
      <c r="DL76" s="1649"/>
    </row>
    <row s="618" customFormat="1" customHeight="1" ht="0.75">
      <c r="A77" s="1360"/>
      <c r="B77" s="1360"/>
      <c r="C77" s="1360"/>
      <c r="D77" s="1360"/>
      <c r="E77" s="2090">
        <v>1</v>
      </c>
      <c r="F77" s="2089"/>
      <c r="G77" s="1360"/>
      <c r="H77" s="1360"/>
      <c r="I77" s="1360"/>
      <c r="J77" s="1360"/>
      <c r="K77" s="1360"/>
      <c r="L77" s="1568"/>
      <c r="M77" s="1338"/>
      <c r="N77" s="1338"/>
      <c r="O77" s="1667"/>
      <c r="P77" s="1333"/>
      <c r="Q77" s="1361"/>
      <c r="R77" s="1333"/>
      <c r="S77" s="1339"/>
      <c r="T77" s="1340" t="s">
        <v>161</v>
      </c>
      <c r="U77" s="1341"/>
      <c r="V77" s="1341"/>
      <c r="W77" s="1341"/>
      <c r="X77" s="1341"/>
      <c r="Y77" s="1341"/>
      <c r="Z77" s="1341"/>
      <c r="AA77" s="1341"/>
      <c r="AB77" s="1341"/>
      <c r="AC77" s="1341"/>
      <c r="AD77" s="1341"/>
      <c r="AE77" s="1341"/>
      <c r="AF77" s="1341"/>
      <c r="AG77" s="1341"/>
      <c r="AH77" s="1341"/>
      <c r="AI77" s="1341"/>
      <c r="AJ77" s="1341"/>
      <c r="AK77" s="1341"/>
      <c r="AL77" s="1341"/>
      <c r="AM77" s="1341"/>
      <c r="AN77" s="1341"/>
      <c r="AO77" s="1341"/>
      <c r="AP77" s="1341"/>
      <c r="AQ77" s="1341"/>
      <c r="AR77" s="1341"/>
      <c r="AS77" s="1341"/>
      <c r="AT77" s="1341"/>
      <c r="AU77" s="1341"/>
      <c r="AV77" s="1341"/>
      <c r="AW77" s="1341"/>
      <c r="AX77" s="1341"/>
      <c r="AY77" s="1341"/>
      <c r="AZ77" s="1341"/>
      <c r="BA77" s="1341"/>
      <c r="BB77" s="1341"/>
      <c r="BC77" s="1341"/>
      <c r="BD77" s="1341"/>
      <c r="BE77" s="1341"/>
      <c r="BF77" s="1341"/>
      <c r="BG77" s="1341"/>
      <c r="BH77" s="1341"/>
      <c r="BI77" s="1341"/>
      <c r="BJ77" s="1341"/>
      <c r="BK77" s="1341"/>
      <c r="BL77" s="1341"/>
      <c r="BM77" s="1341"/>
      <c r="BN77" s="1341"/>
      <c r="BO77" s="1341"/>
      <c r="BP77" s="1341"/>
      <c r="BQ77" s="1341"/>
      <c r="BR77" s="1341"/>
      <c r="BS77" s="1341"/>
      <c r="BT77" s="1341"/>
      <c r="BU77" s="1341"/>
      <c r="BV77" s="1341"/>
      <c r="BW77" s="1341"/>
      <c r="BX77" s="1341"/>
      <c r="BY77" s="1341"/>
      <c r="BZ77" s="1341"/>
      <c r="CA77" s="1341"/>
      <c r="CB77" s="1341"/>
      <c r="CC77" s="1341"/>
      <c r="CD77" s="1341"/>
      <c r="CE77" s="1341"/>
      <c r="CF77" s="1341"/>
      <c r="CG77" s="1341"/>
      <c r="CH77" s="1341"/>
      <c r="CI77" s="1341"/>
      <c r="CJ77" s="1341"/>
      <c r="CK77" s="1341"/>
      <c r="CL77" s="1341"/>
      <c r="CM77" s="1341"/>
      <c r="CN77" s="1341"/>
      <c r="CO77" s="1341"/>
      <c r="CP77" s="1341"/>
      <c r="CQ77" s="1341"/>
      <c r="CR77" s="1341"/>
      <c r="CS77" s="1341"/>
      <c r="CT77" s="1341"/>
      <c r="CU77" s="1341"/>
      <c r="CV77" s="1341"/>
      <c r="CW77" s="1341"/>
      <c r="CX77" s="1341"/>
      <c r="CY77" s="1341"/>
      <c r="CZ77" s="1341"/>
      <c r="DA77" s="1341"/>
      <c r="DB77" s="1341"/>
      <c r="DC77" s="1341"/>
      <c r="DD77" s="1341"/>
      <c r="DE77" s="1341"/>
      <c r="DF77" s="1341"/>
      <c r="DG77" s="1341"/>
      <c r="DH77" s="1667"/>
      <c r="DI77" s="1649"/>
      <c r="DJ77" s="1649" t="str">
        <f>IF(T77="","",T77)</f>
        <v>Добавить централизованную систему для дифференциации</v>
      </c>
      <c r="DK77" s="1649"/>
      <c r="DL77" s="1649"/>
    </row>
    <row s="618" customFormat="1" customHeight="1" ht="0.75">
      <c r="A78" s="1360"/>
      <c r="B78" s="1360"/>
      <c r="C78" s="1360"/>
      <c r="D78" s="1360"/>
      <c r="E78" s="2089">
        <v>1</v>
      </c>
      <c r="F78" s="1360"/>
      <c r="G78" s="1360"/>
      <c r="H78" s="1360"/>
      <c r="I78" s="1360"/>
      <c r="J78" s="1360"/>
      <c r="K78" s="1360"/>
      <c r="L78" s="1568"/>
      <c r="M78" s="1338"/>
      <c r="N78" s="1338"/>
      <c r="O78" s="1667"/>
      <c r="P78" s="1333"/>
      <c r="Q78" s="1361"/>
      <c r="R78" s="1333"/>
      <c r="S78" s="1339"/>
      <c r="T78" s="1342" t="s">
        <v>162</v>
      </c>
      <c r="U78" s="1341"/>
      <c r="V78" s="1341"/>
      <c r="W78" s="1341"/>
      <c r="X78" s="1341"/>
      <c r="Y78" s="1341"/>
      <c r="Z78" s="1341"/>
      <c r="AA78" s="1341"/>
      <c r="AB78" s="1341"/>
      <c r="AC78" s="1341"/>
      <c r="AD78" s="1341"/>
      <c r="AE78" s="1341"/>
      <c r="AF78" s="1341"/>
      <c r="AG78" s="1341"/>
      <c r="AH78" s="1341"/>
      <c r="AI78" s="1341"/>
      <c r="AJ78" s="1341"/>
      <c r="AK78" s="1341"/>
      <c r="AL78" s="1341"/>
      <c r="AM78" s="1341"/>
      <c r="AN78" s="1341"/>
      <c r="AO78" s="1341"/>
      <c r="AP78" s="1341"/>
      <c r="AQ78" s="1341"/>
      <c r="AR78" s="1341"/>
      <c r="AS78" s="1341"/>
      <c r="AT78" s="1341"/>
      <c r="AU78" s="1341"/>
      <c r="AV78" s="1341"/>
      <c r="AW78" s="1341"/>
      <c r="AX78" s="1341"/>
      <c r="AY78" s="1341"/>
      <c r="AZ78" s="1341"/>
      <c r="BA78" s="1341"/>
      <c r="BB78" s="1341"/>
      <c r="BC78" s="1341"/>
      <c r="BD78" s="1341"/>
      <c r="BE78" s="1341"/>
      <c r="BF78" s="1341"/>
      <c r="BG78" s="1341"/>
      <c r="BH78" s="1341"/>
      <c r="BI78" s="1341"/>
      <c r="BJ78" s="1341"/>
      <c r="BK78" s="1341"/>
      <c r="BL78" s="1341"/>
      <c r="BM78" s="1341"/>
      <c r="BN78" s="1341"/>
      <c r="BO78" s="1341"/>
      <c r="BP78" s="1341"/>
      <c r="BQ78" s="1341"/>
      <c r="BR78" s="1341"/>
      <c r="BS78" s="1341"/>
      <c r="BT78" s="1341"/>
      <c r="BU78" s="1341"/>
      <c r="BV78" s="1341"/>
      <c r="BW78" s="1341"/>
      <c r="BX78" s="1341"/>
      <c r="BY78" s="1341"/>
      <c r="BZ78" s="1341"/>
      <c r="CA78" s="1341"/>
      <c r="CB78" s="1341"/>
      <c r="CC78" s="1341"/>
      <c r="CD78" s="1341"/>
      <c r="CE78" s="1341"/>
      <c r="CF78" s="1341"/>
      <c r="CG78" s="1341"/>
      <c r="CH78" s="1341"/>
      <c r="CI78" s="1341"/>
      <c r="CJ78" s="1341"/>
      <c r="CK78" s="1341"/>
      <c r="CL78" s="1341"/>
      <c r="CM78" s="1341"/>
      <c r="CN78" s="1341"/>
      <c r="CO78" s="1341"/>
      <c r="CP78" s="1341"/>
      <c r="CQ78" s="1341"/>
      <c r="CR78" s="1341"/>
      <c r="CS78" s="1341"/>
      <c r="CT78" s="1341"/>
      <c r="CU78" s="1341"/>
      <c r="CV78" s="1341"/>
      <c r="CW78" s="1341"/>
      <c r="CX78" s="1341"/>
      <c r="CY78" s="1341"/>
      <c r="CZ78" s="1341"/>
      <c r="DA78" s="1341"/>
      <c r="DB78" s="1341"/>
      <c r="DC78" s="1341"/>
      <c r="DD78" s="1341"/>
      <c r="DE78" s="1341"/>
      <c r="DF78" s="1341"/>
      <c r="DG78" s="1341"/>
      <c r="DH78" s="1667"/>
      <c r="DI78" s="1649"/>
      <c r="DJ78" s="1649" t="str">
        <f>IF(T78="","",T78)</f>
        <v>Добавить территорию для дифференциации</v>
      </c>
      <c r="DK78" s="1649"/>
      <c r="DL78" s="1649"/>
    </row>
    <row s="2437" customFormat="1" customHeight="1" ht="21">
      <c r="A79" s="1380" t="s">
        <v>170</v>
      </c>
      <c r="B79" s="1380"/>
      <c r="C79" s="1380"/>
      <c r="D79" s="1380"/>
      <c r="E79" s="2089" t="s">
        <v>89</v>
      </c>
      <c r="F79" s="1380"/>
      <c r="G79" s="1380"/>
      <c r="H79" s="1380"/>
      <c r="I79" s="1380"/>
      <c r="J79" s="1380"/>
      <c r="K79" s="1380"/>
      <c r="L79" s="1386"/>
      <c r="M79" s="1382"/>
      <c r="N79" s="1382"/>
      <c r="O79" s="1382"/>
      <c r="P79" s="2216"/>
      <c r="Q79" s="1848"/>
      <c r="R79" s="343"/>
      <c r="S79" s="2107" t="str">
        <f>INDEX(PT_DIFFERENTIATION_NUM_NTAR,MATCH(A79,PT_DIFFERENTIATION_NTAR_ID,0))</f>
        <v>3</v>
      </c>
      <c r="T79" s="1542" t="s">
        <v>122</v>
      </c>
      <c r="U79" s="280"/>
      <c r="V79" s="2083"/>
      <c r="W79" s="2084"/>
      <c r="X79" s="2084"/>
      <c r="Y79" s="2084"/>
      <c r="Z79" s="2084"/>
      <c r="AA79" s="2084"/>
      <c r="AB79" s="2084"/>
      <c r="AC79" s="2085"/>
      <c r="AD79" s="2083" t="str">
        <f>INDEX(PT_DIFFERENTIATION_NTAR,MATCH(A79,PT_DIFFERENTIATION_NTAR_ID,0))</f>
        <v>Тариф на тепловую энергию (мощность), поставляемую ПАО "ТГК-1" теплоснабжающим, теплосетевым организациям, приобретающим тепловую энергию с целью компенсации потерь тепловой энергии</v>
      </c>
      <c r="AE79" s="2084"/>
      <c r="AF79" s="2084"/>
      <c r="AG79" s="2084"/>
      <c r="AH79" s="2084"/>
      <c r="AI79" s="2084"/>
      <c r="AJ79" s="2084"/>
      <c r="AK79" s="2084"/>
      <c r="AL79" s="2083"/>
      <c r="AM79" s="2084"/>
      <c r="AN79" s="2084"/>
      <c r="AO79" s="2084"/>
      <c r="AP79" s="2084"/>
      <c r="AQ79" s="2084"/>
      <c r="AR79" s="2084"/>
      <c r="AS79" s="2085"/>
      <c r="AT79" s="2083"/>
      <c r="AU79" s="2084"/>
      <c r="AV79" s="2084"/>
      <c r="AW79" s="2084"/>
      <c r="AX79" s="2084"/>
      <c r="AY79" s="2084"/>
      <c r="AZ79" s="2084"/>
      <c r="BA79" s="2085"/>
      <c r="BB79" s="2083"/>
      <c r="BC79" s="2084"/>
      <c r="BD79" s="2084"/>
      <c r="BE79" s="2084"/>
      <c r="BF79" s="2084"/>
      <c r="BG79" s="2084"/>
      <c r="BH79" s="2084"/>
      <c r="BI79" s="2085"/>
      <c r="BJ79" s="2083"/>
      <c r="BK79" s="2084"/>
      <c r="BL79" s="2084"/>
      <c r="BM79" s="2084"/>
      <c r="BN79" s="2084"/>
      <c r="BO79" s="2084"/>
      <c r="BP79" s="2084"/>
      <c r="BQ79" s="2085"/>
      <c r="BR79" s="2083"/>
      <c r="BS79" s="2084"/>
      <c r="BT79" s="2084"/>
      <c r="BU79" s="2084"/>
      <c r="BV79" s="2084"/>
      <c r="BW79" s="2084"/>
      <c r="BX79" s="2084"/>
      <c r="BY79" s="2085"/>
      <c r="BZ79" s="2083"/>
      <c r="CA79" s="2084"/>
      <c r="CB79" s="2084"/>
      <c r="CC79" s="2084"/>
      <c r="CD79" s="2084"/>
      <c r="CE79" s="2084"/>
      <c r="CF79" s="2084"/>
      <c r="CG79" s="2085"/>
      <c r="CH79" s="2083"/>
      <c r="CI79" s="2084"/>
      <c r="CJ79" s="2084"/>
      <c r="CK79" s="2084"/>
      <c r="CL79" s="2084"/>
      <c r="CM79" s="2084"/>
      <c r="CN79" s="2084"/>
      <c r="CO79" s="2085"/>
      <c r="CP79" s="2083"/>
      <c r="CQ79" s="2084"/>
      <c r="CR79" s="2084"/>
      <c r="CS79" s="2084"/>
      <c r="CT79" s="2084"/>
      <c r="CU79" s="2084"/>
      <c r="CV79" s="2084"/>
      <c r="CW79" s="2085"/>
      <c r="CX79" s="2083"/>
      <c r="CY79" s="2084"/>
      <c r="CZ79" s="2084"/>
      <c r="DA79" s="2084"/>
      <c r="DB79" s="2084"/>
      <c r="DC79" s="2084"/>
      <c r="DD79" s="2084"/>
      <c r="DE79" s="2085"/>
      <c r="DF79" s="2085"/>
      <c r="DG79" s="1273" t="s">
        <v>410</v>
      </c>
      <c r="DH79" s="1667"/>
      <c r="DI79" s="1649"/>
      <c r="DJ79" s="1649" t="str">
        <f>IF(T79="","",T79)</f>
        <v>Наименование тарифа</v>
      </c>
      <c r="DK79" s="1649"/>
      <c r="DL79" s="1649"/>
    </row>
    <row s="2437" customFormat="1" customHeight="1" ht="21">
      <c r="A80" s="1380"/>
      <c r="B80" s="1380" t="s">
        <v>171</v>
      </c>
      <c r="C80" s="1380"/>
      <c r="D80" s="1380"/>
      <c r="E80" s="2090" t="s">
        <v>109</v>
      </c>
      <c r="F80" s="2089">
        <v>1</v>
      </c>
      <c r="G80" s="1380"/>
      <c r="H80" s="1380"/>
      <c r="I80" s="1380"/>
      <c r="J80" s="1380"/>
      <c r="K80" s="1380"/>
      <c r="L80" s="1386"/>
      <c r="M80" s="1382"/>
      <c r="N80" s="1382"/>
      <c r="O80" s="1382"/>
      <c r="P80" s="1951"/>
      <c r="Q80" s="340"/>
      <c r="R80" s="341"/>
      <c r="S80" s="2107" t="str">
        <f>INDEX(PT_DIFFERENTIATION_NUM_TER,MATCH(B80,PT_DIFFERENTIATION_TER_ID,0))</f>
        <v>3.1</v>
      </c>
      <c r="T80" s="1539" t="s">
        <v>411</v>
      </c>
      <c r="U80" s="280"/>
      <c r="V80" s="2083"/>
      <c r="W80" s="2084"/>
      <c r="X80" s="2084"/>
      <c r="Y80" s="2084"/>
      <c r="Z80" s="2084"/>
      <c r="AA80" s="2084"/>
      <c r="AB80" s="2084"/>
      <c r="AC80" s="2085"/>
      <c r="AD80" s="2083" t="str">
        <f>INDEX(PT_DIFFERENTIATION_TER,MATCH(B80,PT_DIFFERENTIATION_TER_ID,0))</f>
        <v>без дифференциации</v>
      </c>
      <c r="AE80" s="2084"/>
      <c r="AF80" s="2084"/>
      <c r="AG80" s="2084"/>
      <c r="AH80" s="2084"/>
      <c r="AI80" s="2084"/>
      <c r="AJ80" s="2084"/>
      <c r="AK80" s="2084"/>
      <c r="AL80" s="2083"/>
      <c r="AM80" s="2084"/>
      <c r="AN80" s="2084"/>
      <c r="AO80" s="2084"/>
      <c r="AP80" s="2084"/>
      <c r="AQ80" s="2084"/>
      <c r="AR80" s="2084"/>
      <c r="AS80" s="2085"/>
      <c r="AT80" s="2083"/>
      <c r="AU80" s="2084"/>
      <c r="AV80" s="2084"/>
      <c r="AW80" s="2084"/>
      <c r="AX80" s="2084"/>
      <c r="AY80" s="2084"/>
      <c r="AZ80" s="2084"/>
      <c r="BA80" s="2085"/>
      <c r="BB80" s="2083"/>
      <c r="BC80" s="2084"/>
      <c r="BD80" s="2084"/>
      <c r="BE80" s="2084"/>
      <c r="BF80" s="2084"/>
      <c r="BG80" s="2084"/>
      <c r="BH80" s="2084"/>
      <c r="BI80" s="2085"/>
      <c r="BJ80" s="2083"/>
      <c r="BK80" s="2084"/>
      <c r="BL80" s="2084"/>
      <c r="BM80" s="2084"/>
      <c r="BN80" s="2084"/>
      <c r="BO80" s="2084"/>
      <c r="BP80" s="2084"/>
      <c r="BQ80" s="2085"/>
      <c r="BR80" s="2083"/>
      <c r="BS80" s="2084"/>
      <c r="BT80" s="2084"/>
      <c r="BU80" s="2084"/>
      <c r="BV80" s="2084"/>
      <c r="BW80" s="2084"/>
      <c r="BX80" s="2084"/>
      <c r="BY80" s="2085"/>
      <c r="BZ80" s="2083"/>
      <c r="CA80" s="2084"/>
      <c r="CB80" s="2084"/>
      <c r="CC80" s="2084"/>
      <c r="CD80" s="2084"/>
      <c r="CE80" s="2084"/>
      <c r="CF80" s="2084"/>
      <c r="CG80" s="2085"/>
      <c r="CH80" s="2083"/>
      <c r="CI80" s="2084"/>
      <c r="CJ80" s="2084"/>
      <c r="CK80" s="2084"/>
      <c r="CL80" s="2084"/>
      <c r="CM80" s="2084"/>
      <c r="CN80" s="2084"/>
      <c r="CO80" s="2085"/>
      <c r="CP80" s="2083"/>
      <c r="CQ80" s="2084"/>
      <c r="CR80" s="2084"/>
      <c r="CS80" s="2084"/>
      <c r="CT80" s="2084"/>
      <c r="CU80" s="2084"/>
      <c r="CV80" s="2084"/>
      <c r="CW80" s="2085"/>
      <c r="CX80" s="2083"/>
      <c r="CY80" s="2084"/>
      <c r="CZ80" s="2084"/>
      <c r="DA80" s="2084"/>
      <c r="DB80" s="2084"/>
      <c r="DC80" s="2084"/>
      <c r="DD80" s="2084"/>
      <c r="DE80" s="2085"/>
      <c r="DF80" s="2085"/>
      <c r="DG80" s="1273" t="s">
        <v>412</v>
      </c>
      <c r="DH80" s="1667"/>
      <c r="DI80" s="1649"/>
      <c r="DJ80" s="1649" t="str">
        <f>IF(T80="","",T80)</f>
        <v>Территория действия тарифа</v>
      </c>
      <c r="DK80" s="1649"/>
      <c r="DL80" s="1649"/>
    </row>
    <row s="2437" customFormat="1" customHeight="1" ht="23.25">
      <c r="A81" s="1380"/>
      <c r="B81" s="1380"/>
      <c r="C81" s="1380" t="s">
        <v>172</v>
      </c>
      <c r="D81" s="1380"/>
      <c r="E81" s="2090" t="s">
        <v>109</v>
      </c>
      <c r="F81" s="2090"/>
      <c r="G81" s="2089">
        <v>1</v>
      </c>
      <c r="H81" s="1380"/>
      <c r="I81" s="1380"/>
      <c r="J81" s="1380"/>
      <c r="K81" s="1380"/>
      <c r="L81" s="1386"/>
      <c r="M81" s="1382"/>
      <c r="N81" s="1382"/>
      <c r="O81" s="1382"/>
      <c r="P81" s="342"/>
      <c r="Q81" s="340"/>
      <c r="R81" s="341"/>
      <c r="S81" s="2107" t="str">
        <f>INDEX(PT_DIFFERENTIATION_NUM_CS,MATCH(C81,PT_DIFFERENTIATION_CS_ID,0))</f>
        <v>3.1.1</v>
      </c>
      <c r="T81" s="291" t="s">
        <v>413</v>
      </c>
      <c r="U81" s="280"/>
      <c r="V81" s="2083"/>
      <c r="W81" s="2084"/>
      <c r="X81" s="2084"/>
      <c r="Y81" s="2084"/>
      <c r="Z81" s="2084"/>
      <c r="AA81" s="2084"/>
      <c r="AB81" s="2084"/>
      <c r="AC81" s="2085"/>
      <c r="AD81" s="2083" t="str">
        <f>INDEX(PT_DIFFERENTIATION_CS,MATCH(C81,PT_DIFFERENTIATION_CS_ID,0))</f>
        <v>без дифференциации</v>
      </c>
      <c r="AE81" s="2084"/>
      <c r="AF81" s="2084"/>
      <c r="AG81" s="2084"/>
      <c r="AH81" s="2084"/>
      <c r="AI81" s="2084"/>
      <c r="AJ81" s="2084"/>
      <c r="AK81" s="2084"/>
      <c r="AL81" s="2083"/>
      <c r="AM81" s="2084"/>
      <c r="AN81" s="2084"/>
      <c r="AO81" s="2084"/>
      <c r="AP81" s="2084"/>
      <c r="AQ81" s="2084"/>
      <c r="AR81" s="2084"/>
      <c r="AS81" s="2085"/>
      <c r="AT81" s="2083"/>
      <c r="AU81" s="2084"/>
      <c r="AV81" s="2084"/>
      <c r="AW81" s="2084"/>
      <c r="AX81" s="2084"/>
      <c r="AY81" s="2084"/>
      <c r="AZ81" s="2084"/>
      <c r="BA81" s="2085"/>
      <c r="BB81" s="2083"/>
      <c r="BC81" s="2084"/>
      <c r="BD81" s="2084"/>
      <c r="BE81" s="2084"/>
      <c r="BF81" s="2084"/>
      <c r="BG81" s="2084"/>
      <c r="BH81" s="2084"/>
      <c r="BI81" s="2085"/>
      <c r="BJ81" s="2083"/>
      <c r="BK81" s="2084"/>
      <c r="BL81" s="2084"/>
      <c r="BM81" s="2084"/>
      <c r="BN81" s="2084"/>
      <c r="BO81" s="2084"/>
      <c r="BP81" s="2084"/>
      <c r="BQ81" s="2085"/>
      <c r="BR81" s="2083"/>
      <c r="BS81" s="2084"/>
      <c r="BT81" s="2084"/>
      <c r="BU81" s="2084"/>
      <c r="BV81" s="2084"/>
      <c r="BW81" s="2084"/>
      <c r="BX81" s="2084"/>
      <c r="BY81" s="2085"/>
      <c r="BZ81" s="2083"/>
      <c r="CA81" s="2084"/>
      <c r="CB81" s="2084"/>
      <c r="CC81" s="2084"/>
      <c r="CD81" s="2084"/>
      <c r="CE81" s="2084"/>
      <c r="CF81" s="2084"/>
      <c r="CG81" s="2085"/>
      <c r="CH81" s="2083"/>
      <c r="CI81" s="2084"/>
      <c r="CJ81" s="2084"/>
      <c r="CK81" s="2084"/>
      <c r="CL81" s="2084"/>
      <c r="CM81" s="2084"/>
      <c r="CN81" s="2084"/>
      <c r="CO81" s="2085"/>
      <c r="CP81" s="2083"/>
      <c r="CQ81" s="2084"/>
      <c r="CR81" s="2084"/>
      <c r="CS81" s="2084"/>
      <c r="CT81" s="2084"/>
      <c r="CU81" s="2084"/>
      <c r="CV81" s="2084"/>
      <c r="CW81" s="2085"/>
      <c r="CX81" s="2083"/>
      <c r="CY81" s="2084"/>
      <c r="CZ81" s="2084"/>
      <c r="DA81" s="2084"/>
      <c r="DB81" s="2084"/>
      <c r="DC81" s="2084"/>
      <c r="DD81" s="2084"/>
      <c r="DE81" s="2085"/>
      <c r="DF81" s="2085"/>
      <c r="DG81" s="1273" t="s">
        <v>414</v>
      </c>
      <c r="DH81" s="1667"/>
      <c r="DI81" s="1649"/>
      <c r="DJ81" s="1649" t="str">
        <f>IF(T81="","",T81)</f>
        <v>Наименование системы теплоснабжения </v>
      </c>
      <c r="DK81" s="1649"/>
      <c r="DL81" s="1649"/>
    </row>
    <row s="2437" customFormat="1" customHeight="1" ht="21">
      <c r="A82" s="1380"/>
      <c r="B82" s="1380"/>
      <c r="C82" s="1380"/>
      <c r="D82" s="1380" t="s">
        <v>173</v>
      </c>
      <c r="E82" s="2090" t="s">
        <v>109</v>
      </c>
      <c r="F82" s="2090"/>
      <c r="G82" s="2090"/>
      <c r="H82" s="2089">
        <v>1</v>
      </c>
      <c r="I82" s="1380"/>
      <c r="J82" s="1380"/>
      <c r="K82" s="1380"/>
      <c r="L82" s="1386"/>
      <c r="M82" s="1382"/>
      <c r="N82" s="1382"/>
      <c r="O82" s="1382"/>
      <c r="P82" s="342"/>
      <c r="Q82" s="340"/>
      <c r="R82" s="341"/>
      <c r="S82" s="2107" t="str">
        <f>INDEX(PT_DIFFERENTIATION_NUM_IST_TE,MATCH(D82,PT_DIFFERENTIATION_IST_TE_ID,0))</f>
        <v>3.1.1.1</v>
      </c>
      <c r="T82" s="292" t="s">
        <v>415</v>
      </c>
      <c r="U82" s="280"/>
      <c r="V82" s="2083"/>
      <c r="W82" s="2084"/>
      <c r="X82" s="2084"/>
      <c r="Y82" s="2084"/>
      <c r="Z82" s="2084"/>
      <c r="AA82" s="2084"/>
      <c r="AB82" s="2084"/>
      <c r="AC82" s="2085"/>
      <c r="AD82" s="2083" t="str">
        <f>INDEX(PT_DIFFERENTIATION_IST_TE,MATCH(D82,PT_DIFFERENTIATION_IST_TE_ID,0))</f>
        <v>без дифференциации</v>
      </c>
      <c r="AE82" s="2084"/>
      <c r="AF82" s="2084"/>
      <c r="AG82" s="2084"/>
      <c r="AH82" s="2084"/>
      <c r="AI82" s="2084"/>
      <c r="AJ82" s="2084"/>
      <c r="AK82" s="2084"/>
      <c r="AL82" s="2083"/>
      <c r="AM82" s="2084"/>
      <c r="AN82" s="2084"/>
      <c r="AO82" s="2084"/>
      <c r="AP82" s="2084"/>
      <c r="AQ82" s="2084"/>
      <c r="AR82" s="2084"/>
      <c r="AS82" s="2085"/>
      <c r="AT82" s="2083"/>
      <c r="AU82" s="2084"/>
      <c r="AV82" s="2084"/>
      <c r="AW82" s="2084"/>
      <c r="AX82" s="2084"/>
      <c r="AY82" s="2084"/>
      <c r="AZ82" s="2084"/>
      <c r="BA82" s="2085"/>
      <c r="BB82" s="2083"/>
      <c r="BC82" s="2084"/>
      <c r="BD82" s="2084"/>
      <c r="BE82" s="2084"/>
      <c r="BF82" s="2084"/>
      <c r="BG82" s="2084"/>
      <c r="BH82" s="2084"/>
      <c r="BI82" s="2085"/>
      <c r="BJ82" s="2083"/>
      <c r="BK82" s="2084"/>
      <c r="BL82" s="2084"/>
      <c r="BM82" s="2084"/>
      <c r="BN82" s="2084"/>
      <c r="BO82" s="2084"/>
      <c r="BP82" s="2084"/>
      <c r="BQ82" s="2085"/>
      <c r="BR82" s="2083"/>
      <c r="BS82" s="2084"/>
      <c r="BT82" s="2084"/>
      <c r="BU82" s="2084"/>
      <c r="BV82" s="2084"/>
      <c r="BW82" s="2084"/>
      <c r="BX82" s="2084"/>
      <c r="BY82" s="2085"/>
      <c r="BZ82" s="2083"/>
      <c r="CA82" s="2084"/>
      <c r="CB82" s="2084"/>
      <c r="CC82" s="2084"/>
      <c r="CD82" s="2084"/>
      <c r="CE82" s="2084"/>
      <c r="CF82" s="2084"/>
      <c r="CG82" s="2085"/>
      <c r="CH82" s="2083"/>
      <c r="CI82" s="2084"/>
      <c r="CJ82" s="2084"/>
      <c r="CK82" s="2084"/>
      <c r="CL82" s="2084"/>
      <c r="CM82" s="2084"/>
      <c r="CN82" s="2084"/>
      <c r="CO82" s="2085"/>
      <c r="CP82" s="2083"/>
      <c r="CQ82" s="2084"/>
      <c r="CR82" s="2084"/>
      <c r="CS82" s="2084"/>
      <c r="CT82" s="2084"/>
      <c r="CU82" s="2084"/>
      <c r="CV82" s="2084"/>
      <c r="CW82" s="2085"/>
      <c r="CX82" s="2083"/>
      <c r="CY82" s="2084"/>
      <c r="CZ82" s="2084"/>
      <c r="DA82" s="2084"/>
      <c r="DB82" s="2084"/>
      <c r="DC82" s="2084"/>
      <c r="DD82" s="2084"/>
      <c r="DE82" s="2085"/>
      <c r="DF82" s="2085"/>
      <c r="DG82" s="1273" t="s">
        <v>416</v>
      </c>
      <c r="DH82" s="1667"/>
      <c r="DI82" s="1649"/>
      <c r="DJ82" s="1649" t="str">
        <f>IF(T82="","",T82)</f>
        <v>Источник тепловой энергии  </v>
      </c>
      <c r="DK82" s="1649"/>
      <c r="DL82" s="1649"/>
    </row>
    <row s="2437" customFormat="1" customHeight="1" ht="47.25">
      <c r="A83" s="1380"/>
      <c r="B83" s="1380"/>
      <c r="C83" s="1380"/>
      <c r="D83" s="1380"/>
      <c r="E83" s="2090" t="s">
        <v>109</v>
      </c>
      <c r="F83" s="2090"/>
      <c r="G83" s="2090"/>
      <c r="H83" s="2090"/>
      <c r="I83" s="2091" t="str">
        <f>S82&amp;".1"</f>
        <v>3.1.1.1.1</v>
      </c>
      <c r="J83" s="1380"/>
      <c r="K83" s="1380"/>
      <c r="L83" s="1386" t="s">
        <v>417</v>
      </c>
      <c r="M83" s="1383"/>
      <c r="N83" s="1801"/>
      <c r="O83" s="1801"/>
      <c r="P83" s="2205">
        <v>1</v>
      </c>
      <c r="Q83" s="2205"/>
      <c r="R83" s="344"/>
      <c r="S83" s="2107" t="str">
        <f>$I83</f>
        <v>3.1.1.1.1</v>
      </c>
      <c r="T83" s="266" t="s">
        <v>418</v>
      </c>
      <c r="U83" s="280"/>
      <c r="V83" s="2077"/>
      <c r="W83" s="2078"/>
      <c r="X83" s="2078"/>
      <c r="Y83" s="2078"/>
      <c r="Z83" s="2078"/>
      <c r="AA83" s="2078"/>
      <c r="AB83" s="2078"/>
      <c r="AC83" s="2079"/>
      <c r="AD83" s="2077" t="s">
        <v>459</v>
      </c>
      <c r="AE83" s="2078"/>
      <c r="AF83" s="2078"/>
      <c r="AG83" s="2078"/>
      <c r="AH83" s="2078"/>
      <c r="AI83" s="2078"/>
      <c r="AJ83" s="2078"/>
      <c r="AK83" s="2078"/>
      <c r="AL83" s="2077"/>
      <c r="AM83" s="2078"/>
      <c r="AN83" s="2078"/>
      <c r="AO83" s="2078"/>
      <c r="AP83" s="2078"/>
      <c r="AQ83" s="2078"/>
      <c r="AR83" s="2078"/>
      <c r="AS83" s="2079"/>
      <c r="AT83" s="2077"/>
      <c r="AU83" s="2078"/>
      <c r="AV83" s="2078"/>
      <c r="AW83" s="2078"/>
      <c r="AX83" s="2078"/>
      <c r="AY83" s="2078"/>
      <c r="AZ83" s="2078"/>
      <c r="BA83" s="2079"/>
      <c r="BB83" s="2077"/>
      <c r="BC83" s="2078"/>
      <c r="BD83" s="2078"/>
      <c r="BE83" s="2078"/>
      <c r="BF83" s="2078"/>
      <c r="BG83" s="2078"/>
      <c r="BH83" s="2078"/>
      <c r="BI83" s="2079"/>
      <c r="BJ83" s="2077"/>
      <c r="BK83" s="2078"/>
      <c r="BL83" s="2078"/>
      <c r="BM83" s="2078"/>
      <c r="BN83" s="2078"/>
      <c r="BO83" s="2078"/>
      <c r="BP83" s="2078"/>
      <c r="BQ83" s="2079"/>
      <c r="BR83" s="2077"/>
      <c r="BS83" s="2078"/>
      <c r="BT83" s="2078"/>
      <c r="BU83" s="2078"/>
      <c r="BV83" s="2078"/>
      <c r="BW83" s="2078"/>
      <c r="BX83" s="2078"/>
      <c r="BY83" s="2079"/>
      <c r="BZ83" s="2077"/>
      <c r="CA83" s="2078"/>
      <c r="CB83" s="2078"/>
      <c r="CC83" s="2078"/>
      <c r="CD83" s="2078"/>
      <c r="CE83" s="2078"/>
      <c r="CF83" s="2078"/>
      <c r="CG83" s="2079"/>
      <c r="CH83" s="2077"/>
      <c r="CI83" s="2078"/>
      <c r="CJ83" s="2078"/>
      <c r="CK83" s="2078"/>
      <c r="CL83" s="2078"/>
      <c r="CM83" s="2078"/>
      <c r="CN83" s="2078"/>
      <c r="CO83" s="2079"/>
      <c r="CP83" s="2077"/>
      <c r="CQ83" s="2078"/>
      <c r="CR83" s="2078"/>
      <c r="CS83" s="2078"/>
      <c r="CT83" s="2078"/>
      <c r="CU83" s="2078"/>
      <c r="CV83" s="2078"/>
      <c r="CW83" s="2079"/>
      <c r="CX83" s="2077"/>
      <c r="CY83" s="2078"/>
      <c r="CZ83" s="2078"/>
      <c r="DA83" s="2078"/>
      <c r="DB83" s="2078"/>
      <c r="DC83" s="2078"/>
      <c r="DD83" s="2078"/>
      <c r="DE83" s="2079"/>
      <c r="DF83" s="2079"/>
      <c r="DG83" s="1273" t="s">
        <v>419</v>
      </c>
      <c r="DH83" s="1667"/>
      <c r="DI83" s="1649"/>
      <c r="DJ83" s="1649" t="str">
        <f>IF(T83="","",T83)</f>
        <v>Схема подключения теплопотребляющей установки к коллектору источника тепловой энергии</v>
      </c>
      <c r="DK83" s="1649"/>
      <c r="DL83" s="1649"/>
    </row>
    <row s="2437" customFormat="1" customHeight="1" ht="21">
      <c r="A84" s="1380"/>
      <c r="B84" s="1380"/>
      <c r="C84" s="1380"/>
      <c r="D84" s="1380"/>
      <c r="E84" s="2090" t="s">
        <v>109</v>
      </c>
      <c r="F84" s="2090"/>
      <c r="G84" s="2090"/>
      <c r="H84" s="2090"/>
      <c r="I84" s="2092"/>
      <c r="J84" s="2091" t="str">
        <f>I83&amp;".1"</f>
        <v>3.1.1.1.1.1</v>
      </c>
      <c r="K84" s="1380"/>
      <c r="L84" s="1386" t="s">
        <v>420</v>
      </c>
      <c r="M84" s="1383"/>
      <c r="N84" s="1383"/>
      <c r="O84" s="1801"/>
      <c r="P84" s="2205"/>
      <c r="Q84" s="2205">
        <v>1</v>
      </c>
      <c r="R84" s="345"/>
      <c r="S84" s="2107" t="str">
        <f>$J84</f>
        <v>3.1.1.1.1.1</v>
      </c>
      <c r="T84" s="267" t="s">
        <v>421</v>
      </c>
      <c r="U84" s="280"/>
      <c r="V84" s="2077"/>
      <c r="W84" s="2078"/>
      <c r="X84" s="2078"/>
      <c r="Y84" s="2078"/>
      <c r="Z84" s="2078"/>
      <c r="AA84" s="2078"/>
      <c r="AB84" s="2078"/>
      <c r="AC84" s="2079"/>
      <c r="AD84" s="2077" t="s">
        <v>459</v>
      </c>
      <c r="AE84" s="2078"/>
      <c r="AF84" s="2078"/>
      <c r="AG84" s="2078"/>
      <c r="AH84" s="2078"/>
      <c r="AI84" s="2078"/>
      <c r="AJ84" s="2078"/>
      <c r="AK84" s="2078"/>
      <c r="AL84" s="2077"/>
      <c r="AM84" s="2078"/>
      <c r="AN84" s="2078"/>
      <c r="AO84" s="2078"/>
      <c r="AP84" s="2078"/>
      <c r="AQ84" s="2078"/>
      <c r="AR84" s="2078"/>
      <c r="AS84" s="2079"/>
      <c r="AT84" s="2077"/>
      <c r="AU84" s="2078"/>
      <c r="AV84" s="2078"/>
      <c r="AW84" s="2078"/>
      <c r="AX84" s="2078"/>
      <c r="AY84" s="2078"/>
      <c r="AZ84" s="2078"/>
      <c r="BA84" s="2079"/>
      <c r="BB84" s="2077"/>
      <c r="BC84" s="2078"/>
      <c r="BD84" s="2078"/>
      <c r="BE84" s="2078"/>
      <c r="BF84" s="2078"/>
      <c r="BG84" s="2078"/>
      <c r="BH84" s="2078"/>
      <c r="BI84" s="2079"/>
      <c r="BJ84" s="2077"/>
      <c r="BK84" s="2078"/>
      <c r="BL84" s="2078"/>
      <c r="BM84" s="2078"/>
      <c r="BN84" s="2078"/>
      <c r="BO84" s="2078"/>
      <c r="BP84" s="2078"/>
      <c r="BQ84" s="2079"/>
      <c r="BR84" s="2077"/>
      <c r="BS84" s="2078"/>
      <c r="BT84" s="2078"/>
      <c r="BU84" s="2078"/>
      <c r="BV84" s="2078"/>
      <c r="BW84" s="2078"/>
      <c r="BX84" s="2078"/>
      <c r="BY84" s="2079"/>
      <c r="BZ84" s="2077"/>
      <c r="CA84" s="2078"/>
      <c r="CB84" s="2078"/>
      <c r="CC84" s="2078"/>
      <c r="CD84" s="2078"/>
      <c r="CE84" s="2078"/>
      <c r="CF84" s="2078"/>
      <c r="CG84" s="2079"/>
      <c r="CH84" s="2077"/>
      <c r="CI84" s="2078"/>
      <c r="CJ84" s="2078"/>
      <c r="CK84" s="2078"/>
      <c r="CL84" s="2078"/>
      <c r="CM84" s="2078"/>
      <c r="CN84" s="2078"/>
      <c r="CO84" s="2079"/>
      <c r="CP84" s="2077"/>
      <c r="CQ84" s="2078"/>
      <c r="CR84" s="2078"/>
      <c r="CS84" s="2078"/>
      <c r="CT84" s="2078"/>
      <c r="CU84" s="2078"/>
      <c r="CV84" s="2078"/>
      <c r="CW84" s="2079"/>
      <c r="CX84" s="2077"/>
      <c r="CY84" s="2078"/>
      <c r="CZ84" s="2078"/>
      <c r="DA84" s="2078"/>
      <c r="DB84" s="2078"/>
      <c r="DC84" s="2078"/>
      <c r="DD84" s="2078"/>
      <c r="DE84" s="2079"/>
      <c r="DF84" s="2079"/>
      <c r="DG84" s="1273" t="s">
        <v>422</v>
      </c>
      <c r="DH84" s="1667"/>
      <c r="DI84" s="1649"/>
      <c r="DJ84" s="1649" t="str">
        <f>IF(T84="","",T84)</f>
        <v>Группа потребителей</v>
      </c>
      <c r="DK84" s="1649"/>
      <c r="DL84" s="1649"/>
    </row>
    <row s="2437" customFormat="1" customHeight="1" ht="21">
      <c r="A85" s="1380"/>
      <c r="B85" s="1380"/>
      <c r="C85" s="1380"/>
      <c r="D85" s="1380"/>
      <c r="E85" s="2090" t="s">
        <v>109</v>
      </c>
      <c r="F85" s="2090"/>
      <c r="G85" s="2090"/>
      <c r="H85" s="2090"/>
      <c r="I85" s="2092"/>
      <c r="J85" s="2092"/>
      <c r="K85" s="2091" t="str">
        <f>J84&amp;".1"</f>
        <v>3.1.1.1.1.1.1</v>
      </c>
      <c r="L85" s="1386" t="s">
        <v>423</v>
      </c>
      <c r="M85" s="1383"/>
      <c r="N85" s="1383"/>
      <c r="O85" s="1383"/>
      <c r="P85" s="2205"/>
      <c r="Q85" s="2205"/>
      <c r="R85" s="345">
        <v>1</v>
      </c>
      <c r="S85" s="2107" t="str">
        <f>$K85</f>
        <v>3.1.1.1.1.1.1</v>
      </c>
      <c r="T85" s="1364" t="s">
        <v>460</v>
      </c>
      <c r="U85" s="280"/>
      <c r="V85" s="746"/>
      <c r="W85" s="312"/>
      <c r="X85" s="746"/>
      <c r="Y85" s="1272"/>
      <c r="Z85" s="2425"/>
      <c r="AA85" s="1963" t="s">
        <v>61</v>
      </c>
      <c r="AB85" s="2425"/>
      <c r="AC85" s="1963" t="s">
        <v>61</v>
      </c>
      <c r="AD85" s="746">
        <v>1368.99</v>
      </c>
      <c r="AE85" s="312"/>
      <c r="AF85" s="746"/>
      <c r="AG85" s="1272"/>
      <c r="AH85" s="2425">
        <v>45292.64501157407</v>
      </c>
      <c r="AI85" s="1963" t="s">
        <v>61</v>
      </c>
      <c r="AJ85" s="2425">
        <v>45473.64508101852</v>
      </c>
      <c r="AK85" s="1963" t="s">
        <v>61</v>
      </c>
      <c r="AL85" s="746">
        <v>1468.64</v>
      </c>
      <c r="AM85" s="312"/>
      <c r="AN85" s="746"/>
      <c r="AO85" s="1272"/>
      <c r="AP85" s="2425">
        <v>45474.64596064815</v>
      </c>
      <c r="AQ85" s="1963" t="s">
        <v>61</v>
      </c>
      <c r="AR85" s="2425">
        <v>45657.64603009259</v>
      </c>
      <c r="AS85" s="1963" t="s">
        <v>61</v>
      </c>
      <c r="AT85" s="746">
        <v>1468.64</v>
      </c>
      <c r="AU85" s="312"/>
      <c r="AV85" s="746"/>
      <c r="AW85" s="1272"/>
      <c r="AX85" s="2425">
        <v>45658.64628472222</v>
      </c>
      <c r="AY85" s="1963" t="s">
        <v>61</v>
      </c>
      <c r="AZ85" s="2425">
        <v>45838.64641203704</v>
      </c>
      <c r="BA85" s="1963" t="s">
        <v>61</v>
      </c>
      <c r="BB85" s="746">
        <v>1591.98</v>
      </c>
      <c r="BC85" s="312"/>
      <c r="BD85" s="746"/>
      <c r="BE85" s="1272"/>
      <c r="BF85" s="2425">
        <v>45839.64672453704</v>
      </c>
      <c r="BG85" s="1963" t="s">
        <v>61</v>
      </c>
      <c r="BH85" s="2425">
        <v>46022.646840277775</v>
      </c>
      <c r="BI85" s="1963" t="s">
        <v>61</v>
      </c>
      <c r="BJ85" s="746">
        <v>1591.98</v>
      </c>
      <c r="BK85" s="312"/>
      <c r="BL85" s="746"/>
      <c r="BM85" s="1272"/>
      <c r="BN85" s="2425">
        <v>46023.64710648148</v>
      </c>
      <c r="BO85" s="1963" t="s">
        <v>61</v>
      </c>
      <c r="BP85" s="2425">
        <v>46203.64722222222</v>
      </c>
      <c r="BQ85" s="1963" t="s">
        <v>61</v>
      </c>
      <c r="BR85" s="746">
        <v>1620.49</v>
      </c>
      <c r="BS85" s="312"/>
      <c r="BT85" s="746"/>
      <c r="BU85" s="1272"/>
      <c r="BV85" s="2425">
        <v>46204.647465277776</v>
      </c>
      <c r="BW85" s="1963" t="s">
        <v>61</v>
      </c>
      <c r="BX85" s="2425">
        <v>46387.647627314815</v>
      </c>
      <c r="BY85" s="1963" t="s">
        <v>61</v>
      </c>
      <c r="BZ85" s="746">
        <v>1620.49</v>
      </c>
      <c r="CA85" s="312"/>
      <c r="CB85" s="746"/>
      <c r="CC85" s="1272"/>
      <c r="CD85" s="2425">
        <v>46388.647986111115</v>
      </c>
      <c r="CE85" s="1963" t="s">
        <v>61</v>
      </c>
      <c r="CF85" s="2425">
        <v>46568.64813657408</v>
      </c>
      <c r="CG85" s="1963" t="s">
        <v>61</v>
      </c>
      <c r="CH85" s="746">
        <v>1716.79</v>
      </c>
      <c r="CI85" s="312"/>
      <c r="CJ85" s="746"/>
      <c r="CK85" s="1272"/>
      <c r="CL85" s="2425">
        <v>46569.64837962963</v>
      </c>
      <c r="CM85" s="1963" t="s">
        <v>61</v>
      </c>
      <c r="CN85" s="2425">
        <v>46752.648506944446</v>
      </c>
      <c r="CO85" s="1963" t="s">
        <v>61</v>
      </c>
      <c r="CP85" s="746">
        <v>1716.79</v>
      </c>
      <c r="CQ85" s="312"/>
      <c r="CR85" s="746"/>
      <c r="CS85" s="1272"/>
      <c r="CT85" s="2425">
        <v>46753.6487037037</v>
      </c>
      <c r="CU85" s="1963" t="s">
        <v>61</v>
      </c>
      <c r="CV85" s="2425">
        <v>46934.648831018516</v>
      </c>
      <c r="CW85" s="1963" t="s">
        <v>61</v>
      </c>
      <c r="CX85" s="746">
        <v>1735.07</v>
      </c>
      <c r="CY85" s="312"/>
      <c r="CZ85" s="746"/>
      <c r="DA85" s="1272"/>
      <c r="DB85" s="2425">
        <v>46935.649201388886</v>
      </c>
      <c r="DC85" s="1963" t="s">
        <v>61</v>
      </c>
      <c r="DD85" s="2425">
        <v>47118.649305555555</v>
      </c>
      <c r="DE85" s="1963" t="s">
        <v>61</v>
      </c>
      <c r="DF85" s="312"/>
      <c r="DG85" s="2119" t="s">
        <v>424</v>
      </c>
      <c r="DH85" s="1667">
        <f>STRCHECKDATE(V86:DF86)</f>
      </c>
      <c r="DI85" s="1649"/>
      <c r="DJ85" s="1649" t="str">
        <f>IF(T85="","",T85)</f>
        <v>вода</v>
      </c>
      <c r="DK85" s="1649"/>
      <c r="DL85" s="1649"/>
    </row>
    <row s="2437" customFormat="1" customHeight="1" ht="0.75">
      <c r="A86" s="1380"/>
      <c r="B86" s="1380"/>
      <c r="C86" s="1380"/>
      <c r="D86" s="1380"/>
      <c r="E86" s="2090" t="s">
        <v>109</v>
      </c>
      <c r="F86" s="2090"/>
      <c r="G86" s="2090"/>
      <c r="H86" s="2090"/>
      <c r="I86" s="2092"/>
      <c r="J86" s="2092"/>
      <c r="K86" s="2091"/>
      <c r="L86" s="1386"/>
      <c r="M86" s="1383"/>
      <c r="N86" s="1383"/>
      <c r="O86" s="1383"/>
      <c r="P86" s="2205"/>
      <c r="Q86" s="2205"/>
      <c r="R86" s="345"/>
      <c r="S86" s="2349"/>
      <c r="T86" s="280"/>
      <c r="U86" s="280"/>
      <c r="V86" s="312"/>
      <c r="W86" s="312"/>
      <c r="X86" s="312"/>
      <c r="Y86" s="316" t="str">
        <f>Z85&amp;"-"&amp;AB85</f>
        <v>-</v>
      </c>
      <c r="Z86" s="2134"/>
      <c r="AA86" s="1963"/>
      <c r="AB86" s="2134"/>
      <c r="AC86" s="1963"/>
      <c r="AD86" s="312"/>
      <c r="AE86" s="312"/>
      <c r="AF86" s="312"/>
      <c r="AG86" s="316" t="str">
        <f>AH85&amp;"-"&amp;AJ85</f>
        <v>45292.64501157407-45473.64508101852</v>
      </c>
      <c r="AH86" s="2134"/>
      <c r="AI86" s="1963"/>
      <c r="AJ86" s="2134"/>
      <c r="AK86" s="1963"/>
      <c r="AL86" s="312"/>
      <c r="AM86" s="312"/>
      <c r="AN86" s="312"/>
      <c r="AO86" s="316" t="str">
        <f>AP85&amp;"-"&amp;AR85</f>
        <v>45474.64596064815-45657.64603009259</v>
      </c>
      <c r="AP86" s="2134"/>
      <c r="AQ86" s="1963"/>
      <c r="AR86" s="2134"/>
      <c r="AS86" s="1963"/>
      <c r="AT86" s="312"/>
      <c r="AU86" s="312"/>
      <c r="AV86" s="312"/>
      <c r="AW86" s="316" t="str">
        <f>AX85&amp;"-"&amp;AZ85</f>
        <v>45658.64628472222-45838.64641203704</v>
      </c>
      <c r="AX86" s="2134"/>
      <c r="AY86" s="1963"/>
      <c r="AZ86" s="2134"/>
      <c r="BA86" s="1963"/>
      <c r="BB86" s="312"/>
      <c r="BC86" s="312"/>
      <c r="BD86" s="312"/>
      <c r="BE86" s="316" t="str">
        <f>BF85&amp;"-"&amp;BH85</f>
        <v>45839.64672453704-46022.646840277775</v>
      </c>
      <c r="BF86" s="2134"/>
      <c r="BG86" s="1963"/>
      <c r="BH86" s="2134"/>
      <c r="BI86" s="1963"/>
      <c r="BJ86" s="312"/>
      <c r="BK86" s="312"/>
      <c r="BL86" s="312"/>
      <c r="BM86" s="316" t="str">
        <f>BN85&amp;"-"&amp;BP85</f>
        <v>46023.64710648148-46203.64722222222</v>
      </c>
      <c r="BN86" s="2134"/>
      <c r="BO86" s="1963"/>
      <c r="BP86" s="2134"/>
      <c r="BQ86" s="1963"/>
      <c r="BR86" s="312"/>
      <c r="BS86" s="312"/>
      <c r="BT86" s="312"/>
      <c r="BU86" s="316" t="str">
        <f>BV85&amp;"-"&amp;BX85</f>
        <v>46204.647465277776-46387.647627314815</v>
      </c>
      <c r="BV86" s="2134"/>
      <c r="BW86" s="1963"/>
      <c r="BX86" s="2134"/>
      <c r="BY86" s="1963"/>
      <c r="BZ86" s="312"/>
      <c r="CA86" s="312"/>
      <c r="CB86" s="312"/>
      <c r="CC86" s="316" t="str">
        <f>CD85&amp;"-"&amp;CF85</f>
        <v>46388.647986111115-46568.64813657408</v>
      </c>
      <c r="CD86" s="2134"/>
      <c r="CE86" s="1963"/>
      <c r="CF86" s="2134"/>
      <c r="CG86" s="1963"/>
      <c r="CH86" s="312"/>
      <c r="CI86" s="312"/>
      <c r="CJ86" s="312"/>
      <c r="CK86" s="316" t="str">
        <f>CL85&amp;"-"&amp;CN85</f>
        <v>46569.64837962963-46752.648506944446</v>
      </c>
      <c r="CL86" s="2134"/>
      <c r="CM86" s="1963"/>
      <c r="CN86" s="2134"/>
      <c r="CO86" s="1963"/>
      <c r="CP86" s="312"/>
      <c r="CQ86" s="312"/>
      <c r="CR86" s="312"/>
      <c r="CS86" s="316" t="str">
        <f>CT85&amp;"-"&amp;CV85</f>
        <v>46753.6487037037-46934.648831018516</v>
      </c>
      <c r="CT86" s="2134"/>
      <c r="CU86" s="1963"/>
      <c r="CV86" s="2134"/>
      <c r="CW86" s="1963"/>
      <c r="CX86" s="312"/>
      <c r="CY86" s="312"/>
      <c r="CZ86" s="312"/>
      <c r="DA86" s="316" t="str">
        <f>DB85&amp;"-"&amp;DD85</f>
        <v>46935.649201388886-47118.649305555555</v>
      </c>
      <c r="DB86" s="2134"/>
      <c r="DC86" s="1963"/>
      <c r="DD86" s="2134"/>
      <c r="DE86" s="1963"/>
      <c r="DF86" s="312"/>
      <c r="DG86" s="2120"/>
      <c r="DH86" s="1667"/>
      <c r="DI86" s="1649"/>
      <c r="DJ86" s="1649" t="str">
        <f>IF(T86="","",T86)</f>
        <v/>
      </c>
      <c r="DK86" s="1649"/>
      <c r="DL86" s="1649"/>
    </row>
    <row s="2437" customFormat="1" customHeight="1" ht="15">
      <c r="A87" s="1380"/>
      <c r="B87" s="1380"/>
      <c r="C87" s="1380"/>
      <c r="D87" s="1380"/>
      <c r="E87" s="2090" t="s">
        <v>109</v>
      </c>
      <c r="F87" s="2090"/>
      <c r="G87" s="2090"/>
      <c r="H87" s="2090"/>
      <c r="I87" s="2092"/>
      <c r="J87" s="2091"/>
      <c r="K87" s="1380"/>
      <c r="L87" s="1386"/>
      <c r="M87" s="1383"/>
      <c r="N87" s="1383"/>
      <c r="O87" s="1801"/>
      <c r="P87" s="2205"/>
      <c r="Q87" s="2205"/>
      <c r="R87" s="344"/>
      <c r="S87" s="3509"/>
      <c r="T87" s="3510" t="s">
        <v>425</v>
      </c>
      <c r="U87" s="3511"/>
      <c r="V87" s="3512"/>
      <c r="W87" s="3513"/>
      <c r="X87" s="3514"/>
      <c r="Y87" s="3515"/>
      <c r="Z87" s="3516"/>
      <c r="AA87" s="3517"/>
      <c r="AB87" s="3518"/>
      <c r="AC87" s="3519"/>
      <c r="AD87" s="3520"/>
      <c r="AE87" s="3521"/>
      <c r="AF87" s="3522"/>
      <c r="AG87" s="3523"/>
      <c r="AH87" s="3524"/>
      <c r="AI87" s="3525"/>
      <c r="AJ87" s="3526"/>
      <c r="AK87" s="3527"/>
      <c r="AL87" s="3528"/>
      <c r="AM87" s="3529"/>
      <c r="AN87" s="3530"/>
      <c r="AO87" s="3531"/>
      <c r="AP87" s="3532"/>
      <c r="AQ87" s="3533"/>
      <c r="AR87" s="3534"/>
      <c r="AS87" s="3535"/>
      <c r="AT87" s="3536"/>
      <c r="AU87" s="3537"/>
      <c r="AV87" s="3538"/>
      <c r="AW87" s="3539"/>
      <c r="AX87" s="3540"/>
      <c r="AY87" s="3541"/>
      <c r="AZ87" s="3542"/>
      <c r="BA87" s="3543"/>
      <c r="BB87" s="3544"/>
      <c r="BC87" s="3545"/>
      <c r="BD87" s="3546"/>
      <c r="BE87" s="3547"/>
      <c r="BF87" s="3548"/>
      <c r="BG87" s="3549"/>
      <c r="BH87" s="3550"/>
      <c r="BI87" s="3551"/>
      <c r="BJ87" s="3552"/>
      <c r="BK87" s="3553"/>
      <c r="BL87" s="3554"/>
      <c r="BM87" s="3555"/>
      <c r="BN87" s="3556"/>
      <c r="BO87" s="3557"/>
      <c r="BP87" s="3558"/>
      <c r="BQ87" s="3559"/>
      <c r="BR87" s="3560"/>
      <c r="BS87" s="3561"/>
      <c r="BT87" s="3562"/>
      <c r="BU87" s="3563"/>
      <c r="BV87" s="3564"/>
      <c r="BW87" s="3565"/>
      <c r="BX87" s="3566"/>
      <c r="BY87" s="3567"/>
      <c r="BZ87" s="3568"/>
      <c r="CA87" s="3569"/>
      <c r="CB87" s="3570"/>
      <c r="CC87" s="3571"/>
      <c r="CD87" s="3572"/>
      <c r="CE87" s="3573"/>
      <c r="CF87" s="3574"/>
      <c r="CG87" s="3575"/>
      <c r="CH87" s="3576"/>
      <c r="CI87" s="3577"/>
      <c r="CJ87" s="3578"/>
      <c r="CK87" s="3579"/>
      <c r="CL87" s="3580"/>
      <c r="CM87" s="3581"/>
      <c r="CN87" s="3582"/>
      <c r="CO87" s="3583"/>
      <c r="CP87" s="3584"/>
      <c r="CQ87" s="3585"/>
      <c r="CR87" s="3586"/>
      <c r="CS87" s="3587"/>
      <c r="CT87" s="3588"/>
      <c r="CU87" s="3589"/>
      <c r="CV87" s="3590"/>
      <c r="CW87" s="3591"/>
      <c r="CX87" s="3592"/>
      <c r="CY87" s="3593"/>
      <c r="CZ87" s="3594"/>
      <c r="DA87" s="3595"/>
      <c r="DB87" s="3596"/>
      <c r="DC87" s="3597"/>
      <c r="DD87" s="3598"/>
      <c r="DE87" s="3599"/>
      <c r="DF87" s="3600"/>
      <c r="DG87" s="2121"/>
      <c r="DH87" s="1667"/>
      <c r="DI87" s="1649"/>
      <c r="DJ87" s="1649" t="str">
        <f>IF(T87="","",T87)</f>
        <v>Добавить вид теплоносителя (параметры теплоносителя)</v>
      </c>
      <c r="DK87" s="1649"/>
      <c r="DL87" s="1649"/>
    </row>
    <row s="2437" customFormat="1" customHeight="1" ht="15">
      <c r="A88" s="1380"/>
      <c r="B88" s="1380"/>
      <c r="C88" s="1380"/>
      <c r="D88" s="1380"/>
      <c r="E88" s="2090" t="s">
        <v>109</v>
      </c>
      <c r="F88" s="2090"/>
      <c r="G88" s="2090"/>
      <c r="H88" s="2090"/>
      <c r="I88" s="2091"/>
      <c r="J88" s="1380"/>
      <c r="K88" s="1380"/>
      <c r="L88" s="1386"/>
      <c r="M88" s="1383"/>
      <c r="N88" s="1801"/>
      <c r="O88" s="1801"/>
      <c r="P88" s="2205"/>
      <c r="Q88" s="2205"/>
      <c r="R88" s="344"/>
      <c r="S88" s="3601"/>
      <c r="T88" s="3602" t="s">
        <v>426</v>
      </c>
      <c r="U88" s="3603"/>
      <c r="V88" s="3604"/>
      <c r="W88" s="3605"/>
      <c r="X88" s="3606"/>
      <c r="Y88" s="3607"/>
      <c r="Z88" s="3608"/>
      <c r="AA88" s="3609"/>
      <c r="AB88" s="3610"/>
      <c r="AC88" s="3611"/>
      <c r="AD88" s="3612"/>
      <c r="AE88" s="3613"/>
      <c r="AF88" s="3614"/>
      <c r="AG88" s="3615"/>
      <c r="AH88" s="3616"/>
      <c r="AI88" s="3617"/>
      <c r="AJ88" s="3618"/>
      <c r="AK88" s="3619"/>
      <c r="AL88" s="3620"/>
      <c r="AM88" s="3621"/>
      <c r="AN88" s="3622"/>
      <c r="AO88" s="3623"/>
      <c r="AP88" s="3624"/>
      <c r="AQ88" s="3625"/>
      <c r="AR88" s="3626"/>
      <c r="AS88" s="3627"/>
      <c r="AT88" s="3628"/>
      <c r="AU88" s="3629"/>
      <c r="AV88" s="3630"/>
      <c r="AW88" s="3631"/>
      <c r="AX88" s="3632"/>
      <c r="AY88" s="3633"/>
      <c r="AZ88" s="3634"/>
      <c r="BA88" s="3635"/>
      <c r="BB88" s="3636"/>
      <c r="BC88" s="3637"/>
      <c r="BD88" s="3638"/>
      <c r="BE88" s="3639"/>
      <c r="BF88" s="3640"/>
      <c r="BG88" s="3641"/>
      <c r="BH88" s="3642"/>
      <c r="BI88" s="3643"/>
      <c r="BJ88" s="3644"/>
      <c r="BK88" s="3645"/>
      <c r="BL88" s="3646"/>
      <c r="BM88" s="3647"/>
      <c r="BN88" s="3648"/>
      <c r="BO88" s="3649"/>
      <c r="BP88" s="3650"/>
      <c r="BQ88" s="3651"/>
      <c r="BR88" s="3652"/>
      <c r="BS88" s="3653"/>
      <c r="BT88" s="3654"/>
      <c r="BU88" s="3655"/>
      <c r="BV88" s="3656"/>
      <c r="BW88" s="3657"/>
      <c r="BX88" s="3658"/>
      <c r="BY88" s="3659"/>
      <c r="BZ88" s="3660"/>
      <c r="CA88" s="3661"/>
      <c r="CB88" s="3662"/>
      <c r="CC88" s="3663"/>
      <c r="CD88" s="3664"/>
      <c r="CE88" s="3665"/>
      <c r="CF88" s="3666"/>
      <c r="CG88" s="3667"/>
      <c r="CH88" s="3668"/>
      <c r="CI88" s="3669"/>
      <c r="CJ88" s="3670"/>
      <c r="CK88" s="3671"/>
      <c r="CL88" s="3672"/>
      <c r="CM88" s="3673"/>
      <c r="CN88" s="3674"/>
      <c r="CO88" s="3675"/>
      <c r="CP88" s="3676"/>
      <c r="CQ88" s="3677"/>
      <c r="CR88" s="3678"/>
      <c r="CS88" s="3679"/>
      <c r="CT88" s="3680"/>
      <c r="CU88" s="3681"/>
      <c r="CV88" s="3682"/>
      <c r="CW88" s="3683"/>
      <c r="CX88" s="3684"/>
      <c r="CY88" s="3685"/>
      <c r="CZ88" s="3686"/>
      <c r="DA88" s="3687"/>
      <c r="DB88" s="3688"/>
      <c r="DC88" s="3689"/>
      <c r="DD88" s="3690"/>
      <c r="DE88" s="3691"/>
      <c r="DF88" s="3692"/>
      <c r="DG88" s="3693"/>
      <c r="DH88" s="1667"/>
      <c r="DI88" s="1649"/>
      <c r="DJ88" s="1649" t="str">
        <f>IF(T88="","",T88)</f>
        <v>Добавить группу потребителей</v>
      </c>
      <c r="DK88" s="1649"/>
      <c r="DL88" s="1649"/>
    </row>
    <row s="2437" customFormat="1" customHeight="1" ht="14.25">
      <c r="A89" s="1380"/>
      <c r="B89" s="1380"/>
      <c r="C89" s="1380"/>
      <c r="D89" s="1380"/>
      <c r="E89" s="2090" t="s">
        <v>109</v>
      </c>
      <c r="F89" s="2090"/>
      <c r="G89" s="2090"/>
      <c r="H89" s="2089"/>
      <c r="I89" s="1380"/>
      <c r="J89" s="1380"/>
      <c r="K89" s="1380"/>
      <c r="L89" s="1386"/>
      <c r="M89" s="1382"/>
      <c r="N89" s="1382"/>
      <c r="O89" s="1383"/>
      <c r="P89" s="1848"/>
      <c r="Q89" s="367"/>
      <c r="R89" s="343"/>
      <c r="S89" s="3694"/>
      <c r="T89" s="3695" t="s">
        <v>427</v>
      </c>
      <c r="U89" s="3696"/>
      <c r="V89" s="3697"/>
      <c r="W89" s="3698"/>
      <c r="X89" s="3699"/>
      <c r="Y89" s="3700"/>
      <c r="Z89" s="3701"/>
      <c r="AA89" s="3702"/>
      <c r="AB89" s="3703"/>
      <c r="AC89" s="3704"/>
      <c r="AD89" s="3705"/>
      <c r="AE89" s="3706"/>
      <c r="AF89" s="3707"/>
      <c r="AG89" s="3708"/>
      <c r="AH89" s="3709"/>
      <c r="AI89" s="3710"/>
      <c r="AJ89" s="3711"/>
      <c r="AK89" s="3712"/>
      <c r="AL89" s="3713"/>
      <c r="AM89" s="3714"/>
      <c r="AN89" s="3715"/>
      <c r="AO89" s="3716"/>
      <c r="AP89" s="3717"/>
      <c r="AQ89" s="3718"/>
      <c r="AR89" s="3719"/>
      <c r="AS89" s="3720"/>
      <c r="AT89" s="3721"/>
      <c r="AU89" s="3722"/>
      <c r="AV89" s="3723"/>
      <c r="AW89" s="3724"/>
      <c r="AX89" s="3725"/>
      <c r="AY89" s="3726"/>
      <c r="AZ89" s="3727"/>
      <c r="BA89" s="3728"/>
      <c r="BB89" s="3729"/>
      <c r="BC89" s="3730"/>
      <c r="BD89" s="3731"/>
      <c r="BE89" s="3732"/>
      <c r="BF89" s="3733"/>
      <c r="BG89" s="3734"/>
      <c r="BH89" s="3735"/>
      <c r="BI89" s="3736"/>
      <c r="BJ89" s="3737"/>
      <c r="BK89" s="3738"/>
      <c r="BL89" s="3739"/>
      <c r="BM89" s="3740"/>
      <c r="BN89" s="3741"/>
      <c r="BO89" s="3742"/>
      <c r="BP89" s="3743"/>
      <c r="BQ89" s="3744"/>
      <c r="BR89" s="3745"/>
      <c r="BS89" s="3746"/>
      <c r="BT89" s="3747"/>
      <c r="BU89" s="3748"/>
      <c r="BV89" s="3749"/>
      <c r="BW89" s="3750"/>
      <c r="BX89" s="3751"/>
      <c r="BY89" s="3752"/>
      <c r="BZ89" s="3753"/>
      <c r="CA89" s="3754"/>
      <c r="CB89" s="3755"/>
      <c r="CC89" s="3756"/>
      <c r="CD89" s="3757"/>
      <c r="CE89" s="3758"/>
      <c r="CF89" s="3759"/>
      <c r="CG89" s="3760"/>
      <c r="CH89" s="3761"/>
      <c r="CI89" s="3762"/>
      <c r="CJ89" s="3763"/>
      <c r="CK89" s="3764"/>
      <c r="CL89" s="3765"/>
      <c r="CM89" s="3766"/>
      <c r="CN89" s="3767"/>
      <c r="CO89" s="3768"/>
      <c r="CP89" s="3769"/>
      <c r="CQ89" s="3770"/>
      <c r="CR89" s="3771"/>
      <c r="CS89" s="3772"/>
      <c r="CT89" s="3773"/>
      <c r="CU89" s="3774"/>
      <c r="CV89" s="3775"/>
      <c r="CW89" s="3776"/>
      <c r="CX89" s="3777"/>
      <c r="CY89" s="3778"/>
      <c r="CZ89" s="3779"/>
      <c r="DA89" s="3780"/>
      <c r="DB89" s="3781"/>
      <c r="DC89" s="3782"/>
      <c r="DD89" s="3783"/>
      <c r="DE89" s="3784"/>
      <c r="DF89" s="3785"/>
      <c r="DG89" s="3786"/>
      <c r="DH89" s="1667"/>
      <c r="DI89" s="1649"/>
      <c r="DJ89" s="1649" t="str">
        <f>IF(T89="","",T89)</f>
        <v>Добавить схему подключения</v>
      </c>
      <c r="DK89" s="1649"/>
      <c r="DL89" s="1649"/>
    </row>
    <row s="618" customFormat="1" customHeight="1" ht="0.75">
      <c r="A90" s="1360"/>
      <c r="B90" s="1360"/>
      <c r="C90" s="1360"/>
      <c r="D90" s="1360"/>
      <c r="E90" s="2090" t="s">
        <v>109</v>
      </c>
      <c r="F90" s="2090"/>
      <c r="G90" s="2089"/>
      <c r="H90" s="1360"/>
      <c r="I90" s="1360"/>
      <c r="J90" s="1360"/>
      <c r="K90" s="1360"/>
      <c r="L90" s="1568"/>
      <c r="M90" s="1332"/>
      <c r="N90" s="1332"/>
      <c r="O90" s="1667"/>
      <c r="P90" s="1333"/>
      <c r="Q90" s="1361"/>
      <c r="R90" s="1333"/>
      <c r="S90" s="1335"/>
      <c r="T90" s="1336" t="s">
        <v>160</v>
      </c>
      <c r="U90" s="1337"/>
      <c r="V90" s="1337"/>
      <c r="W90" s="1337"/>
      <c r="X90" s="1337"/>
      <c r="Y90" s="1337"/>
      <c r="Z90" s="1337"/>
      <c r="AA90" s="1337"/>
      <c r="AB90" s="1337"/>
      <c r="AC90" s="1337"/>
      <c r="AD90" s="1337"/>
      <c r="AE90" s="1337"/>
      <c r="AF90" s="1337"/>
      <c r="AG90" s="1337"/>
      <c r="AH90" s="1337"/>
      <c r="AI90" s="1337"/>
      <c r="AJ90" s="1337"/>
      <c r="AK90" s="1337"/>
      <c r="AL90" s="1337"/>
      <c r="AM90" s="1337"/>
      <c r="AN90" s="1337"/>
      <c r="AO90" s="1337"/>
      <c r="AP90" s="1337"/>
      <c r="AQ90" s="1337"/>
      <c r="AR90" s="1337"/>
      <c r="AS90" s="1337"/>
      <c r="AT90" s="1337"/>
      <c r="AU90" s="1337"/>
      <c r="AV90" s="1337"/>
      <c r="AW90" s="1337"/>
      <c r="AX90" s="1337"/>
      <c r="AY90" s="1337"/>
      <c r="AZ90" s="1337"/>
      <c r="BA90" s="1337"/>
      <c r="BB90" s="1337"/>
      <c r="BC90" s="1337"/>
      <c r="BD90" s="1337"/>
      <c r="BE90" s="1337"/>
      <c r="BF90" s="1337"/>
      <c r="BG90" s="1337"/>
      <c r="BH90" s="1337"/>
      <c r="BI90" s="1337"/>
      <c r="BJ90" s="1337"/>
      <c r="BK90" s="1337"/>
      <c r="BL90" s="1337"/>
      <c r="BM90" s="1337"/>
      <c r="BN90" s="1337"/>
      <c r="BO90" s="1337"/>
      <c r="BP90" s="1337"/>
      <c r="BQ90" s="1337"/>
      <c r="BR90" s="1337"/>
      <c r="BS90" s="1337"/>
      <c r="BT90" s="1337"/>
      <c r="BU90" s="1337"/>
      <c r="BV90" s="1337"/>
      <c r="BW90" s="1337"/>
      <c r="BX90" s="1337"/>
      <c r="BY90" s="1337"/>
      <c r="BZ90" s="1337"/>
      <c r="CA90" s="1337"/>
      <c r="CB90" s="1337"/>
      <c r="CC90" s="1337"/>
      <c r="CD90" s="1337"/>
      <c r="CE90" s="1337"/>
      <c r="CF90" s="1337"/>
      <c r="CG90" s="1337"/>
      <c r="CH90" s="1337"/>
      <c r="CI90" s="1337"/>
      <c r="CJ90" s="1337"/>
      <c r="CK90" s="1337"/>
      <c r="CL90" s="1337"/>
      <c r="CM90" s="1337"/>
      <c r="CN90" s="1337"/>
      <c r="CO90" s="1337"/>
      <c r="CP90" s="1337"/>
      <c r="CQ90" s="1337"/>
      <c r="CR90" s="1337"/>
      <c r="CS90" s="1337"/>
      <c r="CT90" s="1337"/>
      <c r="CU90" s="1337"/>
      <c r="CV90" s="1337"/>
      <c r="CW90" s="1337"/>
      <c r="CX90" s="1337"/>
      <c r="CY90" s="1337"/>
      <c r="CZ90" s="1337"/>
      <c r="DA90" s="1337"/>
      <c r="DB90" s="1337"/>
      <c r="DC90" s="1337"/>
      <c r="DD90" s="1337"/>
      <c r="DE90" s="1337"/>
      <c r="DF90" s="1337"/>
      <c r="DG90" s="1337"/>
      <c r="DH90" s="1667"/>
      <c r="DI90" s="1649"/>
      <c r="DJ90" s="1649" t="str">
        <f>IF(T90="","",T90)</f>
        <v>Добавить источник для дифференциации</v>
      </c>
      <c r="DK90" s="1649"/>
      <c r="DL90" s="1649"/>
    </row>
    <row s="618" customFormat="1" customHeight="1" ht="0.75">
      <c r="A91" s="1360"/>
      <c r="B91" s="1360"/>
      <c r="C91" s="1360"/>
      <c r="D91" s="1360"/>
      <c r="E91" s="2090" t="s">
        <v>109</v>
      </c>
      <c r="F91" s="2089"/>
      <c r="G91" s="1360"/>
      <c r="H91" s="1360"/>
      <c r="I91" s="1360"/>
      <c r="J91" s="1360"/>
      <c r="K91" s="1360"/>
      <c r="L91" s="1568"/>
      <c r="M91" s="1338"/>
      <c r="N91" s="1338"/>
      <c r="O91" s="1667"/>
      <c r="P91" s="1333"/>
      <c r="Q91" s="1361"/>
      <c r="R91" s="1333"/>
      <c r="S91" s="1339"/>
      <c r="T91" s="1340" t="s">
        <v>161</v>
      </c>
      <c r="U91" s="1341"/>
      <c r="V91" s="1341"/>
      <c r="W91" s="1341"/>
      <c r="X91" s="1341"/>
      <c r="Y91" s="1341"/>
      <c r="Z91" s="1341"/>
      <c r="AA91" s="1341"/>
      <c r="AB91" s="1341"/>
      <c r="AC91" s="1341"/>
      <c r="AD91" s="1341"/>
      <c r="AE91" s="1341"/>
      <c r="AF91" s="1341"/>
      <c r="AG91" s="1341"/>
      <c r="AH91" s="1341"/>
      <c r="AI91" s="1341"/>
      <c r="AJ91" s="1341"/>
      <c r="AK91" s="1341"/>
      <c r="AL91" s="1341"/>
      <c r="AM91" s="1341"/>
      <c r="AN91" s="1341"/>
      <c r="AO91" s="1341"/>
      <c r="AP91" s="1341"/>
      <c r="AQ91" s="1341"/>
      <c r="AR91" s="1341"/>
      <c r="AS91" s="1341"/>
      <c r="AT91" s="1341"/>
      <c r="AU91" s="1341"/>
      <c r="AV91" s="1341"/>
      <c r="AW91" s="1341"/>
      <c r="AX91" s="1341"/>
      <c r="AY91" s="1341"/>
      <c r="AZ91" s="1341"/>
      <c r="BA91" s="1341"/>
      <c r="BB91" s="1341"/>
      <c r="BC91" s="1341"/>
      <c r="BD91" s="1341"/>
      <c r="BE91" s="1341"/>
      <c r="BF91" s="1341"/>
      <c r="BG91" s="1341"/>
      <c r="BH91" s="1341"/>
      <c r="BI91" s="1341"/>
      <c r="BJ91" s="1341"/>
      <c r="BK91" s="1341"/>
      <c r="BL91" s="1341"/>
      <c r="BM91" s="1341"/>
      <c r="BN91" s="1341"/>
      <c r="BO91" s="1341"/>
      <c r="BP91" s="1341"/>
      <c r="BQ91" s="1341"/>
      <c r="BR91" s="1341"/>
      <c r="BS91" s="1341"/>
      <c r="BT91" s="1341"/>
      <c r="BU91" s="1341"/>
      <c r="BV91" s="1341"/>
      <c r="BW91" s="1341"/>
      <c r="BX91" s="1341"/>
      <c r="BY91" s="1341"/>
      <c r="BZ91" s="1341"/>
      <c r="CA91" s="1341"/>
      <c r="CB91" s="1341"/>
      <c r="CC91" s="1341"/>
      <c r="CD91" s="1341"/>
      <c r="CE91" s="1341"/>
      <c r="CF91" s="1341"/>
      <c r="CG91" s="1341"/>
      <c r="CH91" s="1341"/>
      <c r="CI91" s="1341"/>
      <c r="CJ91" s="1341"/>
      <c r="CK91" s="1341"/>
      <c r="CL91" s="1341"/>
      <c r="CM91" s="1341"/>
      <c r="CN91" s="1341"/>
      <c r="CO91" s="1341"/>
      <c r="CP91" s="1341"/>
      <c r="CQ91" s="1341"/>
      <c r="CR91" s="1341"/>
      <c r="CS91" s="1341"/>
      <c r="CT91" s="1341"/>
      <c r="CU91" s="1341"/>
      <c r="CV91" s="1341"/>
      <c r="CW91" s="1341"/>
      <c r="CX91" s="1341"/>
      <c r="CY91" s="1341"/>
      <c r="CZ91" s="1341"/>
      <c r="DA91" s="1341"/>
      <c r="DB91" s="1341"/>
      <c r="DC91" s="1341"/>
      <c r="DD91" s="1341"/>
      <c r="DE91" s="1341"/>
      <c r="DF91" s="1341"/>
      <c r="DG91" s="1341"/>
      <c r="DH91" s="1667"/>
      <c r="DI91" s="1649"/>
      <c r="DJ91" s="1649" t="str">
        <f>IF(T91="","",T91)</f>
        <v>Добавить централизованную систему для дифференциации</v>
      </c>
      <c r="DK91" s="1649"/>
      <c r="DL91" s="1649"/>
    </row>
    <row s="618" customFormat="1" customHeight="1" ht="0.75">
      <c r="A92" s="1360"/>
      <c r="B92" s="1360"/>
      <c r="C92" s="1360"/>
      <c r="D92" s="1360"/>
      <c r="E92" s="2089" t="s">
        <v>109</v>
      </c>
      <c r="F92" s="1360"/>
      <c r="G92" s="1360"/>
      <c r="H92" s="1360"/>
      <c r="I92" s="1360"/>
      <c r="J92" s="1360"/>
      <c r="K92" s="1360"/>
      <c r="L92" s="1568"/>
      <c r="M92" s="1338"/>
      <c r="N92" s="1338"/>
      <c r="O92" s="1667"/>
      <c r="P92" s="1333"/>
      <c r="Q92" s="1361"/>
      <c r="R92" s="1333"/>
      <c r="S92" s="1339"/>
      <c r="T92" s="1342" t="s">
        <v>162</v>
      </c>
      <c r="U92" s="1341"/>
      <c r="V92" s="1341"/>
      <c r="W92" s="1341"/>
      <c r="X92" s="1341"/>
      <c r="Y92" s="1341"/>
      <c r="Z92" s="1341"/>
      <c r="AA92" s="1341"/>
      <c r="AB92" s="1341"/>
      <c r="AC92" s="1341"/>
      <c r="AD92" s="1341"/>
      <c r="AE92" s="1341"/>
      <c r="AF92" s="1341"/>
      <c r="AG92" s="1341"/>
      <c r="AH92" s="1341"/>
      <c r="AI92" s="1341"/>
      <c r="AJ92" s="1341"/>
      <c r="AK92" s="1341"/>
      <c r="AL92" s="1341"/>
      <c r="AM92" s="1341"/>
      <c r="AN92" s="1341"/>
      <c r="AO92" s="1341"/>
      <c r="AP92" s="1341"/>
      <c r="AQ92" s="1341"/>
      <c r="AR92" s="1341"/>
      <c r="AS92" s="1341"/>
      <c r="AT92" s="1341"/>
      <c r="AU92" s="1341"/>
      <c r="AV92" s="1341"/>
      <c r="AW92" s="1341"/>
      <c r="AX92" s="1341"/>
      <c r="AY92" s="1341"/>
      <c r="AZ92" s="1341"/>
      <c r="BA92" s="1341"/>
      <c r="BB92" s="1341"/>
      <c r="BC92" s="1341"/>
      <c r="BD92" s="1341"/>
      <c r="BE92" s="1341"/>
      <c r="BF92" s="1341"/>
      <c r="BG92" s="1341"/>
      <c r="BH92" s="1341"/>
      <c r="BI92" s="1341"/>
      <c r="BJ92" s="1341"/>
      <c r="BK92" s="1341"/>
      <c r="BL92" s="1341"/>
      <c r="BM92" s="1341"/>
      <c r="BN92" s="1341"/>
      <c r="BO92" s="1341"/>
      <c r="BP92" s="1341"/>
      <c r="BQ92" s="1341"/>
      <c r="BR92" s="1341"/>
      <c r="BS92" s="1341"/>
      <c r="BT92" s="1341"/>
      <c r="BU92" s="1341"/>
      <c r="BV92" s="1341"/>
      <c r="BW92" s="1341"/>
      <c r="BX92" s="1341"/>
      <c r="BY92" s="1341"/>
      <c r="BZ92" s="1341"/>
      <c r="CA92" s="1341"/>
      <c r="CB92" s="1341"/>
      <c r="CC92" s="1341"/>
      <c r="CD92" s="1341"/>
      <c r="CE92" s="1341"/>
      <c r="CF92" s="1341"/>
      <c r="CG92" s="1341"/>
      <c r="CH92" s="1341"/>
      <c r="CI92" s="1341"/>
      <c r="CJ92" s="1341"/>
      <c r="CK92" s="1341"/>
      <c r="CL92" s="1341"/>
      <c r="CM92" s="1341"/>
      <c r="CN92" s="1341"/>
      <c r="CO92" s="1341"/>
      <c r="CP92" s="1341"/>
      <c r="CQ92" s="1341"/>
      <c r="CR92" s="1341"/>
      <c r="CS92" s="1341"/>
      <c r="CT92" s="1341"/>
      <c r="CU92" s="1341"/>
      <c r="CV92" s="1341"/>
      <c r="CW92" s="1341"/>
      <c r="CX92" s="1341"/>
      <c r="CY92" s="1341"/>
      <c r="CZ92" s="1341"/>
      <c r="DA92" s="1341"/>
      <c r="DB92" s="1341"/>
      <c r="DC92" s="1341"/>
      <c r="DD92" s="1341"/>
      <c r="DE92" s="1341"/>
      <c r="DF92" s="1341"/>
      <c r="DG92" s="1341"/>
      <c r="DH92" s="1667"/>
      <c r="DI92" s="1649"/>
      <c r="DJ92" s="1649" t="str">
        <f>IF(T92="","",T92)</f>
        <v>Добавить территорию для дифференциации</v>
      </c>
      <c r="DK92" s="1649"/>
      <c r="DL92" s="1649"/>
    </row>
    <row s="2437" customFormat="1" customHeight="1" ht="21">
      <c r="A93" s="1380" t="s">
        <v>175</v>
      </c>
      <c r="B93" s="1380"/>
      <c r="C93" s="1380"/>
      <c r="D93" s="1380"/>
      <c r="E93" s="2089" t="s">
        <v>90</v>
      </c>
      <c r="F93" s="1380"/>
      <c r="G93" s="1380"/>
      <c r="H93" s="1380"/>
      <c r="I93" s="1380"/>
      <c r="J93" s="1380"/>
      <c r="K93" s="1380"/>
      <c r="L93" s="1386"/>
      <c r="M93" s="1382"/>
      <c r="N93" s="1382"/>
      <c r="O93" s="1382"/>
      <c r="P93" s="2216"/>
      <c r="Q93" s="1848"/>
      <c r="R93" s="343"/>
      <c r="S93" s="2107" t="str">
        <f>INDEX(PT_DIFFERENTIATION_NUM_NTAR,MATCH(A93,PT_DIFFERENTIATION_NTAR_ID,0))</f>
        <v>4</v>
      </c>
      <c r="T93" s="1542" t="s">
        <v>122</v>
      </c>
      <c r="U93" s="280"/>
      <c r="V93" s="2083"/>
      <c r="W93" s="2084"/>
      <c r="X93" s="2084"/>
      <c r="Y93" s="2084"/>
      <c r="Z93" s="2084"/>
      <c r="AA93" s="2084"/>
      <c r="AB93" s="2084"/>
      <c r="AC93" s="2085"/>
      <c r="AD93" s="2083" t="str">
        <f>INDEX(PT_DIFFERENTIATION_NTAR,MATCH(A93,PT_DIFFERENTIATION_NTAR_ID,0))</f>
        <v>Льготные тарифы на тепловую энергию, поставляемую ПАО "ТГК-1" потребителям, расположенным на территории Санкт-Петербурга</v>
      </c>
      <c r="AE93" s="2084"/>
      <c r="AF93" s="2084"/>
      <c r="AG93" s="2084"/>
      <c r="AH93" s="2084"/>
      <c r="AI93" s="2084"/>
      <c r="AJ93" s="2084"/>
      <c r="AK93" s="2084"/>
      <c r="AL93" s="2083"/>
      <c r="AM93" s="2084"/>
      <c r="AN93" s="2084"/>
      <c r="AO93" s="2084"/>
      <c r="AP93" s="2084"/>
      <c r="AQ93" s="2084"/>
      <c r="AR93" s="2084"/>
      <c r="AS93" s="2085"/>
      <c r="AT93" s="2083"/>
      <c r="AU93" s="2084"/>
      <c r="AV93" s="2084"/>
      <c r="AW93" s="2084"/>
      <c r="AX93" s="2084"/>
      <c r="AY93" s="2084"/>
      <c r="AZ93" s="2084"/>
      <c r="BA93" s="2085"/>
      <c r="BB93" s="2083"/>
      <c r="BC93" s="2084"/>
      <c r="BD93" s="2084"/>
      <c r="BE93" s="2084"/>
      <c r="BF93" s="2084"/>
      <c r="BG93" s="2084"/>
      <c r="BH93" s="2084"/>
      <c r="BI93" s="2085"/>
      <c r="BJ93" s="2083"/>
      <c r="BK93" s="2084"/>
      <c r="BL93" s="2084"/>
      <c r="BM93" s="2084"/>
      <c r="BN93" s="2084"/>
      <c r="BO93" s="2084"/>
      <c r="BP93" s="2084"/>
      <c r="BQ93" s="2085"/>
      <c r="BR93" s="2083"/>
      <c r="BS93" s="2084"/>
      <c r="BT93" s="2084"/>
      <c r="BU93" s="2084"/>
      <c r="BV93" s="2084"/>
      <c r="BW93" s="2084"/>
      <c r="BX93" s="2084"/>
      <c r="BY93" s="2085"/>
      <c r="BZ93" s="2083"/>
      <c r="CA93" s="2084"/>
      <c r="CB93" s="2084"/>
      <c r="CC93" s="2084"/>
      <c r="CD93" s="2084"/>
      <c r="CE93" s="2084"/>
      <c r="CF93" s="2084"/>
      <c r="CG93" s="2085"/>
      <c r="CH93" s="2083"/>
      <c r="CI93" s="2084"/>
      <c r="CJ93" s="2084"/>
      <c r="CK93" s="2084"/>
      <c r="CL93" s="2084"/>
      <c r="CM93" s="2084"/>
      <c r="CN93" s="2084"/>
      <c r="CO93" s="2085"/>
      <c r="CP93" s="2083"/>
      <c r="CQ93" s="2084"/>
      <c r="CR93" s="2084"/>
      <c r="CS93" s="2084"/>
      <c r="CT93" s="2084"/>
      <c r="CU93" s="2084"/>
      <c r="CV93" s="2084"/>
      <c r="CW93" s="2085"/>
      <c r="CX93" s="2083"/>
      <c r="CY93" s="2084"/>
      <c r="CZ93" s="2084"/>
      <c r="DA93" s="2084"/>
      <c r="DB93" s="2084"/>
      <c r="DC93" s="2084"/>
      <c r="DD93" s="2084"/>
      <c r="DE93" s="2085"/>
      <c r="DF93" s="2085"/>
      <c r="DG93" s="1273" t="s">
        <v>410</v>
      </c>
      <c r="DH93" s="1667"/>
      <c r="DI93" s="1649"/>
      <c r="DJ93" s="1649" t="str">
        <f>IF(T93="","",T93)</f>
        <v>Наименование тарифа</v>
      </c>
      <c r="DK93" s="1649"/>
      <c r="DL93" s="1649"/>
    </row>
    <row s="2437" customFormat="1" customHeight="1" ht="21">
      <c r="A94" s="1380"/>
      <c r="B94" s="1380" t="s">
        <v>176</v>
      </c>
      <c r="C94" s="1380"/>
      <c r="D94" s="1380"/>
      <c r="E94" s="2090" t="s">
        <v>89</v>
      </c>
      <c r="F94" s="2089">
        <v>1</v>
      </c>
      <c r="G94" s="1380"/>
      <c r="H94" s="1380"/>
      <c r="I94" s="1380"/>
      <c r="J94" s="1380"/>
      <c r="K94" s="1380"/>
      <c r="L94" s="1386"/>
      <c r="M94" s="1382"/>
      <c r="N94" s="1382"/>
      <c r="O94" s="1382"/>
      <c r="P94" s="1951"/>
      <c r="Q94" s="340"/>
      <c r="R94" s="341"/>
      <c r="S94" s="2107" t="str">
        <f>INDEX(PT_DIFFERENTIATION_NUM_TER,MATCH(B94,PT_DIFFERENTIATION_TER_ID,0))</f>
        <v>4.1</v>
      </c>
      <c r="T94" s="1539" t="s">
        <v>411</v>
      </c>
      <c r="U94" s="280"/>
      <c r="V94" s="2083"/>
      <c r="W94" s="2084"/>
      <c r="X94" s="2084"/>
      <c r="Y94" s="2084"/>
      <c r="Z94" s="2084"/>
      <c r="AA94" s="2084"/>
      <c r="AB94" s="2084"/>
      <c r="AC94" s="2085"/>
      <c r="AD94" s="2083" t="str">
        <f>INDEX(PT_DIFFERENTIATION_TER,MATCH(B94,PT_DIFFERENTIATION_TER_ID,0))</f>
        <v>без дифференциации</v>
      </c>
      <c r="AE94" s="2084"/>
      <c r="AF94" s="2084"/>
      <c r="AG94" s="2084"/>
      <c r="AH94" s="2084"/>
      <c r="AI94" s="2084"/>
      <c r="AJ94" s="2084"/>
      <c r="AK94" s="2084"/>
      <c r="AL94" s="2083"/>
      <c r="AM94" s="2084"/>
      <c r="AN94" s="2084"/>
      <c r="AO94" s="2084"/>
      <c r="AP94" s="2084"/>
      <c r="AQ94" s="2084"/>
      <c r="AR94" s="2084"/>
      <c r="AS94" s="2085"/>
      <c r="AT94" s="2083"/>
      <c r="AU94" s="2084"/>
      <c r="AV94" s="2084"/>
      <c r="AW94" s="2084"/>
      <c r="AX94" s="2084"/>
      <c r="AY94" s="2084"/>
      <c r="AZ94" s="2084"/>
      <c r="BA94" s="2085"/>
      <c r="BB94" s="2083"/>
      <c r="BC94" s="2084"/>
      <c r="BD94" s="2084"/>
      <c r="BE94" s="2084"/>
      <c r="BF94" s="2084"/>
      <c r="BG94" s="2084"/>
      <c r="BH94" s="2084"/>
      <c r="BI94" s="2085"/>
      <c r="BJ94" s="2083"/>
      <c r="BK94" s="2084"/>
      <c r="BL94" s="2084"/>
      <c r="BM94" s="2084"/>
      <c r="BN94" s="2084"/>
      <c r="BO94" s="2084"/>
      <c r="BP94" s="2084"/>
      <c r="BQ94" s="2085"/>
      <c r="BR94" s="2083"/>
      <c r="BS94" s="2084"/>
      <c r="BT94" s="2084"/>
      <c r="BU94" s="2084"/>
      <c r="BV94" s="2084"/>
      <c r="BW94" s="2084"/>
      <c r="BX94" s="2084"/>
      <c r="BY94" s="2085"/>
      <c r="BZ94" s="2083"/>
      <c r="CA94" s="2084"/>
      <c r="CB94" s="2084"/>
      <c r="CC94" s="2084"/>
      <c r="CD94" s="2084"/>
      <c r="CE94" s="2084"/>
      <c r="CF94" s="2084"/>
      <c r="CG94" s="2085"/>
      <c r="CH94" s="2083"/>
      <c r="CI94" s="2084"/>
      <c r="CJ94" s="2084"/>
      <c r="CK94" s="2084"/>
      <c r="CL94" s="2084"/>
      <c r="CM94" s="2084"/>
      <c r="CN94" s="2084"/>
      <c r="CO94" s="2085"/>
      <c r="CP94" s="2083"/>
      <c r="CQ94" s="2084"/>
      <c r="CR94" s="2084"/>
      <c r="CS94" s="2084"/>
      <c r="CT94" s="2084"/>
      <c r="CU94" s="2084"/>
      <c r="CV94" s="2084"/>
      <c r="CW94" s="2085"/>
      <c r="CX94" s="2083"/>
      <c r="CY94" s="2084"/>
      <c r="CZ94" s="2084"/>
      <c r="DA94" s="2084"/>
      <c r="DB94" s="2084"/>
      <c r="DC94" s="2084"/>
      <c r="DD94" s="2084"/>
      <c r="DE94" s="2085"/>
      <c r="DF94" s="2085"/>
      <c r="DG94" s="1273" t="s">
        <v>412</v>
      </c>
      <c r="DH94" s="1667"/>
      <c r="DI94" s="1649"/>
      <c r="DJ94" s="1649" t="str">
        <f>IF(T94="","",T94)</f>
        <v>Территория действия тарифа</v>
      </c>
      <c r="DK94" s="1649"/>
      <c r="DL94" s="1649"/>
    </row>
    <row s="2437" customFormat="1" customHeight="1" ht="23.25">
      <c r="A95" s="1380"/>
      <c r="B95" s="1380"/>
      <c r="C95" s="1380" t="s">
        <v>177</v>
      </c>
      <c r="D95" s="1380"/>
      <c r="E95" s="2090" t="s">
        <v>89</v>
      </c>
      <c r="F95" s="2090"/>
      <c r="G95" s="2089">
        <v>1</v>
      </c>
      <c r="H95" s="1380"/>
      <c r="I95" s="1380"/>
      <c r="J95" s="1380"/>
      <c r="K95" s="1380"/>
      <c r="L95" s="1386"/>
      <c r="M95" s="1382"/>
      <c r="N95" s="1382"/>
      <c r="O95" s="1382"/>
      <c r="P95" s="342"/>
      <c r="Q95" s="340"/>
      <c r="R95" s="341"/>
      <c r="S95" s="2107" t="str">
        <f>INDEX(PT_DIFFERENTIATION_NUM_CS,MATCH(C95,PT_DIFFERENTIATION_CS_ID,0))</f>
        <v>4.1.1</v>
      </c>
      <c r="T95" s="291" t="s">
        <v>413</v>
      </c>
      <c r="U95" s="280"/>
      <c r="V95" s="2083"/>
      <c r="W95" s="2084"/>
      <c r="X95" s="2084"/>
      <c r="Y95" s="2084"/>
      <c r="Z95" s="2084"/>
      <c r="AA95" s="2084"/>
      <c r="AB95" s="2084"/>
      <c r="AC95" s="2085"/>
      <c r="AD95" s="2083" t="str">
        <f>INDEX(PT_DIFFERENTIATION_CS,MATCH(C95,PT_DIFFERENTIATION_CS_ID,0))</f>
        <v>без дифференциации</v>
      </c>
      <c r="AE95" s="2084"/>
      <c r="AF95" s="2084"/>
      <c r="AG95" s="2084"/>
      <c r="AH95" s="2084"/>
      <c r="AI95" s="2084"/>
      <c r="AJ95" s="2084"/>
      <c r="AK95" s="2084"/>
      <c r="AL95" s="2083"/>
      <c r="AM95" s="2084"/>
      <c r="AN95" s="2084"/>
      <c r="AO95" s="2084"/>
      <c r="AP95" s="2084"/>
      <c r="AQ95" s="2084"/>
      <c r="AR95" s="2084"/>
      <c r="AS95" s="2085"/>
      <c r="AT95" s="2083"/>
      <c r="AU95" s="2084"/>
      <c r="AV95" s="2084"/>
      <c r="AW95" s="2084"/>
      <c r="AX95" s="2084"/>
      <c r="AY95" s="2084"/>
      <c r="AZ95" s="2084"/>
      <c r="BA95" s="2085"/>
      <c r="BB95" s="2083"/>
      <c r="BC95" s="2084"/>
      <c r="BD95" s="2084"/>
      <c r="BE95" s="2084"/>
      <c r="BF95" s="2084"/>
      <c r="BG95" s="2084"/>
      <c r="BH95" s="2084"/>
      <c r="BI95" s="2085"/>
      <c r="BJ95" s="2083"/>
      <c r="BK95" s="2084"/>
      <c r="BL95" s="2084"/>
      <c r="BM95" s="2084"/>
      <c r="BN95" s="2084"/>
      <c r="BO95" s="2084"/>
      <c r="BP95" s="2084"/>
      <c r="BQ95" s="2085"/>
      <c r="BR95" s="2083"/>
      <c r="BS95" s="2084"/>
      <c r="BT95" s="2084"/>
      <c r="BU95" s="2084"/>
      <c r="BV95" s="2084"/>
      <c r="BW95" s="2084"/>
      <c r="BX95" s="2084"/>
      <c r="BY95" s="2085"/>
      <c r="BZ95" s="2083"/>
      <c r="CA95" s="2084"/>
      <c r="CB95" s="2084"/>
      <c r="CC95" s="2084"/>
      <c r="CD95" s="2084"/>
      <c r="CE95" s="2084"/>
      <c r="CF95" s="2084"/>
      <c r="CG95" s="2085"/>
      <c r="CH95" s="2083"/>
      <c r="CI95" s="2084"/>
      <c r="CJ95" s="2084"/>
      <c r="CK95" s="2084"/>
      <c r="CL95" s="2084"/>
      <c r="CM95" s="2084"/>
      <c r="CN95" s="2084"/>
      <c r="CO95" s="2085"/>
      <c r="CP95" s="2083"/>
      <c r="CQ95" s="2084"/>
      <c r="CR95" s="2084"/>
      <c r="CS95" s="2084"/>
      <c r="CT95" s="2084"/>
      <c r="CU95" s="2084"/>
      <c r="CV95" s="2084"/>
      <c r="CW95" s="2085"/>
      <c r="CX95" s="2083"/>
      <c r="CY95" s="2084"/>
      <c r="CZ95" s="2084"/>
      <c r="DA95" s="2084"/>
      <c r="DB95" s="2084"/>
      <c r="DC95" s="2084"/>
      <c r="DD95" s="2084"/>
      <c r="DE95" s="2085"/>
      <c r="DF95" s="2085"/>
      <c r="DG95" s="1273" t="s">
        <v>414</v>
      </c>
      <c r="DH95" s="1667"/>
      <c r="DI95" s="1649"/>
      <c r="DJ95" s="1649" t="str">
        <f>IF(T95="","",T95)</f>
        <v>Наименование системы теплоснабжения </v>
      </c>
      <c r="DK95" s="1649"/>
      <c r="DL95" s="1649"/>
    </row>
    <row s="2437" customFormat="1" customHeight="1" ht="21">
      <c r="A96" s="1380"/>
      <c r="B96" s="1380"/>
      <c r="C96" s="1380"/>
      <c r="D96" s="1380" t="s">
        <v>178</v>
      </c>
      <c r="E96" s="2090" t="s">
        <v>89</v>
      </c>
      <c r="F96" s="2090"/>
      <c r="G96" s="2090"/>
      <c r="H96" s="2089">
        <v>1</v>
      </c>
      <c r="I96" s="1380"/>
      <c r="J96" s="1380"/>
      <c r="K96" s="1380"/>
      <c r="L96" s="1386"/>
      <c r="M96" s="1382"/>
      <c r="N96" s="1382"/>
      <c r="O96" s="1382"/>
      <c r="P96" s="342"/>
      <c r="Q96" s="340"/>
      <c r="R96" s="341"/>
      <c r="S96" s="2107" t="str">
        <f>INDEX(PT_DIFFERENTIATION_NUM_IST_TE,MATCH(D96,PT_DIFFERENTIATION_IST_TE_ID,0))</f>
        <v>4.1.1.1</v>
      </c>
      <c r="T96" s="292" t="s">
        <v>415</v>
      </c>
      <c r="U96" s="280"/>
      <c r="V96" s="2083"/>
      <c r="W96" s="2084"/>
      <c r="X96" s="2084"/>
      <c r="Y96" s="2084"/>
      <c r="Z96" s="2084"/>
      <c r="AA96" s="2084"/>
      <c r="AB96" s="2084"/>
      <c r="AC96" s="2085"/>
      <c r="AD96" s="2083" t="str">
        <f>INDEX(PT_DIFFERENTIATION_IST_TE,MATCH(D96,PT_DIFFERENTIATION_IST_TE_ID,0))</f>
        <v>без дифференциации</v>
      </c>
      <c r="AE96" s="2084"/>
      <c r="AF96" s="2084"/>
      <c r="AG96" s="2084"/>
      <c r="AH96" s="2084"/>
      <c r="AI96" s="2084"/>
      <c r="AJ96" s="2084"/>
      <c r="AK96" s="2084"/>
      <c r="AL96" s="2083"/>
      <c r="AM96" s="2084"/>
      <c r="AN96" s="2084"/>
      <c r="AO96" s="2084"/>
      <c r="AP96" s="2084"/>
      <c r="AQ96" s="2084"/>
      <c r="AR96" s="2084"/>
      <c r="AS96" s="2085"/>
      <c r="AT96" s="2083"/>
      <c r="AU96" s="2084"/>
      <c r="AV96" s="2084"/>
      <c r="AW96" s="2084"/>
      <c r="AX96" s="2084"/>
      <c r="AY96" s="2084"/>
      <c r="AZ96" s="2084"/>
      <c r="BA96" s="2085"/>
      <c r="BB96" s="2083"/>
      <c r="BC96" s="2084"/>
      <c r="BD96" s="2084"/>
      <c r="BE96" s="2084"/>
      <c r="BF96" s="2084"/>
      <c r="BG96" s="2084"/>
      <c r="BH96" s="2084"/>
      <c r="BI96" s="2085"/>
      <c r="BJ96" s="2083"/>
      <c r="BK96" s="2084"/>
      <c r="BL96" s="2084"/>
      <c r="BM96" s="2084"/>
      <c r="BN96" s="2084"/>
      <c r="BO96" s="2084"/>
      <c r="BP96" s="2084"/>
      <c r="BQ96" s="2085"/>
      <c r="BR96" s="2083"/>
      <c r="BS96" s="2084"/>
      <c r="BT96" s="2084"/>
      <c r="BU96" s="2084"/>
      <c r="BV96" s="2084"/>
      <c r="BW96" s="2084"/>
      <c r="BX96" s="2084"/>
      <c r="BY96" s="2085"/>
      <c r="BZ96" s="2083"/>
      <c r="CA96" s="2084"/>
      <c r="CB96" s="2084"/>
      <c r="CC96" s="2084"/>
      <c r="CD96" s="2084"/>
      <c r="CE96" s="2084"/>
      <c r="CF96" s="2084"/>
      <c r="CG96" s="2085"/>
      <c r="CH96" s="2083"/>
      <c r="CI96" s="2084"/>
      <c r="CJ96" s="2084"/>
      <c r="CK96" s="2084"/>
      <c r="CL96" s="2084"/>
      <c r="CM96" s="2084"/>
      <c r="CN96" s="2084"/>
      <c r="CO96" s="2085"/>
      <c r="CP96" s="2083"/>
      <c r="CQ96" s="2084"/>
      <c r="CR96" s="2084"/>
      <c r="CS96" s="2084"/>
      <c r="CT96" s="2084"/>
      <c r="CU96" s="2084"/>
      <c r="CV96" s="2084"/>
      <c r="CW96" s="2085"/>
      <c r="CX96" s="2083"/>
      <c r="CY96" s="2084"/>
      <c r="CZ96" s="2084"/>
      <c r="DA96" s="2084"/>
      <c r="DB96" s="2084"/>
      <c r="DC96" s="2084"/>
      <c r="DD96" s="2084"/>
      <c r="DE96" s="2085"/>
      <c r="DF96" s="2085"/>
      <c r="DG96" s="1273" t="s">
        <v>416</v>
      </c>
      <c r="DH96" s="1667"/>
      <c r="DI96" s="1649"/>
      <c r="DJ96" s="1649" t="str">
        <f>IF(T96="","",T96)</f>
        <v>Источник тепловой энергии  </v>
      </c>
      <c r="DK96" s="1649"/>
      <c r="DL96" s="1649"/>
    </row>
    <row s="2437" customFormat="1" customHeight="1" ht="47.25">
      <c r="A97" s="1380"/>
      <c r="B97" s="1380"/>
      <c r="C97" s="1380"/>
      <c r="D97" s="1380"/>
      <c r="E97" s="2090" t="s">
        <v>89</v>
      </c>
      <c r="F97" s="2090"/>
      <c r="G97" s="2090"/>
      <c r="H97" s="2090"/>
      <c r="I97" s="2091" t="str">
        <f>S96&amp;".1"</f>
        <v>4.1.1.1.1</v>
      </c>
      <c r="J97" s="1380"/>
      <c r="K97" s="1380"/>
      <c r="L97" s="1386" t="s">
        <v>417</v>
      </c>
      <c r="M97" s="1383"/>
      <c r="N97" s="1801"/>
      <c r="O97" s="1801"/>
      <c r="P97" s="2205">
        <v>1</v>
      </c>
      <c r="Q97" s="2205"/>
      <c r="R97" s="344"/>
      <c r="S97" s="2107" t="str">
        <f>$I97</f>
        <v>4.1.1.1.1</v>
      </c>
      <c r="T97" s="266" t="s">
        <v>418</v>
      </c>
      <c r="U97" s="280"/>
      <c r="V97" s="2077"/>
      <c r="W97" s="2078"/>
      <c r="X97" s="2078"/>
      <c r="Y97" s="2078"/>
      <c r="Z97" s="2078"/>
      <c r="AA97" s="2078"/>
      <c r="AB97" s="2078"/>
      <c r="AC97" s="2079"/>
      <c r="AD97" s="2077" t="s">
        <v>459</v>
      </c>
      <c r="AE97" s="2078"/>
      <c r="AF97" s="2078"/>
      <c r="AG97" s="2078"/>
      <c r="AH97" s="2078"/>
      <c r="AI97" s="2078"/>
      <c r="AJ97" s="2078"/>
      <c r="AK97" s="2078"/>
      <c r="AL97" s="2077"/>
      <c r="AM97" s="2078"/>
      <c r="AN97" s="2078"/>
      <c r="AO97" s="2078"/>
      <c r="AP97" s="2078"/>
      <c r="AQ97" s="2078"/>
      <c r="AR97" s="2078"/>
      <c r="AS97" s="2079"/>
      <c r="AT97" s="2077"/>
      <c r="AU97" s="2078"/>
      <c r="AV97" s="2078"/>
      <c r="AW97" s="2078"/>
      <c r="AX97" s="2078"/>
      <c r="AY97" s="2078"/>
      <c r="AZ97" s="2078"/>
      <c r="BA97" s="2079"/>
      <c r="BB97" s="2077"/>
      <c r="BC97" s="2078"/>
      <c r="BD97" s="2078"/>
      <c r="BE97" s="2078"/>
      <c r="BF97" s="2078"/>
      <c r="BG97" s="2078"/>
      <c r="BH97" s="2078"/>
      <c r="BI97" s="2079"/>
      <c r="BJ97" s="2077"/>
      <c r="BK97" s="2078"/>
      <c r="BL97" s="2078"/>
      <c r="BM97" s="2078"/>
      <c r="BN97" s="2078"/>
      <c r="BO97" s="2078"/>
      <c r="BP97" s="2078"/>
      <c r="BQ97" s="2079"/>
      <c r="BR97" s="2077"/>
      <c r="BS97" s="2078"/>
      <c r="BT97" s="2078"/>
      <c r="BU97" s="2078"/>
      <c r="BV97" s="2078"/>
      <c r="BW97" s="2078"/>
      <c r="BX97" s="2078"/>
      <c r="BY97" s="2079"/>
      <c r="BZ97" s="2077"/>
      <c r="CA97" s="2078"/>
      <c r="CB97" s="2078"/>
      <c r="CC97" s="2078"/>
      <c r="CD97" s="2078"/>
      <c r="CE97" s="2078"/>
      <c r="CF97" s="2078"/>
      <c r="CG97" s="2079"/>
      <c r="CH97" s="2077"/>
      <c r="CI97" s="2078"/>
      <c r="CJ97" s="2078"/>
      <c r="CK97" s="2078"/>
      <c r="CL97" s="2078"/>
      <c r="CM97" s="2078"/>
      <c r="CN97" s="2078"/>
      <c r="CO97" s="2079"/>
      <c r="CP97" s="2077"/>
      <c r="CQ97" s="2078"/>
      <c r="CR97" s="2078"/>
      <c r="CS97" s="2078"/>
      <c r="CT97" s="2078"/>
      <c r="CU97" s="2078"/>
      <c r="CV97" s="2078"/>
      <c r="CW97" s="2079"/>
      <c r="CX97" s="2077"/>
      <c r="CY97" s="2078"/>
      <c r="CZ97" s="2078"/>
      <c r="DA97" s="2078"/>
      <c r="DB97" s="2078"/>
      <c r="DC97" s="2078"/>
      <c r="DD97" s="2078"/>
      <c r="DE97" s="2079"/>
      <c r="DF97" s="2079"/>
      <c r="DG97" s="1273" t="s">
        <v>419</v>
      </c>
      <c r="DH97" s="1667"/>
      <c r="DI97" s="1649"/>
      <c r="DJ97" s="1649" t="str">
        <f>IF(T97="","",T97)</f>
        <v>Схема подключения теплопотребляющей установки к коллектору источника тепловой энергии</v>
      </c>
      <c r="DK97" s="1649"/>
      <c r="DL97" s="1649"/>
    </row>
    <row s="2437" customFormat="1" customHeight="1" ht="21">
      <c r="A98" s="1380"/>
      <c r="B98" s="1380"/>
      <c r="C98" s="1380"/>
      <c r="D98" s="1380"/>
      <c r="E98" s="2090" t="s">
        <v>89</v>
      </c>
      <c r="F98" s="2090"/>
      <c r="G98" s="2090"/>
      <c r="H98" s="2090"/>
      <c r="I98" s="2092"/>
      <c r="J98" s="2091" t="str">
        <f>I97&amp;".1"</f>
        <v>4.1.1.1.1.1</v>
      </c>
      <c r="K98" s="1380"/>
      <c r="L98" s="1386" t="s">
        <v>420</v>
      </c>
      <c r="M98" s="1383"/>
      <c r="N98" s="1383"/>
      <c r="O98" s="1801"/>
      <c r="P98" s="2205"/>
      <c r="Q98" s="2205">
        <v>1</v>
      </c>
      <c r="R98" s="345"/>
      <c r="S98" s="2107" t="str">
        <f>$J98</f>
        <v>4.1.1.1.1.1</v>
      </c>
      <c r="T98" s="267" t="s">
        <v>421</v>
      </c>
      <c r="U98" s="280"/>
      <c r="V98" s="2077"/>
      <c r="W98" s="2078"/>
      <c r="X98" s="2078"/>
      <c r="Y98" s="2078"/>
      <c r="Z98" s="2078"/>
      <c r="AA98" s="2078"/>
      <c r="AB98" s="2078"/>
      <c r="AC98" s="2079"/>
      <c r="AD98" s="2077" t="s">
        <v>459</v>
      </c>
      <c r="AE98" s="2078"/>
      <c r="AF98" s="2078"/>
      <c r="AG98" s="2078"/>
      <c r="AH98" s="2078"/>
      <c r="AI98" s="2078"/>
      <c r="AJ98" s="2078"/>
      <c r="AK98" s="2078"/>
      <c r="AL98" s="2077"/>
      <c r="AM98" s="2078"/>
      <c r="AN98" s="2078"/>
      <c r="AO98" s="2078"/>
      <c r="AP98" s="2078"/>
      <c r="AQ98" s="2078"/>
      <c r="AR98" s="2078"/>
      <c r="AS98" s="2079"/>
      <c r="AT98" s="2077"/>
      <c r="AU98" s="2078"/>
      <c r="AV98" s="2078"/>
      <c r="AW98" s="2078"/>
      <c r="AX98" s="2078"/>
      <c r="AY98" s="2078"/>
      <c r="AZ98" s="2078"/>
      <c r="BA98" s="2079"/>
      <c r="BB98" s="2077"/>
      <c r="BC98" s="2078"/>
      <c r="BD98" s="2078"/>
      <c r="BE98" s="2078"/>
      <c r="BF98" s="2078"/>
      <c r="BG98" s="2078"/>
      <c r="BH98" s="2078"/>
      <c r="BI98" s="2079"/>
      <c r="BJ98" s="2077"/>
      <c r="BK98" s="2078"/>
      <c r="BL98" s="2078"/>
      <c r="BM98" s="2078"/>
      <c r="BN98" s="2078"/>
      <c r="BO98" s="2078"/>
      <c r="BP98" s="2078"/>
      <c r="BQ98" s="2079"/>
      <c r="BR98" s="2077"/>
      <c r="BS98" s="2078"/>
      <c r="BT98" s="2078"/>
      <c r="BU98" s="2078"/>
      <c r="BV98" s="2078"/>
      <c r="BW98" s="2078"/>
      <c r="BX98" s="2078"/>
      <c r="BY98" s="2079"/>
      <c r="BZ98" s="2077"/>
      <c r="CA98" s="2078"/>
      <c r="CB98" s="2078"/>
      <c r="CC98" s="2078"/>
      <c r="CD98" s="2078"/>
      <c r="CE98" s="2078"/>
      <c r="CF98" s="2078"/>
      <c r="CG98" s="2079"/>
      <c r="CH98" s="2077"/>
      <c r="CI98" s="2078"/>
      <c r="CJ98" s="2078"/>
      <c r="CK98" s="2078"/>
      <c r="CL98" s="2078"/>
      <c r="CM98" s="2078"/>
      <c r="CN98" s="2078"/>
      <c r="CO98" s="2079"/>
      <c r="CP98" s="2077"/>
      <c r="CQ98" s="2078"/>
      <c r="CR98" s="2078"/>
      <c r="CS98" s="2078"/>
      <c r="CT98" s="2078"/>
      <c r="CU98" s="2078"/>
      <c r="CV98" s="2078"/>
      <c r="CW98" s="2079"/>
      <c r="CX98" s="2077"/>
      <c r="CY98" s="2078"/>
      <c r="CZ98" s="2078"/>
      <c r="DA98" s="2078"/>
      <c r="DB98" s="2078"/>
      <c r="DC98" s="2078"/>
      <c r="DD98" s="2078"/>
      <c r="DE98" s="2079"/>
      <c r="DF98" s="2079"/>
      <c r="DG98" s="1273" t="s">
        <v>422</v>
      </c>
      <c r="DH98" s="1667"/>
      <c r="DI98" s="1649"/>
      <c r="DJ98" s="1649" t="str">
        <f>IF(T98="","",T98)</f>
        <v>Группа потребителей</v>
      </c>
      <c r="DK98" s="1649"/>
      <c r="DL98" s="1649"/>
    </row>
    <row s="2437" customFormat="1" customHeight="1" ht="21">
      <c r="A99" s="1380"/>
      <c r="B99" s="1380"/>
      <c r="C99" s="1380"/>
      <c r="D99" s="1380"/>
      <c r="E99" s="2090" t="s">
        <v>89</v>
      </c>
      <c r="F99" s="2090"/>
      <c r="G99" s="2090"/>
      <c r="H99" s="2090"/>
      <c r="I99" s="2092"/>
      <c r="J99" s="2092"/>
      <c r="K99" s="2091" t="str">
        <f>J98&amp;".1"</f>
        <v>4.1.1.1.1.1.1</v>
      </c>
      <c r="L99" s="1386" t="s">
        <v>423</v>
      </c>
      <c r="M99" s="1383"/>
      <c r="N99" s="1383"/>
      <c r="O99" s="1383"/>
      <c r="P99" s="2205"/>
      <c r="Q99" s="2205"/>
      <c r="R99" s="345">
        <v>1</v>
      </c>
      <c r="S99" s="2107" t="str">
        <f>$K99</f>
        <v>4.1.1.1.1.1.1</v>
      </c>
      <c r="T99" s="1364" t="s">
        <v>460</v>
      </c>
      <c r="U99" s="280"/>
      <c r="V99" s="1377"/>
      <c r="W99" s="1377"/>
      <c r="X99" s="1377"/>
      <c r="Y99" s="1378"/>
      <c r="Z99" s="2087"/>
      <c r="AA99" s="2086" t="s">
        <v>61</v>
      </c>
      <c r="AB99" s="2087"/>
      <c r="AC99" s="2086" t="s">
        <v>61</v>
      </c>
      <c r="AD99" s="746">
        <v>2111.4</v>
      </c>
      <c r="AE99" s="312"/>
      <c r="AF99" s="746"/>
      <c r="AG99" s="1272"/>
      <c r="AH99" s="2425">
        <v>45292.6503125</v>
      </c>
      <c r="AI99" s="1963" t="s">
        <v>61</v>
      </c>
      <c r="AJ99" s="2425">
        <v>45473.65039351852</v>
      </c>
      <c r="AK99" s="1963" t="s">
        <v>61</v>
      </c>
      <c r="AL99" s="746">
        <v>2318.32</v>
      </c>
      <c r="AM99" s="312"/>
      <c r="AN99" s="746"/>
      <c r="AO99" s="1272"/>
      <c r="AP99" s="2425">
        <v>45474.65052083333</v>
      </c>
      <c r="AQ99" s="1963" t="s">
        <v>61</v>
      </c>
      <c r="AR99" s="2425">
        <v>45657.65060185185</v>
      </c>
      <c r="AS99" s="1963" t="s">
        <v>56</v>
      </c>
      <c r="AT99" s="1377"/>
      <c r="AU99" s="1377"/>
      <c r="AV99" s="1377"/>
      <c r="AW99" s="1378"/>
      <c r="AX99" s="2087"/>
      <c r="AY99" s="2086" t="s">
        <v>61</v>
      </c>
      <c r="AZ99" s="2087"/>
      <c r="BA99" s="2086" t="s">
        <v>61</v>
      </c>
      <c r="BB99" s="1377"/>
      <c r="BC99" s="1377"/>
      <c r="BD99" s="1377"/>
      <c r="BE99" s="1378"/>
      <c r="BF99" s="2087"/>
      <c r="BG99" s="2086" t="s">
        <v>61</v>
      </c>
      <c r="BH99" s="2087"/>
      <c r="BI99" s="2086" t="s">
        <v>61</v>
      </c>
      <c r="BJ99" s="1377"/>
      <c r="BK99" s="1377"/>
      <c r="BL99" s="1377"/>
      <c r="BM99" s="1378"/>
      <c r="BN99" s="2087"/>
      <c r="BO99" s="2086" t="s">
        <v>61</v>
      </c>
      <c r="BP99" s="2087"/>
      <c r="BQ99" s="2086" t="s">
        <v>61</v>
      </c>
      <c r="BR99" s="1377"/>
      <c r="BS99" s="1377"/>
      <c r="BT99" s="1377"/>
      <c r="BU99" s="1378"/>
      <c r="BV99" s="2087"/>
      <c r="BW99" s="2086" t="s">
        <v>61</v>
      </c>
      <c r="BX99" s="2087"/>
      <c r="BY99" s="2086" t="s">
        <v>61</v>
      </c>
      <c r="BZ99" s="1377"/>
      <c r="CA99" s="1377"/>
      <c r="CB99" s="1377"/>
      <c r="CC99" s="1378"/>
      <c r="CD99" s="2087"/>
      <c r="CE99" s="2086" t="s">
        <v>61</v>
      </c>
      <c r="CF99" s="2087"/>
      <c r="CG99" s="2086" t="s">
        <v>61</v>
      </c>
      <c r="CH99" s="1377"/>
      <c r="CI99" s="1377"/>
      <c r="CJ99" s="1377"/>
      <c r="CK99" s="1378"/>
      <c r="CL99" s="2087"/>
      <c r="CM99" s="2086" t="s">
        <v>61</v>
      </c>
      <c r="CN99" s="2087"/>
      <c r="CO99" s="2086" t="s">
        <v>61</v>
      </c>
      <c r="CP99" s="1377"/>
      <c r="CQ99" s="1377"/>
      <c r="CR99" s="1377"/>
      <c r="CS99" s="1378"/>
      <c r="CT99" s="2087"/>
      <c r="CU99" s="2086" t="s">
        <v>61</v>
      </c>
      <c r="CV99" s="2087"/>
      <c r="CW99" s="2086" t="s">
        <v>61</v>
      </c>
      <c r="CX99" s="1377"/>
      <c r="CY99" s="1377"/>
      <c r="CZ99" s="1377"/>
      <c r="DA99" s="1378"/>
      <c r="DB99" s="2087"/>
      <c r="DC99" s="2086" t="s">
        <v>61</v>
      </c>
      <c r="DD99" s="2087"/>
      <c r="DE99" s="2086" t="s">
        <v>61</v>
      </c>
      <c r="DF99" s="312"/>
      <c r="DG99" s="2119" t="s">
        <v>424</v>
      </c>
      <c r="DH99" s="1667">
        <f>STRCHECKDATE(V100:DF100)</f>
      </c>
      <c r="DI99" s="1649"/>
      <c r="DJ99" s="1649" t="str">
        <f>IF(T99="","",T99)</f>
        <v>вода</v>
      </c>
      <c r="DK99" s="1649"/>
      <c r="DL99" s="1649"/>
    </row>
    <row s="2437" customFormat="1" customHeight="1" ht="0.75">
      <c r="A100" s="1380"/>
      <c r="B100" s="1380"/>
      <c r="C100" s="1380"/>
      <c r="D100" s="1380"/>
      <c r="E100" s="2090" t="s">
        <v>89</v>
      </c>
      <c r="F100" s="2090"/>
      <c r="G100" s="2090"/>
      <c r="H100" s="2090"/>
      <c r="I100" s="2092"/>
      <c r="J100" s="2092"/>
      <c r="K100" s="2091"/>
      <c r="L100" s="1386"/>
      <c r="M100" s="1383"/>
      <c r="N100" s="1383"/>
      <c r="O100" s="1383"/>
      <c r="P100" s="2205"/>
      <c r="Q100" s="2205"/>
      <c r="R100" s="345"/>
      <c r="S100" s="2349"/>
      <c r="T100" s="280"/>
      <c r="U100" s="280"/>
      <c r="V100" s="1377"/>
      <c r="W100" s="1377"/>
      <c r="X100" s="1377"/>
      <c r="Y100" s="316" t="str">
        <f>Z99&amp;"-"&amp;AB99</f>
        <v>-</v>
      </c>
      <c r="Z100" s="2086"/>
      <c r="AA100" s="2086"/>
      <c r="AB100" s="2086"/>
      <c r="AC100" s="2086"/>
      <c r="AD100" s="312"/>
      <c r="AE100" s="312"/>
      <c r="AF100" s="312"/>
      <c r="AG100" s="316" t="str">
        <f>AH99&amp;"-"&amp;AJ99</f>
        <v>45292.6503125-45473.65039351852</v>
      </c>
      <c r="AH100" s="2134"/>
      <c r="AI100" s="1963"/>
      <c r="AJ100" s="2134"/>
      <c r="AK100" s="1963"/>
      <c r="AL100" s="312"/>
      <c r="AM100" s="312"/>
      <c r="AN100" s="312"/>
      <c r="AO100" s="316" t="str">
        <f>AP99&amp;"-"&amp;AR99</f>
        <v>45474.65052083333-45657.65060185185</v>
      </c>
      <c r="AP100" s="2134"/>
      <c r="AQ100" s="1963"/>
      <c r="AR100" s="2134"/>
      <c r="AS100" s="1963"/>
      <c r="AT100" s="1377"/>
      <c r="AU100" s="1377"/>
      <c r="AV100" s="1377"/>
      <c r="AW100" s="316" t="str">
        <f>AX99&amp;"-"&amp;AZ99</f>
        <v>-</v>
      </c>
      <c r="AX100" s="2086"/>
      <c r="AY100" s="2086"/>
      <c r="AZ100" s="2086"/>
      <c r="BA100" s="2086"/>
      <c r="BB100" s="1377"/>
      <c r="BC100" s="1377"/>
      <c r="BD100" s="1377"/>
      <c r="BE100" s="316" t="str">
        <f>BF99&amp;"-"&amp;BH99</f>
        <v>-</v>
      </c>
      <c r="BF100" s="2086"/>
      <c r="BG100" s="2086"/>
      <c r="BH100" s="2086"/>
      <c r="BI100" s="2086"/>
      <c r="BJ100" s="1377"/>
      <c r="BK100" s="1377"/>
      <c r="BL100" s="1377"/>
      <c r="BM100" s="316" t="str">
        <f>BN99&amp;"-"&amp;BP99</f>
        <v>-</v>
      </c>
      <c r="BN100" s="2086"/>
      <c r="BO100" s="2086"/>
      <c r="BP100" s="2086"/>
      <c r="BQ100" s="2086"/>
      <c r="BR100" s="1377"/>
      <c r="BS100" s="1377"/>
      <c r="BT100" s="1377"/>
      <c r="BU100" s="316" t="str">
        <f>BV99&amp;"-"&amp;BX99</f>
        <v>-</v>
      </c>
      <c r="BV100" s="2086"/>
      <c r="BW100" s="2086"/>
      <c r="BX100" s="2086"/>
      <c r="BY100" s="2086"/>
      <c r="BZ100" s="1377"/>
      <c r="CA100" s="1377"/>
      <c r="CB100" s="1377"/>
      <c r="CC100" s="316" t="str">
        <f>CD99&amp;"-"&amp;CF99</f>
        <v>-</v>
      </c>
      <c r="CD100" s="2086"/>
      <c r="CE100" s="2086"/>
      <c r="CF100" s="2086"/>
      <c r="CG100" s="2086"/>
      <c r="CH100" s="1377"/>
      <c r="CI100" s="1377"/>
      <c r="CJ100" s="1377"/>
      <c r="CK100" s="316" t="str">
        <f>CL99&amp;"-"&amp;CN99</f>
        <v>-</v>
      </c>
      <c r="CL100" s="2086"/>
      <c r="CM100" s="2086"/>
      <c r="CN100" s="2086"/>
      <c r="CO100" s="2086"/>
      <c r="CP100" s="1377"/>
      <c r="CQ100" s="1377"/>
      <c r="CR100" s="1377"/>
      <c r="CS100" s="316" t="str">
        <f>CT99&amp;"-"&amp;CV99</f>
        <v>-</v>
      </c>
      <c r="CT100" s="2086"/>
      <c r="CU100" s="2086"/>
      <c r="CV100" s="2086"/>
      <c r="CW100" s="2086"/>
      <c r="CX100" s="1377"/>
      <c r="CY100" s="1377"/>
      <c r="CZ100" s="1377"/>
      <c r="DA100" s="316" t="str">
        <f>DB99&amp;"-"&amp;DD99</f>
        <v>-</v>
      </c>
      <c r="DB100" s="2086"/>
      <c r="DC100" s="2086"/>
      <c r="DD100" s="2086"/>
      <c r="DE100" s="2086"/>
      <c r="DF100" s="312"/>
      <c r="DG100" s="2120"/>
      <c r="DH100" s="1667"/>
      <c r="DI100" s="1649"/>
      <c r="DJ100" s="1649" t="str">
        <f>IF(T100="","",T100)</f>
        <v/>
      </c>
      <c r="DK100" s="1649"/>
      <c r="DL100" s="1649"/>
    </row>
    <row s="2437" customFormat="1" customHeight="1" ht="15">
      <c r="A101" s="1380"/>
      <c r="B101" s="1380"/>
      <c r="C101" s="1380"/>
      <c r="D101" s="1380"/>
      <c r="E101" s="2090" t="s">
        <v>89</v>
      </c>
      <c r="F101" s="2090"/>
      <c r="G101" s="2090"/>
      <c r="H101" s="2090"/>
      <c r="I101" s="2092"/>
      <c r="J101" s="2091"/>
      <c r="K101" s="1380"/>
      <c r="L101" s="1386"/>
      <c r="M101" s="1383"/>
      <c r="N101" s="1383"/>
      <c r="O101" s="1801"/>
      <c r="P101" s="2205"/>
      <c r="Q101" s="2205"/>
      <c r="R101" s="344"/>
      <c r="S101" s="3787"/>
      <c r="T101" s="3788" t="s">
        <v>425</v>
      </c>
      <c r="U101" s="3789"/>
      <c r="V101" s="3790"/>
      <c r="W101" s="3791"/>
      <c r="X101" s="3792"/>
      <c r="Y101" s="3793"/>
      <c r="Z101" s="3794"/>
      <c r="AA101" s="3795"/>
      <c r="AB101" s="3796"/>
      <c r="AC101" s="3797"/>
      <c r="AD101" s="3798"/>
      <c r="AE101" s="3799"/>
      <c r="AF101" s="3800"/>
      <c r="AG101" s="3801"/>
      <c r="AH101" s="3802"/>
      <c r="AI101" s="3803"/>
      <c r="AJ101" s="3804"/>
      <c r="AK101" s="3805"/>
      <c r="AL101" s="3806"/>
      <c r="AM101" s="3807"/>
      <c r="AN101" s="3808"/>
      <c r="AO101" s="3809"/>
      <c r="AP101" s="3810"/>
      <c r="AQ101" s="3811"/>
      <c r="AR101" s="3812"/>
      <c r="AS101" s="3813"/>
      <c r="AT101" s="3814"/>
      <c r="AU101" s="3815"/>
      <c r="AV101" s="3816"/>
      <c r="AW101" s="3817"/>
      <c r="AX101" s="3818"/>
      <c r="AY101" s="3819"/>
      <c r="AZ101" s="3820"/>
      <c r="BA101" s="3821"/>
      <c r="BB101" s="3822"/>
      <c r="BC101" s="3823"/>
      <c r="BD101" s="3824"/>
      <c r="BE101" s="3825"/>
      <c r="BF101" s="3826"/>
      <c r="BG101" s="3827"/>
      <c r="BH101" s="3828"/>
      <c r="BI101" s="3829"/>
      <c r="BJ101" s="3830"/>
      <c r="BK101" s="3831"/>
      <c r="BL101" s="3832"/>
      <c r="BM101" s="3833"/>
      <c r="BN101" s="3834"/>
      <c r="BO101" s="3835"/>
      <c r="BP101" s="3836"/>
      <c r="BQ101" s="3837"/>
      <c r="BR101" s="3838"/>
      <c r="BS101" s="3839"/>
      <c r="BT101" s="3840"/>
      <c r="BU101" s="3841"/>
      <c r="BV101" s="3842"/>
      <c r="BW101" s="3843"/>
      <c r="BX101" s="3844"/>
      <c r="BY101" s="3845"/>
      <c r="BZ101" s="3846"/>
      <c r="CA101" s="3847"/>
      <c r="CB101" s="3848"/>
      <c r="CC101" s="3849"/>
      <c r="CD101" s="3850"/>
      <c r="CE101" s="3851"/>
      <c r="CF101" s="3852"/>
      <c r="CG101" s="3853"/>
      <c r="CH101" s="3854"/>
      <c r="CI101" s="3855"/>
      <c r="CJ101" s="3856"/>
      <c r="CK101" s="3857"/>
      <c r="CL101" s="3858"/>
      <c r="CM101" s="3859"/>
      <c r="CN101" s="3860"/>
      <c r="CO101" s="3861"/>
      <c r="CP101" s="3862"/>
      <c r="CQ101" s="3863"/>
      <c r="CR101" s="3864"/>
      <c r="CS101" s="3865"/>
      <c r="CT101" s="3866"/>
      <c r="CU101" s="3867"/>
      <c r="CV101" s="3868"/>
      <c r="CW101" s="3869"/>
      <c r="CX101" s="3870"/>
      <c r="CY101" s="3871"/>
      <c r="CZ101" s="3872"/>
      <c r="DA101" s="3873"/>
      <c r="DB101" s="3874"/>
      <c r="DC101" s="3875"/>
      <c r="DD101" s="3876"/>
      <c r="DE101" s="3877"/>
      <c r="DF101" s="3878"/>
      <c r="DG101" s="2121"/>
      <c r="DH101" s="1667"/>
      <c r="DI101" s="1649"/>
      <c r="DJ101" s="1649" t="str">
        <f>IF(T101="","",T101)</f>
        <v>Добавить вид теплоносителя (параметры теплоносителя)</v>
      </c>
      <c r="DK101" s="1649"/>
      <c r="DL101" s="1649"/>
    </row>
    <row s="2437" customFormat="1" customHeight="1" ht="15">
      <c r="A102" s="1380"/>
      <c r="B102" s="1380"/>
      <c r="C102" s="1380"/>
      <c r="D102" s="1380"/>
      <c r="E102" s="2090" t="s">
        <v>89</v>
      </c>
      <c r="F102" s="2090"/>
      <c r="G102" s="2090"/>
      <c r="H102" s="2090"/>
      <c r="I102" s="2091"/>
      <c r="J102" s="1380"/>
      <c r="K102" s="1380"/>
      <c r="L102" s="1386"/>
      <c r="M102" s="1383"/>
      <c r="N102" s="1801"/>
      <c r="O102" s="1801"/>
      <c r="P102" s="2205"/>
      <c r="Q102" s="2205"/>
      <c r="R102" s="344"/>
      <c r="S102" s="3879"/>
      <c r="T102" s="3880" t="s">
        <v>426</v>
      </c>
      <c r="U102" s="3881"/>
      <c r="V102" s="3882"/>
      <c r="W102" s="3883"/>
      <c r="X102" s="3884"/>
      <c r="Y102" s="3885"/>
      <c r="Z102" s="3886"/>
      <c r="AA102" s="3887"/>
      <c r="AB102" s="3888"/>
      <c r="AC102" s="3889"/>
      <c r="AD102" s="3890"/>
      <c r="AE102" s="3891"/>
      <c r="AF102" s="3892"/>
      <c r="AG102" s="3893"/>
      <c r="AH102" s="3894"/>
      <c r="AI102" s="3895"/>
      <c r="AJ102" s="3896"/>
      <c r="AK102" s="3897"/>
      <c r="AL102" s="3898"/>
      <c r="AM102" s="3899"/>
      <c r="AN102" s="3900"/>
      <c r="AO102" s="3901"/>
      <c r="AP102" s="3902"/>
      <c r="AQ102" s="3903"/>
      <c r="AR102" s="3904"/>
      <c r="AS102" s="3905"/>
      <c r="AT102" s="3906"/>
      <c r="AU102" s="3907"/>
      <c r="AV102" s="3908"/>
      <c r="AW102" s="3909"/>
      <c r="AX102" s="3910"/>
      <c r="AY102" s="3911"/>
      <c r="AZ102" s="3912"/>
      <c r="BA102" s="3913"/>
      <c r="BB102" s="3914"/>
      <c r="BC102" s="3915"/>
      <c r="BD102" s="3916"/>
      <c r="BE102" s="3917"/>
      <c r="BF102" s="3918"/>
      <c r="BG102" s="3919"/>
      <c r="BH102" s="3920"/>
      <c r="BI102" s="3921"/>
      <c r="BJ102" s="3922"/>
      <c r="BK102" s="3923"/>
      <c r="BL102" s="3924"/>
      <c r="BM102" s="3925"/>
      <c r="BN102" s="3926"/>
      <c r="BO102" s="3927"/>
      <c r="BP102" s="3928"/>
      <c r="BQ102" s="3929"/>
      <c r="BR102" s="3930"/>
      <c r="BS102" s="3931"/>
      <c r="BT102" s="3932"/>
      <c r="BU102" s="3933"/>
      <c r="BV102" s="3934"/>
      <c r="BW102" s="3935"/>
      <c r="BX102" s="3936"/>
      <c r="BY102" s="3937"/>
      <c r="BZ102" s="3938"/>
      <c r="CA102" s="3939"/>
      <c r="CB102" s="3940"/>
      <c r="CC102" s="3941"/>
      <c r="CD102" s="3942"/>
      <c r="CE102" s="3943"/>
      <c r="CF102" s="3944"/>
      <c r="CG102" s="3945"/>
      <c r="CH102" s="3946"/>
      <c r="CI102" s="3947"/>
      <c r="CJ102" s="3948"/>
      <c r="CK102" s="3949"/>
      <c r="CL102" s="3950"/>
      <c r="CM102" s="3951"/>
      <c r="CN102" s="3952"/>
      <c r="CO102" s="3953"/>
      <c r="CP102" s="3954"/>
      <c r="CQ102" s="3955"/>
      <c r="CR102" s="3956"/>
      <c r="CS102" s="3957"/>
      <c r="CT102" s="3958"/>
      <c r="CU102" s="3959"/>
      <c r="CV102" s="3960"/>
      <c r="CW102" s="3961"/>
      <c r="CX102" s="3962"/>
      <c r="CY102" s="3963"/>
      <c r="CZ102" s="3964"/>
      <c r="DA102" s="3965"/>
      <c r="DB102" s="3966"/>
      <c r="DC102" s="3967"/>
      <c r="DD102" s="3968"/>
      <c r="DE102" s="3969"/>
      <c r="DF102" s="3970"/>
      <c r="DG102" s="3971"/>
      <c r="DH102" s="1667"/>
      <c r="DI102" s="1649"/>
      <c r="DJ102" s="1649" t="str">
        <f>IF(T102="","",T102)</f>
        <v>Добавить группу потребителей</v>
      </c>
      <c r="DK102" s="1649"/>
      <c r="DL102" s="1649"/>
    </row>
    <row s="2437" customFormat="1" customHeight="1" ht="14.25">
      <c r="A103" s="1380"/>
      <c r="B103" s="1380"/>
      <c r="C103" s="1380"/>
      <c r="D103" s="1380"/>
      <c r="E103" s="2090" t="s">
        <v>89</v>
      </c>
      <c r="F103" s="2090"/>
      <c r="G103" s="2090"/>
      <c r="H103" s="2089"/>
      <c r="I103" s="1380"/>
      <c r="J103" s="1380"/>
      <c r="K103" s="1380"/>
      <c r="L103" s="1386"/>
      <c r="M103" s="1382"/>
      <c r="N103" s="1382"/>
      <c r="O103" s="1383"/>
      <c r="P103" s="1848"/>
      <c r="Q103" s="367"/>
      <c r="R103" s="343"/>
      <c r="S103" s="3972"/>
      <c r="T103" s="3973" t="s">
        <v>427</v>
      </c>
      <c r="U103" s="3974"/>
      <c r="V103" s="3975"/>
      <c r="W103" s="3976"/>
      <c r="X103" s="3977"/>
      <c r="Y103" s="3978"/>
      <c r="Z103" s="3979"/>
      <c r="AA103" s="3980"/>
      <c r="AB103" s="3981"/>
      <c r="AC103" s="3982"/>
      <c r="AD103" s="3983"/>
      <c r="AE103" s="3984"/>
      <c r="AF103" s="3985"/>
      <c r="AG103" s="3986"/>
      <c r="AH103" s="3987"/>
      <c r="AI103" s="3988"/>
      <c r="AJ103" s="3989"/>
      <c r="AK103" s="3990"/>
      <c r="AL103" s="3991"/>
      <c r="AM103" s="3992"/>
      <c r="AN103" s="3993"/>
      <c r="AO103" s="3994"/>
      <c r="AP103" s="3995"/>
      <c r="AQ103" s="3996"/>
      <c r="AR103" s="3997"/>
      <c r="AS103" s="3998"/>
      <c r="AT103" s="3999"/>
      <c r="AU103" s="4000"/>
      <c r="AV103" s="4001"/>
      <c r="AW103" s="4002"/>
      <c r="AX103" s="4003"/>
      <c r="AY103" s="4004"/>
      <c r="AZ103" s="4005"/>
      <c r="BA103" s="4006"/>
      <c r="BB103" s="4007"/>
      <c r="BC103" s="4008"/>
      <c r="BD103" s="4009"/>
      <c r="BE103" s="4010"/>
      <c r="BF103" s="4011"/>
      <c r="BG103" s="4012"/>
      <c r="BH103" s="4013"/>
      <c r="BI103" s="4014"/>
      <c r="BJ103" s="4015"/>
      <c r="BK103" s="4016"/>
      <c r="BL103" s="4017"/>
      <c r="BM103" s="4018"/>
      <c r="BN103" s="4019"/>
      <c r="BO103" s="4020"/>
      <c r="BP103" s="4021"/>
      <c r="BQ103" s="4022"/>
      <c r="BR103" s="4023"/>
      <c r="BS103" s="4024"/>
      <c r="BT103" s="4025"/>
      <c r="BU103" s="4026"/>
      <c r="BV103" s="4027"/>
      <c r="BW103" s="4028"/>
      <c r="BX103" s="4029"/>
      <c r="BY103" s="4030"/>
      <c r="BZ103" s="4031"/>
      <c r="CA103" s="4032"/>
      <c r="CB103" s="4033"/>
      <c r="CC103" s="4034"/>
      <c r="CD103" s="4035"/>
      <c r="CE103" s="4036"/>
      <c r="CF103" s="4037"/>
      <c r="CG103" s="4038"/>
      <c r="CH103" s="4039"/>
      <c r="CI103" s="4040"/>
      <c r="CJ103" s="4041"/>
      <c r="CK103" s="4042"/>
      <c r="CL103" s="4043"/>
      <c r="CM103" s="4044"/>
      <c r="CN103" s="4045"/>
      <c r="CO103" s="4046"/>
      <c r="CP103" s="4047"/>
      <c r="CQ103" s="4048"/>
      <c r="CR103" s="4049"/>
      <c r="CS103" s="4050"/>
      <c r="CT103" s="4051"/>
      <c r="CU103" s="4052"/>
      <c r="CV103" s="4053"/>
      <c r="CW103" s="4054"/>
      <c r="CX103" s="4055"/>
      <c r="CY103" s="4056"/>
      <c r="CZ103" s="4057"/>
      <c r="DA103" s="4058"/>
      <c r="DB103" s="4059"/>
      <c r="DC103" s="4060"/>
      <c r="DD103" s="4061"/>
      <c r="DE103" s="4062"/>
      <c r="DF103" s="4063"/>
      <c r="DG103" s="4064"/>
      <c r="DH103" s="1667"/>
      <c r="DI103" s="1649"/>
      <c r="DJ103" s="1649" t="str">
        <f>IF(T103="","",T103)</f>
        <v>Добавить схему подключения</v>
      </c>
      <c r="DK103" s="1649"/>
      <c r="DL103" s="1649"/>
    </row>
    <row s="618" customFormat="1" customHeight="1" ht="0.75">
      <c r="A104" s="1360"/>
      <c r="B104" s="1360"/>
      <c r="C104" s="1360"/>
      <c r="D104" s="1360"/>
      <c r="E104" s="2090" t="s">
        <v>89</v>
      </c>
      <c r="F104" s="2090"/>
      <c r="G104" s="2089"/>
      <c r="H104" s="1360"/>
      <c r="I104" s="1360"/>
      <c r="J104" s="1360"/>
      <c r="K104" s="1360"/>
      <c r="L104" s="1568"/>
      <c r="M104" s="1332"/>
      <c r="N104" s="1332"/>
      <c r="O104" s="1667"/>
      <c r="P104" s="1333"/>
      <c r="Q104" s="1361"/>
      <c r="R104" s="1333"/>
      <c r="S104" s="1335"/>
      <c r="T104" s="1336" t="s">
        <v>160</v>
      </c>
      <c r="U104" s="1337"/>
      <c r="V104" s="1337"/>
      <c r="W104" s="1337"/>
      <c r="X104" s="1337"/>
      <c r="Y104" s="1337"/>
      <c r="Z104" s="1337"/>
      <c r="AA104" s="1337"/>
      <c r="AB104" s="1337"/>
      <c r="AC104" s="1337"/>
      <c r="AD104" s="1337"/>
      <c r="AE104" s="1337"/>
      <c r="AF104" s="1337"/>
      <c r="AG104" s="1337"/>
      <c r="AH104" s="1337"/>
      <c r="AI104" s="1337"/>
      <c r="AJ104" s="1337"/>
      <c r="AK104" s="1337"/>
      <c r="AL104" s="1337"/>
      <c r="AM104" s="1337"/>
      <c r="AN104" s="1337"/>
      <c r="AO104" s="1337"/>
      <c r="AP104" s="1337"/>
      <c r="AQ104" s="1337"/>
      <c r="AR104" s="1337"/>
      <c r="AS104" s="1337"/>
      <c r="AT104" s="1337"/>
      <c r="AU104" s="1337"/>
      <c r="AV104" s="1337"/>
      <c r="AW104" s="1337"/>
      <c r="AX104" s="1337"/>
      <c r="AY104" s="1337"/>
      <c r="AZ104" s="1337"/>
      <c r="BA104" s="1337"/>
      <c r="BB104" s="1337"/>
      <c r="BC104" s="1337"/>
      <c r="BD104" s="1337"/>
      <c r="BE104" s="1337"/>
      <c r="BF104" s="1337"/>
      <c r="BG104" s="1337"/>
      <c r="BH104" s="1337"/>
      <c r="BI104" s="1337"/>
      <c r="BJ104" s="1337"/>
      <c r="BK104" s="1337"/>
      <c r="BL104" s="1337"/>
      <c r="BM104" s="1337"/>
      <c r="BN104" s="1337"/>
      <c r="BO104" s="1337"/>
      <c r="BP104" s="1337"/>
      <c r="BQ104" s="1337"/>
      <c r="BR104" s="1337"/>
      <c r="BS104" s="1337"/>
      <c r="BT104" s="1337"/>
      <c r="BU104" s="1337"/>
      <c r="BV104" s="1337"/>
      <c r="BW104" s="1337"/>
      <c r="BX104" s="1337"/>
      <c r="BY104" s="1337"/>
      <c r="BZ104" s="1337"/>
      <c r="CA104" s="1337"/>
      <c r="CB104" s="1337"/>
      <c r="CC104" s="1337"/>
      <c r="CD104" s="1337"/>
      <c r="CE104" s="1337"/>
      <c r="CF104" s="1337"/>
      <c r="CG104" s="1337"/>
      <c r="CH104" s="1337"/>
      <c r="CI104" s="1337"/>
      <c r="CJ104" s="1337"/>
      <c r="CK104" s="1337"/>
      <c r="CL104" s="1337"/>
      <c r="CM104" s="1337"/>
      <c r="CN104" s="1337"/>
      <c r="CO104" s="1337"/>
      <c r="CP104" s="1337"/>
      <c r="CQ104" s="1337"/>
      <c r="CR104" s="1337"/>
      <c r="CS104" s="1337"/>
      <c r="CT104" s="1337"/>
      <c r="CU104" s="1337"/>
      <c r="CV104" s="1337"/>
      <c r="CW104" s="1337"/>
      <c r="CX104" s="1337"/>
      <c r="CY104" s="1337"/>
      <c r="CZ104" s="1337"/>
      <c r="DA104" s="1337"/>
      <c r="DB104" s="1337"/>
      <c r="DC104" s="1337"/>
      <c r="DD104" s="1337"/>
      <c r="DE104" s="1337"/>
      <c r="DF104" s="1337"/>
      <c r="DG104" s="1337"/>
      <c r="DH104" s="1667"/>
      <c r="DI104" s="1649"/>
      <c r="DJ104" s="1649" t="str">
        <f>IF(T104="","",T104)</f>
        <v>Добавить источник для дифференциации</v>
      </c>
      <c r="DK104" s="1649"/>
      <c r="DL104" s="1649"/>
    </row>
    <row s="618" customFormat="1" customHeight="1" ht="0.75">
      <c r="A105" s="1360"/>
      <c r="B105" s="1360"/>
      <c r="C105" s="1360"/>
      <c r="D105" s="1360"/>
      <c r="E105" s="2090" t="s">
        <v>89</v>
      </c>
      <c r="F105" s="2089"/>
      <c r="G105" s="1360"/>
      <c r="H105" s="1360"/>
      <c r="I105" s="1360"/>
      <c r="J105" s="1360"/>
      <c r="K105" s="1360"/>
      <c r="L105" s="1568"/>
      <c r="M105" s="1338"/>
      <c r="N105" s="1338"/>
      <c r="O105" s="1667"/>
      <c r="P105" s="1333"/>
      <c r="Q105" s="1361"/>
      <c r="R105" s="1333"/>
      <c r="S105" s="1339"/>
      <c r="T105" s="1340" t="s">
        <v>161</v>
      </c>
      <c r="U105" s="1341"/>
      <c r="V105" s="1341"/>
      <c r="W105" s="1341"/>
      <c r="X105" s="1341"/>
      <c r="Y105" s="1341"/>
      <c r="Z105" s="1341"/>
      <c r="AA105" s="1341"/>
      <c r="AB105" s="1341"/>
      <c r="AC105" s="1341"/>
      <c r="AD105" s="1341"/>
      <c r="AE105" s="1341"/>
      <c r="AF105" s="1341"/>
      <c r="AG105" s="1341"/>
      <c r="AH105" s="1341"/>
      <c r="AI105" s="1341"/>
      <c r="AJ105" s="1341"/>
      <c r="AK105" s="1341"/>
      <c r="AL105" s="1341"/>
      <c r="AM105" s="1341"/>
      <c r="AN105" s="1341"/>
      <c r="AO105" s="1341"/>
      <c r="AP105" s="1341"/>
      <c r="AQ105" s="1341"/>
      <c r="AR105" s="1341"/>
      <c r="AS105" s="1341"/>
      <c r="AT105" s="1341"/>
      <c r="AU105" s="1341"/>
      <c r="AV105" s="1341"/>
      <c r="AW105" s="1341"/>
      <c r="AX105" s="1341"/>
      <c r="AY105" s="1341"/>
      <c r="AZ105" s="1341"/>
      <c r="BA105" s="1341"/>
      <c r="BB105" s="1341"/>
      <c r="BC105" s="1341"/>
      <c r="BD105" s="1341"/>
      <c r="BE105" s="1341"/>
      <c r="BF105" s="1341"/>
      <c r="BG105" s="1341"/>
      <c r="BH105" s="1341"/>
      <c r="BI105" s="1341"/>
      <c r="BJ105" s="1341"/>
      <c r="BK105" s="1341"/>
      <c r="BL105" s="1341"/>
      <c r="BM105" s="1341"/>
      <c r="BN105" s="1341"/>
      <c r="BO105" s="1341"/>
      <c r="BP105" s="1341"/>
      <c r="BQ105" s="1341"/>
      <c r="BR105" s="1341"/>
      <c r="BS105" s="1341"/>
      <c r="BT105" s="1341"/>
      <c r="BU105" s="1341"/>
      <c r="BV105" s="1341"/>
      <c r="BW105" s="1341"/>
      <c r="BX105" s="1341"/>
      <c r="BY105" s="1341"/>
      <c r="BZ105" s="1341"/>
      <c r="CA105" s="1341"/>
      <c r="CB105" s="1341"/>
      <c r="CC105" s="1341"/>
      <c r="CD105" s="1341"/>
      <c r="CE105" s="1341"/>
      <c r="CF105" s="1341"/>
      <c r="CG105" s="1341"/>
      <c r="CH105" s="1341"/>
      <c r="CI105" s="1341"/>
      <c r="CJ105" s="1341"/>
      <c r="CK105" s="1341"/>
      <c r="CL105" s="1341"/>
      <c r="CM105" s="1341"/>
      <c r="CN105" s="1341"/>
      <c r="CO105" s="1341"/>
      <c r="CP105" s="1341"/>
      <c r="CQ105" s="1341"/>
      <c r="CR105" s="1341"/>
      <c r="CS105" s="1341"/>
      <c r="CT105" s="1341"/>
      <c r="CU105" s="1341"/>
      <c r="CV105" s="1341"/>
      <c r="CW105" s="1341"/>
      <c r="CX105" s="1341"/>
      <c r="CY105" s="1341"/>
      <c r="CZ105" s="1341"/>
      <c r="DA105" s="1341"/>
      <c r="DB105" s="1341"/>
      <c r="DC105" s="1341"/>
      <c r="DD105" s="1341"/>
      <c r="DE105" s="1341"/>
      <c r="DF105" s="1341"/>
      <c r="DG105" s="1341"/>
      <c r="DH105" s="1667"/>
      <c r="DI105" s="1649"/>
      <c r="DJ105" s="1649" t="str">
        <f>IF(T105="","",T105)</f>
        <v>Добавить централизованную систему для дифференциации</v>
      </c>
      <c r="DK105" s="1649"/>
      <c r="DL105" s="1649"/>
    </row>
    <row s="618" customFormat="1" customHeight="1" ht="0.75">
      <c r="A106" s="1360"/>
      <c r="B106" s="1360"/>
      <c r="C106" s="1360"/>
      <c r="D106" s="1360"/>
      <c r="E106" s="2089" t="s">
        <v>89</v>
      </c>
      <c r="F106" s="1360"/>
      <c r="G106" s="1360"/>
      <c r="H106" s="1360"/>
      <c r="I106" s="1360"/>
      <c r="J106" s="1360"/>
      <c r="K106" s="1360"/>
      <c r="L106" s="1568"/>
      <c r="M106" s="1338"/>
      <c r="N106" s="1338"/>
      <c r="O106" s="1667"/>
      <c r="P106" s="1333"/>
      <c r="Q106" s="1361"/>
      <c r="R106" s="1333"/>
      <c r="S106" s="1339"/>
      <c r="T106" s="1342" t="s">
        <v>162</v>
      </c>
      <c r="U106" s="1341"/>
      <c r="V106" s="1341"/>
      <c r="W106" s="1341"/>
      <c r="X106" s="1341"/>
      <c r="Y106" s="1341"/>
      <c r="Z106" s="1341"/>
      <c r="AA106" s="1341"/>
      <c r="AB106" s="1341"/>
      <c r="AC106" s="1341"/>
      <c r="AD106" s="1341"/>
      <c r="AE106" s="1341"/>
      <c r="AF106" s="1341"/>
      <c r="AG106" s="1341"/>
      <c r="AH106" s="1341"/>
      <c r="AI106" s="1341"/>
      <c r="AJ106" s="1341"/>
      <c r="AK106" s="1341"/>
      <c r="AL106" s="1341"/>
      <c r="AM106" s="1341"/>
      <c r="AN106" s="1341"/>
      <c r="AO106" s="1341"/>
      <c r="AP106" s="1341"/>
      <c r="AQ106" s="1341"/>
      <c r="AR106" s="1341"/>
      <c r="AS106" s="1341"/>
      <c r="AT106" s="1341"/>
      <c r="AU106" s="1341"/>
      <c r="AV106" s="1341"/>
      <c r="AW106" s="1341"/>
      <c r="AX106" s="1341"/>
      <c r="AY106" s="1341"/>
      <c r="AZ106" s="1341"/>
      <c r="BA106" s="1341"/>
      <c r="BB106" s="1341"/>
      <c r="BC106" s="1341"/>
      <c r="BD106" s="1341"/>
      <c r="BE106" s="1341"/>
      <c r="BF106" s="1341"/>
      <c r="BG106" s="1341"/>
      <c r="BH106" s="1341"/>
      <c r="BI106" s="1341"/>
      <c r="BJ106" s="1341"/>
      <c r="BK106" s="1341"/>
      <c r="BL106" s="1341"/>
      <c r="BM106" s="1341"/>
      <c r="BN106" s="1341"/>
      <c r="BO106" s="1341"/>
      <c r="BP106" s="1341"/>
      <c r="BQ106" s="1341"/>
      <c r="BR106" s="1341"/>
      <c r="BS106" s="1341"/>
      <c r="BT106" s="1341"/>
      <c r="BU106" s="1341"/>
      <c r="BV106" s="1341"/>
      <c r="BW106" s="1341"/>
      <c r="BX106" s="1341"/>
      <c r="BY106" s="1341"/>
      <c r="BZ106" s="1341"/>
      <c r="CA106" s="1341"/>
      <c r="CB106" s="1341"/>
      <c r="CC106" s="1341"/>
      <c r="CD106" s="1341"/>
      <c r="CE106" s="1341"/>
      <c r="CF106" s="1341"/>
      <c r="CG106" s="1341"/>
      <c r="CH106" s="1341"/>
      <c r="CI106" s="1341"/>
      <c r="CJ106" s="1341"/>
      <c r="CK106" s="1341"/>
      <c r="CL106" s="1341"/>
      <c r="CM106" s="1341"/>
      <c r="CN106" s="1341"/>
      <c r="CO106" s="1341"/>
      <c r="CP106" s="1341"/>
      <c r="CQ106" s="1341"/>
      <c r="CR106" s="1341"/>
      <c r="CS106" s="1341"/>
      <c r="CT106" s="1341"/>
      <c r="CU106" s="1341"/>
      <c r="CV106" s="1341"/>
      <c r="CW106" s="1341"/>
      <c r="CX106" s="1341"/>
      <c r="CY106" s="1341"/>
      <c r="CZ106" s="1341"/>
      <c r="DA106" s="1341"/>
      <c r="DB106" s="1341"/>
      <c r="DC106" s="1341"/>
      <c r="DD106" s="1341"/>
      <c r="DE106" s="1341"/>
      <c r="DF106" s="1341"/>
      <c r="DG106" s="1341"/>
      <c r="DH106" s="1667"/>
      <c r="DI106" s="1649"/>
      <c r="DJ106" s="1649" t="str">
        <f>IF(T106="","",T106)</f>
        <v>Добавить территорию для дифференциации</v>
      </c>
      <c r="DK106" s="1649"/>
      <c r="DL106" s="1649"/>
    </row>
    <row s="1667" customFormat="1" customHeight="1" ht="0.75">
      <c r="A107" s="1331"/>
      <c r="B107" s="1331"/>
      <c r="C107" s="1331"/>
      <c r="D107" s="1331"/>
      <c r="E107" s="1360"/>
      <c r="F107" s="1331"/>
      <c r="G107" s="1331"/>
      <c r="H107" s="1331"/>
      <c r="I107" s="1331"/>
      <c r="J107" s="1331"/>
      <c r="K107" s="1331"/>
      <c r="L107" s="1356"/>
      <c r="M107" s="1338"/>
      <c r="N107" s="1338"/>
      <c r="P107" s="1333"/>
      <c r="Q107" s="1334"/>
      <c r="R107" s="1333"/>
      <c r="S107" s="1339"/>
      <c r="T107" s="1342" t="s">
        <v>179</v>
      </c>
      <c r="U107" s="1341"/>
      <c r="V107" s="1341"/>
      <c r="W107" s="1341"/>
      <c r="X107" s="1341"/>
      <c r="Y107" s="1341"/>
      <c r="Z107" s="1341"/>
      <c r="AA107" s="1341"/>
      <c r="AB107" s="1341"/>
      <c r="AC107" s="1341"/>
      <c r="AD107" s="1341"/>
      <c r="AE107" s="1341"/>
      <c r="AF107" s="1341"/>
      <c r="AG107" s="1341"/>
      <c r="AH107" s="1341"/>
      <c r="AI107" s="1341"/>
      <c r="AJ107" s="1341"/>
      <c r="AK107" s="1341"/>
      <c r="AL107" s="1341"/>
      <c r="AM107" s="1341"/>
      <c r="AN107" s="1341"/>
      <c r="AO107" s="1341"/>
      <c r="AP107" s="1341"/>
      <c r="AQ107" s="1341"/>
      <c r="AR107" s="1341"/>
      <c r="AS107" s="1341"/>
      <c r="AT107" s="1341"/>
      <c r="AU107" s="1341"/>
      <c r="AV107" s="1341"/>
      <c r="AW107" s="1341"/>
      <c r="AX107" s="1341"/>
      <c r="AY107" s="1341"/>
      <c r="AZ107" s="1341"/>
      <c r="BA107" s="1341"/>
      <c r="BB107" s="1341"/>
      <c r="BC107" s="1341"/>
      <c r="BD107" s="1341"/>
      <c r="BE107" s="1341"/>
      <c r="BF107" s="1341"/>
      <c r="BG107" s="1341"/>
      <c r="BH107" s="1341"/>
      <c r="BI107" s="1341"/>
      <c r="BJ107" s="1341"/>
      <c r="BK107" s="1341"/>
      <c r="BL107" s="1341"/>
      <c r="BM107" s="1341"/>
      <c r="BN107" s="1341"/>
      <c r="BO107" s="1341"/>
      <c r="BP107" s="1341"/>
      <c r="BQ107" s="1341"/>
      <c r="BR107" s="1341"/>
      <c r="BS107" s="1341"/>
      <c r="BT107" s="1341"/>
      <c r="BU107" s="1341"/>
      <c r="BV107" s="1341"/>
      <c r="BW107" s="1341"/>
      <c r="BX107" s="1341"/>
      <c r="BY107" s="1341"/>
      <c r="BZ107" s="1341"/>
      <c r="CA107" s="1341"/>
      <c r="CB107" s="1341"/>
      <c r="CC107" s="1341"/>
      <c r="CD107" s="1341"/>
      <c r="CE107" s="1341"/>
      <c r="CF107" s="1341"/>
      <c r="CG107" s="1341"/>
      <c r="CH107" s="1341"/>
      <c r="CI107" s="1341"/>
      <c r="CJ107" s="1341"/>
      <c r="CK107" s="1341"/>
      <c r="CL107" s="1341"/>
      <c r="CM107" s="1341"/>
      <c r="CN107" s="1341"/>
      <c r="CO107" s="1341"/>
      <c r="CP107" s="1341"/>
      <c r="CQ107" s="1341"/>
      <c r="CR107" s="1341"/>
      <c r="CS107" s="1341"/>
      <c r="CT107" s="1341"/>
      <c r="CU107" s="1341"/>
      <c r="CV107" s="1341"/>
      <c r="CW107" s="1341"/>
      <c r="CX107" s="1341"/>
      <c r="CY107" s="1341"/>
      <c r="CZ107" s="1341"/>
      <c r="DA107" s="1341"/>
      <c r="DB107" s="1341"/>
      <c r="DC107" s="1341"/>
      <c r="DD107" s="1341"/>
      <c r="DE107" s="1341"/>
      <c r="DF107" s="1341"/>
      <c r="DG107" s="1341"/>
      <c r="DI107" s="783"/>
      <c r="DJ107" s="783" t="str">
        <f>IF(T107="","",T107)</f>
        <v>Добавить наименование тарифа</v>
      </c>
      <c r="DK107" s="783"/>
      <c r="DL107" s="783"/>
    </row>
    <row customHeight="1" ht="11.25">
      <c r="M108" s="1155"/>
      <c r="N108" s="1155"/>
      <c r="O108" s="533"/>
      <c r="P108" s="1150"/>
      <c r="Q108" s="1150"/>
      <c r="R108" s="1150"/>
      <c r="S108" s="1150"/>
      <c r="AL108" s="1660"/>
      <c r="AM108" s="1660"/>
      <c r="AN108" s="1660"/>
      <c r="AO108" s="1660"/>
      <c r="AP108" s="1660"/>
      <c r="AQ108" s="1660"/>
      <c r="AR108" s="1660"/>
      <c r="AS108" s="1660"/>
      <c r="AT108" s="1660"/>
      <c r="AU108" s="1660"/>
      <c r="AV108" s="1660"/>
      <c r="AW108" s="1660"/>
      <c r="AX108" s="1660"/>
      <c r="AY108" s="1660"/>
      <c r="AZ108" s="1660"/>
      <c r="BA108" s="1660"/>
      <c r="BB108" s="1660"/>
      <c r="BC108" s="1660"/>
      <c r="BD108" s="1660"/>
      <c r="BE108" s="1660"/>
      <c r="BF108" s="1660"/>
      <c r="BG108" s="1660"/>
      <c r="BH108" s="1660"/>
      <c r="BI108" s="1660"/>
      <c r="BJ108" s="1660"/>
      <c r="BK108" s="1660"/>
      <c r="BL108" s="1660"/>
      <c r="BM108" s="1660"/>
      <c r="BN108" s="1660"/>
      <c r="BO108" s="1660"/>
      <c r="BP108" s="1660"/>
      <c r="BQ108" s="1660"/>
      <c r="BR108" s="1660"/>
      <c r="BS108" s="1660"/>
      <c r="BT108" s="1660"/>
      <c r="BU108" s="1660"/>
      <c r="BV108" s="1660"/>
      <c r="BW108" s="1660"/>
      <c r="BX108" s="1660"/>
      <c r="BY108" s="1660"/>
      <c r="BZ108" s="1660"/>
      <c r="CA108" s="1660"/>
      <c r="CB108" s="1660"/>
      <c r="CC108" s="1660"/>
      <c r="CD108" s="1660"/>
      <c r="CE108" s="1660"/>
      <c r="CF108" s="1660"/>
      <c r="CG108" s="1660"/>
      <c r="CH108" s="1660"/>
      <c r="CI108" s="1660"/>
      <c r="CJ108" s="1660"/>
      <c r="CK108" s="1660"/>
      <c r="CL108" s="1660"/>
      <c r="CM108" s="1660"/>
      <c r="CN108" s="1660"/>
      <c r="CO108" s="1660"/>
      <c r="CP108" s="1660"/>
      <c r="CQ108" s="1660"/>
      <c r="CR108" s="1660"/>
      <c r="CS108" s="1660"/>
      <c r="CT108" s="1660"/>
      <c r="CU108" s="1660"/>
      <c r="CV108" s="1660"/>
      <c r="CW108" s="1660"/>
      <c r="CX108" s="1660"/>
      <c r="CY108" s="1660"/>
      <c r="CZ108" s="1660"/>
      <c r="DA108" s="1660"/>
      <c r="DB108" s="1660"/>
      <c r="DC108" s="1660"/>
      <c r="DD108" s="1660"/>
      <c r="DE108" s="1660"/>
      <c r="DH108" s="1150"/>
      <c r="DI108" s="1150"/>
      <c r="DJ108" s="1150"/>
      <c r="DK108" s="1150"/>
      <c r="DL108" s="1150"/>
    </row>
    <row customHeight="1" ht="27">
      <c r="O109" s="533"/>
      <c r="S109" s="1260"/>
      <c r="T109" s="2088"/>
      <c r="U109" s="2088"/>
      <c r="V109" s="2088"/>
      <c r="W109" s="2088"/>
      <c r="X109" s="2088"/>
      <c r="Y109" s="2088"/>
      <c r="Z109" s="2088"/>
      <c r="AA109" s="2088"/>
      <c r="AB109" s="2088"/>
      <c r="AC109" s="2088"/>
      <c r="AD109" s="2088"/>
      <c r="AE109" s="2088"/>
      <c r="AF109" s="2088"/>
      <c r="AG109" s="2088"/>
      <c r="AH109" s="2088"/>
      <c r="AI109" s="2088"/>
      <c r="AJ109" s="2088"/>
      <c r="AK109" s="2088"/>
      <c r="AL109" s="2215"/>
      <c r="AM109" s="2215"/>
      <c r="AN109" s="2215"/>
      <c r="AO109" s="2215"/>
      <c r="AP109" s="2215"/>
      <c r="AQ109" s="2215"/>
      <c r="AR109" s="2215"/>
      <c r="AS109" s="2215"/>
      <c r="AT109" s="2215"/>
      <c r="AU109" s="2215"/>
      <c r="AV109" s="2215"/>
      <c r="AW109" s="2215"/>
      <c r="AX109" s="2215"/>
      <c r="AY109" s="2215"/>
      <c r="AZ109" s="2215"/>
      <c r="BA109" s="2215"/>
      <c r="BB109" s="2215"/>
      <c r="BC109" s="2215"/>
      <c r="BD109" s="2215"/>
      <c r="BE109" s="2215"/>
      <c r="BF109" s="2215"/>
      <c r="BG109" s="2215"/>
      <c r="BH109" s="2215"/>
      <c r="BI109" s="2215"/>
      <c r="BJ109" s="2215"/>
      <c r="BK109" s="2215"/>
      <c r="BL109" s="2215"/>
      <c r="BM109" s="2215"/>
      <c r="BN109" s="2215"/>
      <c r="BO109" s="2215"/>
      <c r="BP109" s="2215"/>
      <c r="BQ109" s="2215"/>
      <c r="BR109" s="2215"/>
      <c r="BS109" s="2215"/>
      <c r="BT109" s="2215"/>
      <c r="BU109" s="2215"/>
      <c r="BV109" s="2215"/>
      <c r="BW109" s="2215"/>
      <c r="BX109" s="2215"/>
      <c r="BY109" s="2215"/>
      <c r="BZ109" s="2215"/>
      <c r="CA109" s="2215"/>
      <c r="CB109" s="2215"/>
      <c r="CC109" s="2215"/>
      <c r="CD109" s="2215"/>
      <c r="CE109" s="2215"/>
      <c r="CF109" s="2215"/>
      <c r="CG109" s="2215"/>
      <c r="CH109" s="2215"/>
      <c r="CI109" s="2215"/>
      <c r="CJ109" s="2215"/>
      <c r="CK109" s="2215"/>
      <c r="CL109" s="2215"/>
      <c r="CM109" s="2215"/>
      <c r="CN109" s="2215"/>
      <c r="CO109" s="2215"/>
      <c r="CP109" s="2215"/>
      <c r="CQ109" s="2215"/>
      <c r="CR109" s="2215"/>
      <c r="CS109" s="2215"/>
      <c r="CT109" s="2215"/>
      <c r="CU109" s="2215"/>
      <c r="CV109" s="2215"/>
      <c r="CW109" s="2215"/>
      <c r="CX109" s="2215"/>
      <c r="CY109" s="2215"/>
      <c r="CZ109" s="2215"/>
      <c r="DA109" s="2215"/>
      <c r="DB109" s="2215"/>
      <c r="DC109" s="2215"/>
      <c r="DD109" s="2215"/>
      <c r="DE109" s="2215"/>
      <c r="DF109" s="2088"/>
      <c r="DG109" s="2088"/>
    </row>
    <row customHeight="1" ht="64.5">
      <c r="O110" s="533"/>
      <c r="P110" s="1320"/>
      <c r="T110" s="2088"/>
      <c r="U110" s="2088"/>
      <c r="V110" s="2088"/>
      <c r="W110" s="2088"/>
      <c r="X110" s="2088"/>
      <c r="Y110" s="2088"/>
      <c r="Z110" s="2088"/>
      <c r="AA110" s="2088"/>
      <c r="AB110" s="2088"/>
      <c r="AC110" s="2088"/>
      <c r="AD110" s="2088"/>
      <c r="AE110" s="2088"/>
      <c r="AF110" s="2088"/>
      <c r="AG110" s="2088"/>
      <c r="AH110" s="2088"/>
      <c r="AI110" s="2088"/>
      <c r="AJ110" s="2088"/>
      <c r="AK110" s="2088"/>
      <c r="AL110" s="2215"/>
      <c r="AM110" s="2215"/>
      <c r="AN110" s="2215"/>
      <c r="AO110" s="2215"/>
      <c r="AP110" s="2215"/>
      <c r="AQ110" s="2215"/>
      <c r="AR110" s="2215"/>
      <c r="AS110" s="2215"/>
      <c r="AT110" s="2215"/>
      <c r="AU110" s="2215"/>
      <c r="AV110" s="2215"/>
      <c r="AW110" s="2215"/>
      <c r="AX110" s="2215"/>
      <c r="AY110" s="2215"/>
      <c r="AZ110" s="2215"/>
      <c r="BA110" s="2215"/>
      <c r="BB110" s="2215"/>
      <c r="BC110" s="2215"/>
      <c r="BD110" s="2215"/>
      <c r="BE110" s="2215"/>
      <c r="BF110" s="2215"/>
      <c r="BG110" s="2215"/>
      <c r="BH110" s="2215"/>
      <c r="BI110" s="2215"/>
      <c r="BJ110" s="2215"/>
      <c r="BK110" s="2215"/>
      <c r="BL110" s="2215"/>
      <c r="BM110" s="2215"/>
      <c r="BN110" s="2215"/>
      <c r="BO110" s="2215"/>
      <c r="BP110" s="2215"/>
      <c r="BQ110" s="2215"/>
      <c r="BR110" s="2215"/>
      <c r="BS110" s="2215"/>
      <c r="BT110" s="2215"/>
      <c r="BU110" s="2215"/>
      <c r="BV110" s="2215"/>
      <c r="BW110" s="2215"/>
      <c r="BX110" s="2215"/>
      <c r="BY110" s="2215"/>
      <c r="BZ110" s="2215"/>
      <c r="CA110" s="2215"/>
      <c r="CB110" s="2215"/>
      <c r="CC110" s="2215"/>
      <c r="CD110" s="2215"/>
      <c r="CE110" s="2215"/>
      <c r="CF110" s="2215"/>
      <c r="CG110" s="2215"/>
      <c r="CH110" s="2215"/>
      <c r="CI110" s="2215"/>
      <c r="CJ110" s="2215"/>
      <c r="CK110" s="2215"/>
      <c r="CL110" s="2215"/>
      <c r="CM110" s="2215"/>
      <c r="CN110" s="2215"/>
      <c r="CO110" s="2215"/>
      <c r="CP110" s="2215"/>
      <c r="CQ110" s="2215"/>
      <c r="CR110" s="2215"/>
      <c r="CS110" s="2215"/>
      <c r="CT110" s="2215"/>
      <c r="CU110" s="2215"/>
      <c r="CV110" s="2215"/>
      <c r="CW110" s="2215"/>
      <c r="CX110" s="2215"/>
      <c r="CY110" s="2215"/>
      <c r="CZ110" s="2215"/>
      <c r="DA110" s="2215"/>
      <c r="DB110" s="2215"/>
      <c r="DC110" s="2215"/>
      <c r="DD110" s="2215"/>
      <c r="DE110" s="2215"/>
      <c r="DF110" s="2088"/>
      <c r="DG110" s="2088"/>
    </row>
    <row customHeight="1" ht="14.25">
      <c r="O111" s="533"/>
      <c r="AL111" s="1660"/>
      <c r="AM111" s="1660"/>
      <c r="AN111" s="1660"/>
      <c r="AO111" s="1660"/>
      <c r="AP111" s="1660"/>
      <c r="AQ111" s="1660"/>
      <c r="AR111" s="1660"/>
      <c r="AS111" s="1660"/>
      <c r="AT111" s="1660"/>
      <c r="AU111" s="1660"/>
      <c r="AV111" s="1660"/>
      <c r="AW111" s="1660"/>
      <c r="AX111" s="1660"/>
      <c r="AY111" s="1660"/>
      <c r="AZ111" s="1660"/>
      <c r="BA111" s="1660"/>
      <c r="BB111" s="1660"/>
      <c r="BC111" s="1660"/>
      <c r="BD111" s="1660"/>
      <c r="BE111" s="1660"/>
      <c r="BF111" s="1660"/>
      <c r="BG111" s="1660"/>
      <c r="BH111" s="1660"/>
      <c r="BI111" s="1660"/>
      <c r="BJ111" s="1660"/>
      <c r="BK111" s="1660"/>
      <c r="BL111" s="1660"/>
      <c r="BM111" s="1660"/>
      <c r="BN111" s="1660"/>
      <c r="BO111" s="1660"/>
      <c r="BP111" s="1660"/>
      <c r="BQ111" s="1660"/>
      <c r="BR111" s="1660"/>
      <c r="BS111" s="1660"/>
      <c r="BT111" s="1660"/>
      <c r="BU111" s="1660"/>
      <c r="BV111" s="1660"/>
      <c r="BW111" s="1660"/>
      <c r="BX111" s="1660"/>
      <c r="BY111" s="1660"/>
      <c r="BZ111" s="1660"/>
      <c r="CA111" s="1660"/>
      <c r="CB111" s="1660"/>
      <c r="CC111" s="1660"/>
      <c r="CD111" s="1660"/>
      <c r="CE111" s="1660"/>
      <c r="CF111" s="1660"/>
      <c r="CG111" s="1660"/>
      <c r="CH111" s="1660"/>
      <c r="CI111" s="1660"/>
      <c r="CJ111" s="1660"/>
      <c r="CK111" s="1660"/>
      <c r="CL111" s="1660"/>
      <c r="CM111" s="1660"/>
      <c r="CN111" s="1660"/>
      <c r="CO111" s="1660"/>
      <c r="CP111" s="1660"/>
      <c r="CQ111" s="1660"/>
      <c r="CR111" s="1660"/>
      <c r="CS111" s="1660"/>
      <c r="CT111" s="1660"/>
      <c r="CU111" s="1660"/>
      <c r="CV111" s="1660"/>
      <c r="CW111" s="1660"/>
      <c r="CX111" s="1660"/>
      <c r="CY111" s="1660"/>
      <c r="CZ111" s="1660"/>
      <c r="DA111" s="1660"/>
      <c r="DB111" s="1660"/>
      <c r="DC111" s="1660"/>
      <c r="DD111" s="1660"/>
      <c r="DE111" s="1660"/>
    </row>
    <row customHeight="1" ht="18">
      <c r="O112" s="533"/>
      <c r="P112" s="1345"/>
      <c r="S112" s="1260"/>
      <c r="T112" s="2088"/>
      <c r="U112" s="2088"/>
      <c r="V112" s="2088"/>
      <c r="W112" s="2088"/>
      <c r="X112" s="2088"/>
      <c r="Y112" s="2088"/>
      <c r="Z112" s="2088"/>
      <c r="AA112" s="2088"/>
      <c r="AB112" s="2088"/>
      <c r="AC112" s="2088"/>
      <c r="AD112" s="2088"/>
      <c r="AE112" s="2088"/>
      <c r="AF112" s="2088"/>
      <c r="AG112" s="2088"/>
      <c r="AH112" s="2088"/>
      <c r="AI112" s="2088"/>
      <c r="AJ112" s="2088"/>
      <c r="AK112" s="2088"/>
      <c r="AL112" s="2215"/>
      <c r="AM112" s="2215"/>
      <c r="AN112" s="2215"/>
      <c r="AO112" s="2215"/>
      <c r="AP112" s="2215"/>
      <c r="AQ112" s="2215"/>
      <c r="AR112" s="2215"/>
      <c r="AS112" s="2215"/>
      <c r="AT112" s="2215"/>
      <c r="AU112" s="2215"/>
      <c r="AV112" s="2215"/>
      <c r="AW112" s="2215"/>
      <c r="AX112" s="2215"/>
      <c r="AY112" s="2215"/>
      <c r="AZ112" s="2215"/>
      <c r="BA112" s="2215"/>
      <c r="BB112" s="2215"/>
      <c r="BC112" s="2215"/>
      <c r="BD112" s="2215"/>
      <c r="BE112" s="2215"/>
      <c r="BF112" s="2215"/>
      <c r="BG112" s="2215"/>
      <c r="BH112" s="2215"/>
      <c r="BI112" s="2215"/>
      <c r="BJ112" s="2215"/>
      <c r="BK112" s="2215"/>
      <c r="BL112" s="2215"/>
      <c r="BM112" s="2215"/>
      <c r="BN112" s="2215"/>
      <c r="BO112" s="2215"/>
      <c r="BP112" s="2215"/>
      <c r="BQ112" s="2215"/>
      <c r="BR112" s="2215"/>
      <c r="BS112" s="2215"/>
      <c r="BT112" s="2215"/>
      <c r="BU112" s="2215"/>
      <c r="BV112" s="2215"/>
      <c r="BW112" s="2215"/>
      <c r="BX112" s="2215"/>
      <c r="BY112" s="2215"/>
      <c r="BZ112" s="2215"/>
      <c r="CA112" s="2215"/>
      <c r="CB112" s="2215"/>
      <c r="CC112" s="2215"/>
      <c r="CD112" s="2215"/>
      <c r="CE112" s="2215"/>
      <c r="CF112" s="2215"/>
      <c r="CG112" s="2215"/>
      <c r="CH112" s="2215"/>
      <c r="CI112" s="2215"/>
      <c r="CJ112" s="2215"/>
      <c r="CK112" s="2215"/>
      <c r="CL112" s="2215"/>
      <c r="CM112" s="2215"/>
      <c r="CN112" s="2215"/>
      <c r="CO112" s="2215"/>
      <c r="CP112" s="2215"/>
      <c r="CQ112" s="2215"/>
      <c r="CR112" s="2215"/>
      <c r="CS112" s="2215"/>
      <c r="CT112" s="2215"/>
      <c r="CU112" s="2215"/>
      <c r="CV112" s="2215"/>
      <c r="CW112" s="2215"/>
      <c r="CX112" s="2215"/>
      <c r="CY112" s="2215"/>
      <c r="CZ112" s="2215"/>
      <c r="DA112" s="2215"/>
      <c r="DB112" s="2215"/>
      <c r="DC112" s="2215"/>
      <c r="DD112" s="2215"/>
      <c r="DE112" s="2215"/>
      <c r="DF112" s="2088"/>
      <c r="DG112" s="2088"/>
    </row>
    <row customHeight="1" ht="18">
      <c r="O113" s="533"/>
      <c r="P113" s="1345"/>
      <c r="T113" s="2088"/>
      <c r="U113" s="2088"/>
      <c r="V113" s="2088"/>
      <c r="W113" s="2088"/>
      <c r="X113" s="2088"/>
      <c r="Y113" s="2088"/>
      <c r="Z113" s="2088"/>
      <c r="AA113" s="2088"/>
      <c r="AB113" s="2088"/>
      <c r="AC113" s="2088"/>
      <c r="AD113" s="2088"/>
      <c r="AE113" s="2088"/>
      <c r="AF113" s="2088"/>
      <c r="AG113" s="2088"/>
      <c r="AH113" s="2088"/>
      <c r="AI113" s="2088"/>
      <c r="AJ113" s="2088"/>
      <c r="AK113" s="2088"/>
      <c r="AL113" s="2215"/>
      <c r="AM113" s="2215"/>
      <c r="AN113" s="2215"/>
      <c r="AO113" s="2215"/>
      <c r="AP113" s="2215"/>
      <c r="AQ113" s="2215"/>
      <c r="AR113" s="2215"/>
      <c r="AS113" s="2215"/>
      <c r="AT113" s="2215"/>
      <c r="AU113" s="2215"/>
      <c r="AV113" s="2215"/>
      <c r="AW113" s="2215"/>
      <c r="AX113" s="2215"/>
      <c r="AY113" s="2215"/>
      <c r="AZ113" s="2215"/>
      <c r="BA113" s="2215"/>
      <c r="BB113" s="2215"/>
      <c r="BC113" s="2215"/>
      <c r="BD113" s="2215"/>
      <c r="BE113" s="2215"/>
      <c r="BF113" s="2215"/>
      <c r="BG113" s="2215"/>
      <c r="BH113" s="2215"/>
      <c r="BI113" s="2215"/>
      <c r="BJ113" s="2215"/>
      <c r="BK113" s="2215"/>
      <c r="BL113" s="2215"/>
      <c r="BM113" s="2215"/>
      <c r="BN113" s="2215"/>
      <c r="BO113" s="2215"/>
      <c r="BP113" s="2215"/>
      <c r="BQ113" s="2215"/>
      <c r="BR113" s="2215"/>
      <c r="BS113" s="2215"/>
      <c r="BT113" s="2215"/>
      <c r="BU113" s="2215"/>
      <c r="BV113" s="2215"/>
      <c r="BW113" s="2215"/>
      <c r="BX113" s="2215"/>
      <c r="BY113" s="2215"/>
      <c r="BZ113" s="2215"/>
      <c r="CA113" s="2215"/>
      <c r="CB113" s="2215"/>
      <c r="CC113" s="2215"/>
      <c r="CD113" s="2215"/>
      <c r="CE113" s="2215"/>
      <c r="CF113" s="2215"/>
      <c r="CG113" s="2215"/>
      <c r="CH113" s="2215"/>
      <c r="CI113" s="2215"/>
      <c r="CJ113" s="2215"/>
      <c r="CK113" s="2215"/>
      <c r="CL113" s="2215"/>
      <c r="CM113" s="2215"/>
      <c r="CN113" s="2215"/>
      <c r="CO113" s="2215"/>
      <c r="CP113" s="2215"/>
      <c r="CQ113" s="2215"/>
      <c r="CR113" s="2215"/>
      <c r="CS113" s="2215"/>
      <c r="CT113" s="2215"/>
      <c r="CU113" s="2215"/>
      <c r="CV113" s="2215"/>
      <c r="CW113" s="2215"/>
      <c r="CX113" s="2215"/>
      <c r="CY113" s="2215"/>
      <c r="CZ113" s="2215"/>
      <c r="DA113" s="2215"/>
      <c r="DB113" s="2215"/>
      <c r="DC113" s="2215"/>
      <c r="DD113" s="2215"/>
      <c r="DE113" s="2215"/>
      <c r="DF113" s="2088"/>
      <c r="DG113" s="2088"/>
    </row>
    <row customHeight="1" ht="27.75">
      <c r="O114" s="533"/>
      <c r="P114" s="1345"/>
      <c r="S114" s="1260"/>
      <c r="T114" s="2088"/>
      <c r="U114" s="2088"/>
      <c r="V114" s="2088"/>
      <c r="W114" s="2088"/>
      <c r="X114" s="2088"/>
      <c r="Y114" s="2088"/>
      <c r="Z114" s="2088"/>
      <c r="AA114" s="2088"/>
      <c r="AB114" s="2088"/>
      <c r="AC114" s="2088"/>
      <c r="AD114" s="2088"/>
      <c r="AE114" s="2088"/>
      <c r="AF114" s="2088"/>
      <c r="AG114" s="2088"/>
      <c r="AH114" s="2088"/>
      <c r="AI114" s="2088"/>
      <c r="AJ114" s="2088"/>
      <c r="AK114" s="2088"/>
      <c r="AL114" s="2215"/>
      <c r="AM114" s="2215"/>
      <c r="AN114" s="2215"/>
      <c r="AO114" s="2215"/>
      <c r="AP114" s="2215"/>
      <c r="AQ114" s="2215"/>
      <c r="AR114" s="2215"/>
      <c r="AS114" s="2215"/>
      <c r="AT114" s="2215"/>
      <c r="AU114" s="2215"/>
      <c r="AV114" s="2215"/>
      <c r="AW114" s="2215"/>
      <c r="AX114" s="2215"/>
      <c r="AY114" s="2215"/>
      <c r="AZ114" s="2215"/>
      <c r="BA114" s="2215"/>
      <c r="BB114" s="2215"/>
      <c r="BC114" s="2215"/>
      <c r="BD114" s="2215"/>
      <c r="BE114" s="2215"/>
      <c r="BF114" s="2215"/>
      <c r="BG114" s="2215"/>
      <c r="BH114" s="2215"/>
      <c r="BI114" s="2215"/>
      <c r="BJ114" s="2215"/>
      <c r="BK114" s="2215"/>
      <c r="BL114" s="2215"/>
      <c r="BM114" s="2215"/>
      <c r="BN114" s="2215"/>
      <c r="BO114" s="2215"/>
      <c r="BP114" s="2215"/>
      <c r="BQ114" s="2215"/>
      <c r="BR114" s="2215"/>
      <c r="BS114" s="2215"/>
      <c r="BT114" s="2215"/>
      <c r="BU114" s="2215"/>
      <c r="BV114" s="2215"/>
      <c r="BW114" s="2215"/>
      <c r="BX114" s="2215"/>
      <c r="BY114" s="2215"/>
      <c r="BZ114" s="2215"/>
      <c r="CA114" s="2215"/>
      <c r="CB114" s="2215"/>
      <c r="CC114" s="2215"/>
      <c r="CD114" s="2215"/>
      <c r="CE114" s="2215"/>
      <c r="CF114" s="2215"/>
      <c r="CG114" s="2215"/>
      <c r="CH114" s="2215"/>
      <c r="CI114" s="2215"/>
      <c r="CJ114" s="2215"/>
      <c r="CK114" s="2215"/>
      <c r="CL114" s="2215"/>
      <c r="CM114" s="2215"/>
      <c r="CN114" s="2215"/>
      <c r="CO114" s="2215"/>
      <c r="CP114" s="2215"/>
      <c r="CQ114" s="2215"/>
      <c r="CR114" s="2215"/>
      <c r="CS114" s="2215"/>
      <c r="CT114" s="2215"/>
      <c r="CU114" s="2215"/>
      <c r="CV114" s="2215"/>
      <c r="CW114" s="2215"/>
      <c r="CX114" s="2215"/>
      <c r="CY114" s="2215"/>
      <c r="CZ114" s="2215"/>
      <c r="DA114" s="2215"/>
      <c r="DB114" s="2215"/>
      <c r="DC114" s="2215"/>
      <c r="DD114" s="2215"/>
      <c r="DE114" s="2215"/>
      <c r="DF114" s="2088"/>
      <c r="DG114" s="2088"/>
    </row>
  </sheetData>
  <sheetProtection formatColumns="0" formatRows="0" autoFilter="0" sort="0" insertRows="0" insertColumns="1" deleteRows="0" deleteColumns="0"/>
  <mergeCells count="617">
    <mergeCell ref="V43:AC43"/>
    <mergeCell ref="V44:AC44"/>
    <mergeCell ref="V45:AC45"/>
    <mergeCell ref="V46:AC46"/>
    <mergeCell ref="V47:AC47"/>
    <mergeCell ref="V48:AC48"/>
    <mergeCell ref="AD43:DF43"/>
    <mergeCell ref="AD44:DF44"/>
    <mergeCell ref="AD45:DF45"/>
    <mergeCell ref="AD46:DF46"/>
    <mergeCell ref="AD47:DF47"/>
    <mergeCell ref="AD48:DF48"/>
    <mergeCell ref="S26:AJ26"/>
    <mergeCell ref="S27:AJ27"/>
    <mergeCell ref="S29:T29"/>
    <mergeCell ref="S30:T30"/>
    <mergeCell ref="S31:T31"/>
    <mergeCell ref="S32:T32"/>
    <mergeCell ref="AD31:AJ31"/>
    <mergeCell ref="AD32:AJ32"/>
    <mergeCell ref="AD37:AK37"/>
    <mergeCell ref="AC49:AC50"/>
    <mergeCell ref="DG49:DG51"/>
    <mergeCell ref="DG8:DG10"/>
    <mergeCell ref="K8:K9"/>
    <mergeCell ref="P6:P11"/>
    <mergeCell ref="E43:E64"/>
    <mergeCell ref="F44:F63"/>
    <mergeCell ref="G45:G62"/>
    <mergeCell ref="H46:H61"/>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DF38"/>
    <mergeCell ref="DG38:DG41"/>
    <mergeCell ref="S39:S41"/>
    <mergeCell ref="T39:T41"/>
    <mergeCell ref="V39:AB39"/>
    <mergeCell ref="AC39:AC41"/>
    <mergeCell ref="DF39:DF41"/>
    <mergeCell ref="AI42:AJ42"/>
    <mergeCell ref="AD39:AJ39"/>
    <mergeCell ref="AK39:AK41"/>
    <mergeCell ref="AD40:AD41"/>
    <mergeCell ref="AE40:AE41"/>
    <mergeCell ref="AF40:AG40"/>
    <mergeCell ref="AH40:AJ40"/>
    <mergeCell ref="AI41:AJ41"/>
    <mergeCell ref="T112:DG112"/>
    <mergeCell ref="T113:DG113"/>
    <mergeCell ref="T114:DG114"/>
    <mergeCell ref="E2:E15"/>
    <mergeCell ref="F3:F14"/>
    <mergeCell ref="G4:G13"/>
    <mergeCell ref="H5:H12"/>
    <mergeCell ref="I6:I11"/>
    <mergeCell ref="J7:J10"/>
    <mergeCell ref="I47:I60"/>
    <mergeCell ref="J48:J51"/>
    <mergeCell ref="K49:K50"/>
    <mergeCell ref="P47:P60"/>
    <mergeCell ref="Q48:Q51"/>
    <mergeCell ref="AH49:AH50"/>
    <mergeCell ref="AI49:AI50"/>
    <mergeCell ref="AJ49:AJ50"/>
    <mergeCell ref="AK49:AK50"/>
    <mergeCell ref="T109:DG109"/>
    <mergeCell ref="W40:W41"/>
    <mergeCell ref="T110:DG110"/>
    <mergeCell ref="Z49:Z50"/>
    <mergeCell ref="AA49:AA50"/>
    <mergeCell ref="AB49:AB50"/>
    <mergeCell ref="V7:AC7"/>
    <mergeCell ref="AD7:DF7"/>
    <mergeCell ref="S34:T34"/>
    <mergeCell ref="V34:AB34"/>
    <mergeCell ref="AD34:AJ34"/>
    <mergeCell ref="S35:T35"/>
    <mergeCell ref="V35:AB35"/>
    <mergeCell ref="AD35:AJ35"/>
    <mergeCell ref="V2:AC2"/>
    <mergeCell ref="AD2:DF2"/>
    <mergeCell ref="V3:AC3"/>
    <mergeCell ref="AD3:DF3"/>
    <mergeCell ref="V4:AC4"/>
    <mergeCell ref="AD4:DF4"/>
    <mergeCell ref="V5:AC5"/>
    <mergeCell ref="AD5:DF5"/>
    <mergeCell ref="V6:AC6"/>
    <mergeCell ref="AD6:DF6"/>
    <mergeCell ref="AI17:AI18"/>
    <mergeCell ref="AJ17:AJ18"/>
    <mergeCell ref="AK17:AK18"/>
    <mergeCell ref="AK8:AK9"/>
    <mergeCell ref="AD29:AJ29"/>
    <mergeCell ref="AD30:AJ30"/>
    <mergeCell ref="DG71:DG73"/>
    <mergeCell ref="K71:K72"/>
    <mergeCell ref="P69:P74"/>
    <mergeCell ref="Q70:Q73"/>
    <mergeCell ref="AH71:AH72"/>
    <mergeCell ref="AI71:AI72"/>
    <mergeCell ref="AJ71:AJ72"/>
    <mergeCell ref="Z71:Z72"/>
    <mergeCell ref="AA71:AA72"/>
    <mergeCell ref="AB71:AB72"/>
    <mergeCell ref="AC71:AC72"/>
    <mergeCell ref="E65:E78"/>
    <mergeCell ref="F66:F77"/>
    <mergeCell ref="G67:G76"/>
    <mergeCell ref="H68:H75"/>
    <mergeCell ref="I69:I74"/>
    <mergeCell ref="J70:J73"/>
    <mergeCell ref="V70:AC70"/>
    <mergeCell ref="AD70:DF70"/>
    <mergeCell ref="V65:AC65"/>
    <mergeCell ref="AD65:DF65"/>
    <mergeCell ref="V66:AC66"/>
    <mergeCell ref="AD66:DF66"/>
    <mergeCell ref="V67:AC67"/>
    <mergeCell ref="AD67:DF67"/>
    <mergeCell ref="V68:AC68"/>
    <mergeCell ref="AD68:DF68"/>
    <mergeCell ref="V69:AC69"/>
    <mergeCell ref="AD69:DF69"/>
    <mergeCell ref="AK71:AK72"/>
    <mergeCell ref="DG85:DG87"/>
    <mergeCell ref="K85:K86"/>
    <mergeCell ref="P83:P88"/>
    <mergeCell ref="Q84:Q87"/>
    <mergeCell ref="AH85:AH86"/>
    <mergeCell ref="AI85:AI86"/>
    <mergeCell ref="AJ85:AJ86"/>
    <mergeCell ref="Z85:Z86"/>
    <mergeCell ref="AA85:AA86"/>
    <mergeCell ref="AB85:AB86"/>
    <mergeCell ref="AC85:AC86"/>
    <mergeCell ref="E79:E92"/>
    <mergeCell ref="F80:F91"/>
    <mergeCell ref="G81:G90"/>
    <mergeCell ref="H82:H89"/>
    <mergeCell ref="I83:I88"/>
    <mergeCell ref="J84:J87"/>
    <mergeCell ref="V84:AC84"/>
    <mergeCell ref="AD84:DF84"/>
    <mergeCell ref="V79:AC79"/>
    <mergeCell ref="AD79:DF79"/>
    <mergeCell ref="V80:AC80"/>
    <mergeCell ref="AD80:DF80"/>
    <mergeCell ref="V81:AC81"/>
    <mergeCell ref="AD81:DF81"/>
    <mergeCell ref="V82:AC82"/>
    <mergeCell ref="AD82:DF82"/>
    <mergeCell ref="V83:AC83"/>
    <mergeCell ref="AD83:DF83"/>
    <mergeCell ref="AK85:AK86"/>
    <mergeCell ref="DG99:DG101"/>
    <mergeCell ref="K99:K100"/>
    <mergeCell ref="P97:P102"/>
    <mergeCell ref="Q98:Q101"/>
    <mergeCell ref="AH99:AH100"/>
    <mergeCell ref="AI99:AI100"/>
    <mergeCell ref="AJ99:AJ100"/>
    <mergeCell ref="E93:E106"/>
    <mergeCell ref="F94:F105"/>
    <mergeCell ref="G95:G104"/>
    <mergeCell ref="H96:H103"/>
    <mergeCell ref="I97:I102"/>
    <mergeCell ref="J98:J101"/>
    <mergeCell ref="V98:AC98"/>
    <mergeCell ref="AD98:DF98"/>
    <mergeCell ref="V93:AC93"/>
    <mergeCell ref="AD93:DF93"/>
    <mergeCell ref="V94:AC94"/>
    <mergeCell ref="AD94:DF94"/>
    <mergeCell ref="V95:AC95"/>
    <mergeCell ref="AD95:DF95"/>
    <mergeCell ref="V96:AC96"/>
    <mergeCell ref="AD96:DF96"/>
    <mergeCell ref="V97:AC97"/>
    <mergeCell ref="AD97:DF97"/>
    <mergeCell ref="AK99:AK100"/>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P71:AP72"/>
    <mergeCell ref="AQ71:AQ72"/>
    <mergeCell ref="AR71:AR72"/>
    <mergeCell ref="AS71:AS72"/>
    <mergeCell ref="AP85:AP86"/>
    <mergeCell ref="AQ85:AQ86"/>
    <mergeCell ref="AR85:AR86"/>
    <mergeCell ref="AS85:AS86"/>
    <mergeCell ref="AP99:AP100"/>
    <mergeCell ref="AQ99:AQ100"/>
    <mergeCell ref="AR99:AR100"/>
    <mergeCell ref="AS99:AS10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AX71:AX72"/>
    <mergeCell ref="AY71:AY72"/>
    <mergeCell ref="AZ71:AZ72"/>
    <mergeCell ref="BA71:BA72"/>
    <mergeCell ref="AX85:AX86"/>
    <mergeCell ref="AY85:AY86"/>
    <mergeCell ref="AZ85:AZ86"/>
    <mergeCell ref="BA85:BA86"/>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F71:BF72"/>
    <mergeCell ref="BG71:BG72"/>
    <mergeCell ref="BH71:BH72"/>
    <mergeCell ref="BI71:BI72"/>
    <mergeCell ref="BF85:BF86"/>
    <mergeCell ref="BG85:BG86"/>
    <mergeCell ref="BH85:BH86"/>
    <mergeCell ref="BI85:BI86"/>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N71:BN72"/>
    <mergeCell ref="BO71:BO72"/>
    <mergeCell ref="BP71:BP72"/>
    <mergeCell ref="BQ71:BQ72"/>
    <mergeCell ref="BN85:BN86"/>
    <mergeCell ref="BO85:BO86"/>
    <mergeCell ref="BP85:BP86"/>
    <mergeCell ref="BQ85:BQ86"/>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BV71:BV72"/>
    <mergeCell ref="BW71:BW72"/>
    <mergeCell ref="BX71:BX72"/>
    <mergeCell ref="BY71:BY72"/>
    <mergeCell ref="BV85:BV86"/>
    <mergeCell ref="BW85:BW86"/>
    <mergeCell ref="BX85:BX86"/>
    <mergeCell ref="BY85:BY86"/>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D71:CD72"/>
    <mergeCell ref="CE71:CE72"/>
    <mergeCell ref="CF71:CF72"/>
    <mergeCell ref="CG71:CG72"/>
    <mergeCell ref="CD85:CD86"/>
    <mergeCell ref="CE85:CE86"/>
    <mergeCell ref="CF85:CF86"/>
    <mergeCell ref="CG85:CG86"/>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L71:CL72"/>
    <mergeCell ref="CM71:CM72"/>
    <mergeCell ref="CN71:CN72"/>
    <mergeCell ref="CO71:CO72"/>
    <mergeCell ref="CL85:CL86"/>
    <mergeCell ref="CM85:CM86"/>
    <mergeCell ref="CN85:CN86"/>
    <mergeCell ref="CO85:CO86"/>
    <mergeCell ref="CT8:CT9"/>
    <mergeCell ref="CU8:CU9"/>
    <mergeCell ref="CV8:CV9"/>
    <mergeCell ref="CW8:CW9"/>
    <mergeCell ref="CP29:CV29"/>
    <mergeCell ref="CP30:CV30"/>
    <mergeCell ref="CP31:CV31"/>
    <mergeCell ref="CP32:CV32"/>
    <mergeCell ref="CP34:CV34"/>
    <mergeCell ref="CP35:CV35"/>
    <mergeCell ref="CP37:CW37"/>
    <mergeCell ref="CP39:CV39"/>
    <mergeCell ref="CW39:CW41"/>
    <mergeCell ref="CP40:CP41"/>
    <mergeCell ref="CQ40:CQ41"/>
    <mergeCell ref="CR40:CS40"/>
    <mergeCell ref="CT40:CV40"/>
    <mergeCell ref="CU41:CV41"/>
    <mergeCell ref="CU42:CV42"/>
    <mergeCell ref="CT49:CT50"/>
    <mergeCell ref="CU49:CU50"/>
    <mergeCell ref="CV49:CV50"/>
    <mergeCell ref="CW49:CW50"/>
    <mergeCell ref="CT71:CT72"/>
    <mergeCell ref="CU71:CU72"/>
    <mergeCell ref="CV71:CV72"/>
    <mergeCell ref="CW71:CW72"/>
    <mergeCell ref="CT85:CT86"/>
    <mergeCell ref="CU85:CU86"/>
    <mergeCell ref="CV85:CV86"/>
    <mergeCell ref="CW85:CW86"/>
    <mergeCell ref="DB8:DB9"/>
    <mergeCell ref="DC8:DC9"/>
    <mergeCell ref="DD8:DD9"/>
    <mergeCell ref="DE8:DE9"/>
    <mergeCell ref="CX29:DD29"/>
    <mergeCell ref="CX30:DD30"/>
    <mergeCell ref="CX31:DD31"/>
    <mergeCell ref="CX32:DD32"/>
    <mergeCell ref="CX34:DD34"/>
    <mergeCell ref="CX35:DD35"/>
    <mergeCell ref="CX37:DE37"/>
    <mergeCell ref="CX39:DD39"/>
    <mergeCell ref="DE39:DE41"/>
    <mergeCell ref="CX40:CX41"/>
    <mergeCell ref="CY40:CY41"/>
    <mergeCell ref="CZ40:DA40"/>
    <mergeCell ref="DB40:DD40"/>
    <mergeCell ref="DC41:DD41"/>
    <mergeCell ref="DC42:DD42"/>
    <mergeCell ref="DB49:DB50"/>
    <mergeCell ref="DC49:DC50"/>
    <mergeCell ref="DD49:DD50"/>
    <mergeCell ref="DE49:DE50"/>
    <mergeCell ref="DB71:DB72"/>
    <mergeCell ref="DC71:DC72"/>
    <mergeCell ref="DD71:DD72"/>
    <mergeCell ref="DE71:DE72"/>
    <mergeCell ref="DB85:DB86"/>
    <mergeCell ref="DC85:DC86"/>
    <mergeCell ref="DD85:DD86"/>
    <mergeCell ref="DE85:DE86"/>
    <mergeCell ref="DG53:DG55"/>
    <mergeCell ref="K53:K54"/>
    <mergeCell ref="Q52:Q55"/>
    <mergeCell ref="AH53:AH54"/>
    <mergeCell ref="AI53:AI54"/>
    <mergeCell ref="AJ53:AJ54"/>
    <mergeCell ref="Z53:Z54"/>
    <mergeCell ref="AA53:AA54"/>
    <mergeCell ref="AB53:AB54"/>
    <mergeCell ref="AC53:AC54"/>
    <mergeCell ref="J52:J55"/>
    <mergeCell ref="V52:AC52"/>
    <mergeCell ref="AD52:DF52"/>
    <mergeCell ref="AK53:AK54"/>
    <mergeCell ref="AP53:AP54"/>
    <mergeCell ref="AQ53:AQ54"/>
    <mergeCell ref="AR53:AR54"/>
    <mergeCell ref="AS53:AS54"/>
    <mergeCell ref="AX53:AX54"/>
    <mergeCell ref="AY53:AY54"/>
    <mergeCell ref="AZ53:AZ54"/>
    <mergeCell ref="BA53:BA54"/>
    <mergeCell ref="BF53:BF54"/>
    <mergeCell ref="BG53:BG54"/>
    <mergeCell ref="BH53:BH54"/>
    <mergeCell ref="BI53:BI54"/>
    <mergeCell ref="BN53:BN54"/>
    <mergeCell ref="BO53:BO54"/>
    <mergeCell ref="BP53:BP54"/>
    <mergeCell ref="BQ53:BQ54"/>
    <mergeCell ref="BV53:BV54"/>
    <mergeCell ref="BW53:BW54"/>
    <mergeCell ref="BX53:BX54"/>
    <mergeCell ref="BY53:BY54"/>
    <mergeCell ref="CD53:CD54"/>
    <mergeCell ref="CE53:CE54"/>
    <mergeCell ref="CF53:CF54"/>
    <mergeCell ref="CG53:CG54"/>
    <mergeCell ref="CL53:CL54"/>
    <mergeCell ref="CM53:CM54"/>
    <mergeCell ref="CN53:CN54"/>
    <mergeCell ref="CO53:CO54"/>
    <mergeCell ref="CT53:CT54"/>
    <mergeCell ref="CU53:CU54"/>
    <mergeCell ref="CV53:CV54"/>
    <mergeCell ref="CW53:CW54"/>
    <mergeCell ref="DB53:DB54"/>
    <mergeCell ref="DC53:DC54"/>
    <mergeCell ref="DD53:DD54"/>
    <mergeCell ref="DE53:DE54"/>
    <mergeCell ref="DG57:DG59"/>
    <mergeCell ref="K57:K58"/>
    <mergeCell ref="Q56:Q59"/>
    <mergeCell ref="AH57:AH58"/>
    <mergeCell ref="AI57:AI58"/>
    <mergeCell ref="AJ57:AJ58"/>
    <mergeCell ref="Z57:Z58"/>
    <mergeCell ref="AA57:AA58"/>
    <mergeCell ref="AB57:AB58"/>
    <mergeCell ref="AC57:AC58"/>
    <mergeCell ref="J56:J59"/>
    <mergeCell ref="V56:AC56"/>
    <mergeCell ref="AD56:DF56"/>
    <mergeCell ref="AK57:AK58"/>
    <mergeCell ref="AP57:AP58"/>
    <mergeCell ref="AQ57:AQ58"/>
    <mergeCell ref="AR57:AR58"/>
    <mergeCell ref="AS57:AS58"/>
    <mergeCell ref="AX57:AX58"/>
    <mergeCell ref="AY57:AY58"/>
    <mergeCell ref="AZ57:AZ58"/>
    <mergeCell ref="BA57:BA58"/>
    <mergeCell ref="BF57:BF58"/>
    <mergeCell ref="BG57:BG58"/>
    <mergeCell ref="BH57:BH58"/>
    <mergeCell ref="BI57:BI58"/>
    <mergeCell ref="BN57:BN58"/>
    <mergeCell ref="BO57:BO58"/>
    <mergeCell ref="BP57:BP58"/>
    <mergeCell ref="BQ57:BQ58"/>
    <mergeCell ref="BV57:BV58"/>
    <mergeCell ref="BW57:BW58"/>
    <mergeCell ref="BX57:BX58"/>
    <mergeCell ref="BY57:BY58"/>
    <mergeCell ref="CD57:CD58"/>
    <mergeCell ref="CE57:CE58"/>
    <mergeCell ref="CF57:CF58"/>
    <mergeCell ref="CG57:CG58"/>
    <mergeCell ref="CL57:CL58"/>
    <mergeCell ref="CM57:CM58"/>
    <mergeCell ref="CN57:CN58"/>
    <mergeCell ref="CO57:CO58"/>
    <mergeCell ref="CT57:CT58"/>
    <mergeCell ref="CU57:CU58"/>
    <mergeCell ref="CV57:CV58"/>
    <mergeCell ref="CW57:CW58"/>
    <mergeCell ref="DB57:DB58"/>
    <mergeCell ref="DC57:DC58"/>
    <mergeCell ref="DD57:DD58"/>
    <mergeCell ref="DE57:DE58"/>
    <mergeCell ref="AX99:AX100"/>
    <mergeCell ref="AY99:AY100"/>
    <mergeCell ref="AZ99:AZ100"/>
    <mergeCell ref="BA99:BA100"/>
    <mergeCell ref="BF99:BF100"/>
    <mergeCell ref="BG99:BG100"/>
    <mergeCell ref="BH99:BH100"/>
    <mergeCell ref="BI99:BI100"/>
    <mergeCell ref="BN99:BN100"/>
    <mergeCell ref="BO99:BO100"/>
    <mergeCell ref="BP99:BP100"/>
    <mergeCell ref="BQ99:BQ100"/>
    <mergeCell ref="BV99:BV100"/>
    <mergeCell ref="BW99:BW100"/>
    <mergeCell ref="BX99:BX100"/>
    <mergeCell ref="BY99:BY100"/>
    <mergeCell ref="CD99:CD100"/>
    <mergeCell ref="CE99:CE100"/>
    <mergeCell ref="CF99:CF100"/>
    <mergeCell ref="CG99:CG100"/>
    <mergeCell ref="CL99:CL100"/>
    <mergeCell ref="CM99:CM100"/>
    <mergeCell ref="CN99:CN100"/>
    <mergeCell ref="CO99:CO100"/>
    <mergeCell ref="CT99:CT100"/>
    <mergeCell ref="CU99:CU100"/>
    <mergeCell ref="CV99:CV100"/>
    <mergeCell ref="CW99:CW100"/>
    <mergeCell ref="DB99:DB100"/>
    <mergeCell ref="DC99:DC100"/>
    <mergeCell ref="DD99:DD100"/>
    <mergeCell ref="DE99:DE100"/>
    <mergeCell ref="Z99:Z100"/>
    <mergeCell ref="AA99:AA100"/>
    <mergeCell ref="AB99:AB100"/>
    <mergeCell ref="AC99:AC100"/>
  </mergeCells>
  <dataValidations count="8">
    <dataValidation allowBlank="1" sqref="S131173:DG131179 S196709:DG196715 S262245:DG262251 S327781:DG327787 S393317:DG393323 S458853:DG458859 S524389:DG524395 S589925:DG589931 S655461:DG655467 S720997:DG721003 S786533:DG786539 S852069:DG852075 S917605:DG917611 S983141:DG983147 S65637:DG65643"/>
    <dataValidation type="list" allowBlank="1" showInputMessage="1" errorTitle="Ошибка" error="Выберите значение из списка" prompt="Выберите значение из списка" sqref="V983138:DF983138 V65634:DF65634 V131170:DF131170 V196706:DF196706 V262242:DF262242 V327778:DF327778 V393314:DF393314 V458850:DF458850 V524386:DF524386 V589922:DF589922 V655458:DF655458 V720994:DF720994 V786530:DF786530 V852066:DF852066 V917602:DF917602">
      <formula1>kind_of_cons</formula1>
    </dataValidation>
    <dataValidation allowBlank="1" promptTitle="checkPeriodRange" sqref="Y65636 Y131172 Y196708 Y262244 Y327780 Y393316 Y458852 Y524388 Y589924 Y655460 Y720996 Y786532 Y852068 Y917604 Y983140 Y9 AG65636 AG131172 AG196708 AG262244 AG327780 AG393316 AG458852 AG524388 AG589924 AG655460 AG720996 AG786532 AG852068 AG917604 AG983140 AG9 Y50 AG18 AG50 Y72 AG72 Y86 AG86 Y100 AG100 AO9 AO50 AO72 AO86 AO100 AW9 AW50 AW72 AW86 AW100 BE9 BE50 BE72 BE86 BE100 BM9 BM50 BM72 BM86 BM100 BU9 BU50 BU72 BU86 BU100 CC9 CC50 CC72 CC86 CC100 CK9 CK50 CK72 CK86 CK100 CS9 CS50 CS72 CS86 CS100 DA9 DA50 DA72 DA86 DA100 Y54 AG54 AO54 AW54 BE54 BM54 BU54 CC54 CK54 CS54 DA54 Y58 AG58 AO58 AW58 BE58 BM58 BU58 CC58 CK58 CS58 DA58"/>
    <dataValidation type="list" allowBlank="1" showInputMessage="1" showErrorMessage="1" errorTitle="Ошибка" error="Выберите значение из списка" sqref="V983137:W983137 V65633:W65633 V131169:W131169 V196705:W196705 V262241:W262241 V327777:W327777 V393313:W393313 V458849:W458849 V524385:W524385 V589921:W589921 V655457:W655457 V720993:W720993 V786529:W786529 V852065:W852065 V917601:W917601 AD983137:AE983137 AD65633:AE65633 AD131169:AE131169 AD196705:AE196705 AD262241:AE262241 AD327777:AE327777 AD393313:AE393313 AD458849:AE458849 AD524385:AE524385 AD589921:AE589921 AD655457:AE655457 AD720993:AE720993 AD786529:AE786529 AD852065:AE852065 AD917601:AE917601">
      <formula1>kind_of_scheme_in</formula1>
    </dataValidation>
    <dataValidation type="textLength" operator="lessThanOrEqual" allowBlank="1" showInputMessage="1" showErrorMessage="1" errorTitle="Ошибка" error="Допускается ввод не более 900 символов!" sqref="DG65629:DG65636 DG131165:DG131172 DG196701:DG196708 DG262237:DG262244 DG327773:DG327780 DG393309:DG393316 DG458845:DG458852 DG524381:DG524388 DG589917:DG589924 DG655453:DG655460 DG720989:DG720996 DG786525:DG786532 DG852061:DG852068 DG917597:DG917604 DG983133:DG983140">
      <formula1>900</formula1>
    </dataValidation>
    <dataValidation type="list" allowBlank="1" showInputMessage="1" showErrorMessage="1" errorTitle="Ошибка" error="Выберите значение из списка" sqref="T65635 T131171 T196707 T262243 T327779 T393315 T458851 T524387 T589923 T655459 T720995 T786531 T852067 T917603 T98313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635 Z131171 Z196707 Z262243 Z327779 Z393315 Z458851 Z524387 Z589923 Z655459 Z720995 Z786531 Z852067 Z917603 Z983139 AB65635 AB131171 AB196707 AB262243 AB327779 AB393315 AB458851 AB524387 AB589923 AB655459 AB720995 AB786531 AB852067 AB917603 AB983139 Z8 AH65635 AH131171 AH196707 AH262243 AH327779 AH393315 AH458851 AH524387 AH589923 AH655459 AH720995 AH786531 AH852067 AH917603 AH983139 AJ65635 AJ131171 AJ196707 AJ262243 AJ327779 AJ393315 AJ458851 AJ524387 AJ589923 AJ655459 AJ720995 AJ786531 AJ852067 AJ917603 AJ983139 AJ49 AH49 AH8 AJ8 AB8 AH17 AJ17 Z49 AB49 Z71 AB71 AH71 AJ71 Z85 AB85 AH85 AJ85 Z99 AB99 AH99 AJ99 AP8 AR8 AP49 AR49 AP71 AR71 AP85 AR85 AP99 AR99 AX8 AZ8 AX49 AZ49 AX71 AZ71 AX85 AZ85 AX99 AZ99 BF8 BH8 BF49 BH49 BF71 BH71 BF85 BH85 BF99 BH99 BN8 BP8 BN49 BP49 BN71 BP71 BN85 BP85 BN99 BP99 BV8 BX8 BV49 BX49 BV71 BX71 BV85 BX85 BV99 BX99 CD8 CF8 CD49 CF49 CD71 CF71 CD85 CF85 CD99 CF99 CL8 CN8 CL49 CN49 CL71 CN71 CL85 CN85 CL99 CN99 CT8 CV8 CT49 CV49 CT71 CV71 CT85 CV85 CT99 CV99 DB8 DD8 DB49 DD49 DB71 DD71 DB85 DD85 DB99 DD99 Z53 AB53 AH53 AJ53 AP53 AR53 AX53 AZ53 BF53 BH53 BN53 BP53 BV53 BX53 CD53 CF53 CL53 CN53 CT53 CV53 DB53 DD53 Z57 AB57 AH57 AJ57 AP57 AR57 AX57 AZ57 BF57 BH57 BN57 BP57 BV57 BX57 CD57 CF57 CL57 CN57 CT57 CV57 DB57 DD57"/>
    <dataValidation allowBlank="1" showInputMessage="1" showErrorMessage="1" prompt="Для выбора выполните двойной щелчок левой клавиши мыши по соответствующей ячейке." sqref="AA65635 AA131171 AA196707 AA262243 AA327779 AA393315 AA458851 AA524387 AA589923 AA655459 AA720995 AA786531 AA852067 AA917603 AA983139 AC131171 AC458851 AC196707 AC262243 AC327779 AC393315 AC524387 AC589923 AC655459 AC720995 AC786531 AC852067 AC917603 AC983139 AC65635 AI65635 AI131171 AI196707 AI262243 AI327779 AI393315 AI458851 AI524387 AI589923 AI655459 AI720995 AI786531 AI852067 AI917603 AI983139 AK327779:DE327779 AK393315:DE393315 AK49 AQ49 AS49 AY49 BA49 BG49 BI49 BO49 BQ49 BW49 BY49 CE49 CG49 CM49 CO49 CU49 CW49 DC49 DE49 AK524387:DE524387 AK8 AQ8 AS8 AY8 BA8 BG8 BI8 BO8 BQ8 BW8 BY8 CE8 CG8 CM8 CO8 CU8 CW8 DC8 DE8 AK589923:DE589923 AK655459:DE655459 AK17 AK720995:DE720995 AK786531:DE786531 AK852067:DE852067 AK917603:DE917603 AK983139:DE983139 AK65635:DE65635 AK131171:DE131171 AI49 AK458851:DE458851 AI8 AC8 AA8 AI17 AK196707:DE196707 AA49 AC49 AK262243:DE262243 AA71 AC71 AI71 AK71 AQ71 AS71 AY71 BA71 BG71 BI71 BO71 BQ71 BW71 BY71 CE71 CG71 CM71 CO71 CU71 CW71 DC71 DE71 AA85 AC85 AI85 AK85 AQ85 AS85 AY85 BA85 BG85 BI85 BO85 BQ85 BW85 BY85 CE85 CG85 CM85 CO85 CU85 CW85 DC85 DE85 AA99 AC99 AI99 AK99 AQ99 AS99 AY99 BA99 BG99 BI99 BO99 BQ99 BW99 BY99 CE99 CG99 CM99 CO99 CU99 CW99 DC99 DE99 AA53 AC53 AI53 AK53 AQ53 AS53 AY53 BA53 BG53 BI53 BO53 BQ53 BW53 BY53 CE53 CG53 CM53 CO53 CU53 CW53 DC53 DE53 AA57 AC57 AI57 AK57 AQ57 AS57 AY57 BA57 BG57 BI57 BO57 BQ57 BW57 BY57 CE57 CG57 CM57 CO57 CU57 CW57 DC57 DE5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6BABD5-E94C-081B-CF04-E96A696E43C3}"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410</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411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412</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413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414</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415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416</v>
      </c>
      <c r="AO5" s="496"/>
      <c r="AP5" s="496" t="str">
        <f>IF(T5="","",T5)</f>
        <v>Источник тепловой энергии  </v>
      </c>
      <c r="AQ5" s="496"/>
      <c r="AR5" s="496"/>
    </row>
    <row customHeight="1" ht="47.25" hidden="1">
      <c r="A6" s="1380"/>
      <c r="B6" s="1380"/>
      <c r="C6" s="1380"/>
      <c r="D6" s="1380"/>
      <c r="E6" s="2090"/>
      <c r="F6" s="2090"/>
      <c r="G6" s="2090"/>
      <c r="H6" s="2090"/>
      <c r="I6" s="2091">
        <f>S5&amp;".1"</f>
      </c>
      <c r="J6" s="1380"/>
      <c r="K6" s="1380"/>
      <c r="L6" s="1381" t="s">
        <v>417</v>
      </c>
      <c r="M6" s="533"/>
      <c r="P6" s="2093">
        <v>1</v>
      </c>
      <c r="Q6" s="1348"/>
      <c r="R6" s="344"/>
      <c r="S6" s="1353">
        <f>$I6</f>
      </c>
      <c r="T6" s="266" t="s">
        <v>418</v>
      </c>
      <c r="U6" s="280"/>
      <c r="V6" s="2077"/>
      <c r="W6" s="2078"/>
      <c r="X6" s="2078"/>
      <c r="Y6" s="2078"/>
      <c r="Z6" s="2078"/>
      <c r="AA6" s="2078"/>
      <c r="AB6" s="2078"/>
      <c r="AC6" s="2079"/>
      <c r="AD6" s="2077"/>
      <c r="AE6" s="2078"/>
      <c r="AF6" s="2078"/>
      <c r="AG6" s="2078"/>
      <c r="AH6" s="2078"/>
      <c r="AI6" s="2078"/>
      <c r="AJ6" s="2078"/>
      <c r="AK6" s="2078"/>
      <c r="AL6" s="2079"/>
      <c r="AM6" s="1273" t="s">
        <v>419</v>
      </c>
      <c r="AO6" s="496"/>
      <c r="AP6" s="496" t="str">
        <f>IF(T6="","",T6)</f>
        <v>Схема подключения теплопотребляющей установки к коллектору источника тепловой энергии</v>
      </c>
      <c r="AQ6" s="496"/>
      <c r="AR6" s="496"/>
    </row>
    <row customHeight="1" ht="21" hidden="1">
      <c r="A7" s="1380"/>
      <c r="B7" s="1380"/>
      <c r="C7" s="1380"/>
      <c r="D7" s="1380"/>
      <c r="E7" s="2090"/>
      <c r="F7" s="2090"/>
      <c r="G7" s="2090"/>
      <c r="H7" s="2090"/>
      <c r="I7" s="2092"/>
      <c r="J7" s="2091">
        <f>I6&amp;".1"</f>
      </c>
      <c r="K7" s="1380"/>
      <c r="L7" s="1381" t="s">
        <v>420</v>
      </c>
      <c r="M7" s="533"/>
      <c r="N7" s="1383"/>
      <c r="P7" s="2093"/>
      <c r="Q7" s="2093">
        <v>1</v>
      </c>
      <c r="R7" s="345"/>
      <c r="S7" s="1353">
        <f>$J7</f>
      </c>
      <c r="T7" s="267" t="s">
        <v>421</v>
      </c>
      <c r="U7" s="280"/>
      <c r="V7" s="2077"/>
      <c r="W7" s="2078"/>
      <c r="X7" s="2078"/>
      <c r="Y7" s="2078"/>
      <c r="Z7" s="2078"/>
      <c r="AA7" s="2078"/>
      <c r="AB7" s="2078"/>
      <c r="AC7" s="2079"/>
      <c r="AD7" s="2077"/>
      <c r="AE7" s="2078"/>
      <c r="AF7" s="2078"/>
      <c r="AG7" s="2078"/>
      <c r="AH7" s="2078"/>
      <c r="AI7" s="2078"/>
      <c r="AJ7" s="2078"/>
      <c r="AK7" s="2078"/>
      <c r="AL7" s="2079"/>
      <c r="AM7" s="1273" t="s">
        <v>422</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423</v>
      </c>
      <c r="M8" s="533"/>
      <c r="N8" s="1383"/>
      <c r="O8" s="1383"/>
      <c r="P8" s="2093"/>
      <c r="Q8" s="2093"/>
      <c r="R8" s="345">
        <v>1</v>
      </c>
      <c r="S8" s="1353">
        <f>$K8</f>
      </c>
      <c r="T8" s="1364"/>
      <c r="U8" s="280"/>
      <c r="V8" s="746"/>
      <c r="W8" s="312"/>
      <c r="X8" s="746"/>
      <c r="Y8" s="1272"/>
      <c r="Z8" s="2094"/>
      <c r="AA8" s="1963" t="s">
        <v>61</v>
      </c>
      <c r="AB8" s="2094"/>
      <c r="AC8" s="1963" t="s">
        <v>61</v>
      </c>
      <c r="AD8" s="746"/>
      <c r="AE8" s="312"/>
      <c r="AF8" s="746"/>
      <c r="AG8" s="1272"/>
      <c r="AH8" s="2094"/>
      <c r="AI8" s="1963" t="s">
        <v>61</v>
      </c>
      <c r="AJ8" s="2094"/>
      <c r="AK8" s="1963" t="s">
        <v>61</v>
      </c>
      <c r="AL8" s="312"/>
      <c r="AM8" s="2119" t="s">
        <v>424</v>
      </c>
      <c r="AN8" s="507">
        <f>STRCHECKDATE(V9:AL9)</f>
      </c>
      <c r="AO8" s="496"/>
      <c r="AP8" s="496" t="str">
        <f>IF(T8="","",T8)</f>
        <v/>
      </c>
      <c r="AQ8" s="496"/>
      <c r="AR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425</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5" hidden="1">
      <c r="A11" s="1380"/>
      <c r="B11" s="1380"/>
      <c r="C11" s="1380"/>
      <c r="D11" s="1380"/>
      <c r="E11" s="2090"/>
      <c r="F11" s="2090"/>
      <c r="G11" s="2090"/>
      <c r="H11" s="2090"/>
      <c r="I11" s="2091"/>
      <c r="J11" s="1380"/>
      <c r="K11" s="1380"/>
      <c r="L11" s="1381"/>
      <c r="M11" s="533"/>
      <c r="P11" s="2093"/>
      <c r="Q11" s="1348"/>
      <c r="R11" s="344"/>
      <c r="S11" s="1295"/>
      <c r="T11" s="268" t="s">
        <v>426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427</v>
      </c>
      <c r="U12" s="359"/>
      <c r="V12" s="359"/>
      <c r="W12" s="359"/>
      <c r="X12" s="359"/>
      <c r="Y12" s="359"/>
      <c r="Z12" s="359"/>
      <c r="AA12" s="359"/>
      <c r="AB12" s="359"/>
      <c r="AC12" s="358"/>
      <c r="AD12" s="359"/>
      <c r="AE12" s="359"/>
      <c r="AF12" s="359"/>
      <c r="AG12" s="359"/>
      <c r="AH12" s="359"/>
      <c r="AI12" s="359"/>
      <c r="AJ12" s="359"/>
      <c r="AK12" s="358"/>
      <c r="AL12" s="359"/>
      <c r="AM12" s="283"/>
      <c r="AO12" s="496"/>
      <c r="AP12" s="496" t="str">
        <f>IF(T12="","",T12)</f>
        <v>Добавить схему подключения</v>
      </c>
      <c r="AQ12" s="496"/>
      <c r="AR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160</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161</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162</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61</v>
      </c>
      <c r="AJ17" s="2087"/>
      <c r="AK17" s="2086" t="s">
        <v>61</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428</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429</v>
      </c>
      <c r="P22" s="1379"/>
      <c r="Q22" s="1388"/>
      <c r="R22" s="1388"/>
      <c r="S22" s="724"/>
      <c r="T22" s="1155" t="s">
        <v>430</v>
      </c>
      <c r="AA22" s="166" t="s">
        <v>431</v>
      </c>
      <c r="AC22" s="166" t="s">
        <v>432</v>
      </c>
      <c r="AD22" s="1155" t="s">
        <v>430</v>
      </c>
      <c r="AI22" s="166" t="s">
        <v>433</v>
      </c>
      <c r="AK22" s="166" t="s">
        <v>432</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14.2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тарифам Санкт-Петербурга</v>
      </c>
      <c r="W29" s="2082"/>
      <c r="X29" s="2082"/>
      <c r="Y29" s="2082"/>
      <c r="Z29" s="2082"/>
      <c r="AA29" s="2082"/>
      <c r="AB29" s="2082"/>
      <c r="AC29" s="314"/>
      <c r="AD29" s="2082" t="str">
        <f>IF(TITLE_NAME_OR_PR_CHANGE="",IF(TITLE_NAME_OR_PR="","",TITLE_NAME_OR_PR),TITLE_NAME_OR_PR_CHANGE)</f>
        <v>Комитет по тарифам Санкт-Петербурга</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434</v>
      </c>
      <c r="T30" s="2080"/>
      <c r="U30" s="1389"/>
      <c r="V30" s="2081" t="str">
        <f>IF(TITLE_DATE_PR_CHANGE="",IF(TITLE_DATE_PR="","",TITLE_DATE_PR),TITLE_DATE_PR_CHANGE)</f>
        <v>45280.49324074074</v>
      </c>
      <c r="W30" s="2081"/>
      <c r="X30" s="2081"/>
      <c r="Y30" s="2081"/>
      <c r="Z30" s="2081"/>
      <c r="AA30" s="2081"/>
      <c r="AB30" s="2081"/>
      <c r="AC30" s="314"/>
      <c r="AD30" s="2081" t="str">
        <f>IF(TITLE_DATE_PR_CHANGE="",IF(TITLE_DATE_PR="","",TITLE_DATE_PR),TITLE_DATE_PR_CHANGE)</f>
        <v>45280.49324074074</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435</v>
      </c>
      <c r="T31" s="2080"/>
      <c r="U31" s="1389"/>
      <c r="V31" s="2082" t="str">
        <f>IF(TITLE_NUMBER_PR_CHANGE="",IF(TITLE_NUMBER_PR="","",TITLE_NUMBER_PR),TITLE_NUMBER_PR_CHANGE)</f>
        <v>262-р</v>
      </c>
      <c r="W31" s="2082"/>
      <c r="X31" s="2082"/>
      <c r="Y31" s="2082"/>
      <c r="Z31" s="2082"/>
      <c r="AA31" s="2082"/>
      <c r="AB31" s="2082"/>
      <c r="AC31" s="314"/>
      <c r="AD31" s="2082" t="str">
        <f>IF(TITLE_NUMBER_PR_CHANGE="",IF(TITLE_NUMBER_PR="","",TITLE_NUMBER_PR),TITLE_NUMBER_PR_CHANGE)</f>
        <v>262-р</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https://www.gov.spb.ru/static/writable/documents/2023/12/22/%D0%BE%D1%82_20.12.2023__262-%D1%80.pdf</v>
      </c>
      <c r="W32" s="2082"/>
      <c r="X32" s="2082"/>
      <c r="Y32" s="2082"/>
      <c r="Z32" s="2082"/>
      <c r="AA32" s="2082"/>
      <c r="AB32" s="2082"/>
      <c r="AC32" s="314"/>
      <c r="AD32" s="2082" t="str">
        <f>IF(TITLE_IST_PUB_CHANGE="",IF(TITLE_IST_PUB="","",TITLE_IST_PUB),TITLE_IST_PUB_CHANGE)</f>
        <v>https://www.gov.spb.ru/static/writable/documents/2023/12/22/%D0%BE%D1%82_20.12.2023__262-%D1%80.pdf</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436</v>
      </c>
      <c r="T34" s="2080"/>
      <c r="U34" s="1389"/>
      <c r="V34" s="2081" t="str">
        <f>IF(TITLE_DATE_PR_CHANGE="",IF(TITLE_DATE_PR="","",TITLE_DATE_PR),TITLE_DATE_PR_CHANGE)</f>
        <v>45280.49324074074</v>
      </c>
      <c r="W34" s="2081"/>
      <c r="X34" s="2081"/>
      <c r="Y34" s="2081"/>
      <c r="Z34" s="2081"/>
      <c r="AA34" s="2081"/>
      <c r="AB34" s="2081"/>
      <c r="AC34" s="314"/>
      <c r="AD34" s="2081" t="str">
        <f>IF(TITLE_DATE_PR_CHANGE="",IF(TITLE_DATE_PR="","",TITLE_DATE_PR),TITLE_DATE_PR_CHANGE)</f>
        <v>45280.49324074074</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437</v>
      </c>
      <c r="T35" s="2080"/>
      <c r="U35" s="1389"/>
      <c r="V35" s="2082" t="str">
        <f>IF(TITLE_NUMBER_PR_CHANGE="",IF(TITLE_NUMBER_PR="","",TITLE_NUMBER_PR),TITLE_NUMBER_PR_CHANGE)</f>
        <v>262-р</v>
      </c>
      <c r="W35" s="2082"/>
      <c r="X35" s="2082"/>
      <c r="Y35" s="2082"/>
      <c r="Z35" s="2082"/>
      <c r="AA35" s="2082"/>
      <c r="AB35" s="2082"/>
      <c r="AC35" s="314"/>
      <c r="AD35" s="2082" t="str">
        <f>IF(TITLE_NUMBER_PR_CHANGE="",IF(TITLE_NUMBER_PR="","",TITLE_NUMBER_PR),TITLE_NUMBER_PR_CHANGE)</f>
        <v>262-р</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438</v>
      </c>
      <c r="AD36" s="314"/>
      <c r="AE36" s="314"/>
      <c r="AF36" s="314"/>
      <c r="AG36" s="314"/>
      <c r="AH36" s="314"/>
      <c r="AI36" s="314"/>
      <c r="AJ36" s="314"/>
      <c r="AK36" s="259" t="s">
        <v>438</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312</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313</v>
      </c>
    </row>
    <row customHeight="1" ht="14.25">
      <c r="Q39" s="368"/>
      <c r="R39" s="368"/>
      <c r="S39" s="2107" t="s">
        <v>87</v>
      </c>
      <c r="T39" s="2044" t="s">
        <v>439</v>
      </c>
      <c r="U39" s="281"/>
      <c r="V39" s="2108" t="s">
        <v>440</v>
      </c>
      <c r="W39" s="2109"/>
      <c r="X39" s="2109"/>
      <c r="Y39" s="2109"/>
      <c r="Z39" s="2109"/>
      <c r="AA39" s="2109"/>
      <c r="AB39" s="2110"/>
      <c r="AC39" s="2111" t="s">
        <v>441</v>
      </c>
      <c r="AD39" s="2108" t="s">
        <v>440</v>
      </c>
      <c r="AE39" s="2109"/>
      <c r="AF39" s="2109"/>
      <c r="AG39" s="2109"/>
      <c r="AH39" s="2109"/>
      <c r="AI39" s="2109"/>
      <c r="AJ39" s="2110"/>
      <c r="AK39" s="2111" t="s">
        <v>442</v>
      </c>
      <c r="AL39" s="2114" t="s">
        <v>443</v>
      </c>
      <c r="AM39" s="1953"/>
    </row>
    <row customHeight="1" ht="33.75">
      <c r="Q40" s="368"/>
      <c r="R40" s="368"/>
      <c r="S40" s="2107"/>
      <c r="T40" s="2044"/>
      <c r="U40" s="1026"/>
      <c r="V40" s="2117" t="s">
        <v>444</v>
      </c>
      <c r="W40" s="2098" t="s">
        <v>445</v>
      </c>
      <c r="X40" s="2100" t="s">
        <v>446</v>
      </c>
      <c r="Y40" s="2102"/>
      <c r="Z40" s="2100" t="s">
        <v>464</v>
      </c>
      <c r="AA40" s="2101"/>
      <c r="AB40" s="2102"/>
      <c r="AC40" s="2112"/>
      <c r="AD40" s="2117" t="s">
        <v>444</v>
      </c>
      <c r="AE40" s="2098" t="s">
        <v>445</v>
      </c>
      <c r="AF40" s="2100" t="s">
        <v>446</v>
      </c>
      <c r="AG40" s="2102"/>
      <c r="AH40" s="2100" t="s">
        <v>447</v>
      </c>
      <c r="AI40" s="2101"/>
      <c r="AJ40" s="2102"/>
      <c r="AK40" s="2112"/>
      <c r="AL40" s="2115"/>
      <c r="AM40" s="1953"/>
    </row>
    <row customHeight="1" ht="33.75">
      <c r="A41" s="1387"/>
      <c r="B41" s="1387" t="s">
        <v>134</v>
      </c>
      <c r="C41" s="1387" t="s">
        <v>135</v>
      </c>
      <c r="D41" s="1387" t="s">
        <v>136</v>
      </c>
      <c r="E41" s="1381" t="s">
        <v>448</v>
      </c>
      <c r="F41" s="1381" t="s">
        <v>449</v>
      </c>
      <c r="G41" s="1381" t="s">
        <v>450</v>
      </c>
      <c r="H41" s="1381" t="s">
        <v>451</v>
      </c>
      <c r="I41" s="1381" t="s">
        <v>452</v>
      </c>
      <c r="J41" s="1381" t="s">
        <v>453</v>
      </c>
      <c r="K41" s="1381" t="s">
        <v>454</v>
      </c>
      <c r="L41" s="1381" t="s">
        <v>429</v>
      </c>
      <c r="Q41" s="368"/>
      <c r="R41" s="368"/>
      <c r="S41" s="2107"/>
      <c r="T41" s="2044"/>
      <c r="U41" s="282"/>
      <c r="V41" s="2118"/>
      <c r="W41" s="2099"/>
      <c r="X41" s="1224" t="s">
        <v>455</v>
      </c>
      <c r="Y41" s="1224" t="s">
        <v>456</v>
      </c>
      <c r="Z41" s="1355" t="s">
        <v>457</v>
      </c>
      <c r="AA41" s="2103" t="s">
        <v>458</v>
      </c>
      <c r="AB41" s="2104"/>
      <c r="AC41" s="2113"/>
      <c r="AD41" s="2118"/>
      <c r="AE41" s="2099"/>
      <c r="AF41" s="1224" t="s">
        <v>455</v>
      </c>
      <c r="AG41" s="1224" t="s">
        <v>456</v>
      </c>
      <c r="AH41" s="1355" t="s">
        <v>457</v>
      </c>
      <c r="AI41" s="2103" t="s">
        <v>458</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182</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182</v>
      </c>
      <c r="B44" s="1380" t="s">
        <v>183</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411</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412</v>
      </c>
      <c r="AO44" s="496"/>
      <c r="AP44" s="496" t="str">
        <f>IF(T44="","",T44)</f>
        <v>Территория действия тарифа</v>
      </c>
      <c r="AQ44" s="496"/>
      <c r="AR44" s="496"/>
    </row>
    <row customHeight="1" ht="23.25">
      <c r="A45" s="1380" t="s">
        <v>182</v>
      </c>
      <c r="B45" s="1380" t="s">
        <v>183</v>
      </c>
      <c r="C45" s="1380" t="s">
        <v>184</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413</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414</v>
      </c>
      <c r="AO45" s="496"/>
      <c r="AP45" s="496" t="str">
        <f>IF(T45="","",T45)</f>
        <v>Наименование системы теплоснабжения </v>
      </c>
      <c r="AQ45" s="496"/>
      <c r="AR45" s="496"/>
    </row>
    <row customHeight="1" ht="21">
      <c r="A46" s="1380" t="s">
        <v>182</v>
      </c>
      <c r="B46" s="1380" t="s">
        <v>183</v>
      </c>
      <c r="C46" s="1380" t="s">
        <v>184</v>
      </c>
      <c r="D46" s="1380" t="s">
        <v>185</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415</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416</v>
      </c>
      <c r="AO46" s="496"/>
      <c r="AP46" s="496" t="str">
        <f>IF(T46="","",T46)</f>
        <v>Источник тепловой энергии  </v>
      </c>
      <c r="AQ46" s="496"/>
      <c r="AR46" s="496"/>
    </row>
    <row customHeight="1" ht="47.25">
      <c r="A47" s="1380" t="s">
        <v>182</v>
      </c>
      <c r="B47" s="1380" t="s">
        <v>183</v>
      </c>
      <c r="C47" s="1380" t="s">
        <v>184</v>
      </c>
      <c r="D47" s="1380" t="s">
        <v>185</v>
      </c>
      <c r="E47" s="2090"/>
      <c r="F47" s="2090"/>
      <c r="G47" s="2090"/>
      <c r="H47" s="2090"/>
      <c r="I47" s="2091" t="str">
        <f>S46&amp;".1"</f>
        <v>....1</v>
      </c>
      <c r="J47" s="1380"/>
      <c r="K47" s="1380"/>
      <c r="L47" s="1381" t="s">
        <v>417</v>
      </c>
      <c r="P47" s="2093">
        <v>1</v>
      </c>
      <c r="Q47" s="1348"/>
      <c r="R47" s="344"/>
      <c r="S47" s="1353" t="str">
        <f>$I47</f>
        <v>....1</v>
      </c>
      <c r="T47" s="266" t="s">
        <v>418</v>
      </c>
      <c r="U47" s="280"/>
      <c r="V47" s="2077"/>
      <c r="W47" s="2078"/>
      <c r="X47" s="2078"/>
      <c r="Y47" s="2078"/>
      <c r="Z47" s="2078"/>
      <c r="AA47" s="2078"/>
      <c r="AB47" s="2078"/>
      <c r="AC47" s="2079"/>
      <c r="AD47" s="2077"/>
      <c r="AE47" s="2078"/>
      <c r="AF47" s="2078"/>
      <c r="AG47" s="2078"/>
      <c r="AH47" s="2078"/>
      <c r="AI47" s="2078"/>
      <c r="AJ47" s="2078"/>
      <c r="AK47" s="2078"/>
      <c r="AL47" s="2079"/>
      <c r="AM47" s="1273" t="s">
        <v>419</v>
      </c>
      <c r="AO47" s="496"/>
      <c r="AP47" s="496" t="str">
        <f>IF(T47="","",T47)</f>
        <v>Схема подключения теплопотребляющей установки к коллектору источника тепловой энергии</v>
      </c>
      <c r="AQ47" s="496"/>
      <c r="AR47" s="496"/>
    </row>
    <row customHeight="1" ht="21">
      <c r="A48" s="1380" t="s">
        <v>182</v>
      </c>
      <c r="B48" s="1380" t="s">
        <v>183</v>
      </c>
      <c r="C48" s="1380" t="s">
        <v>184</v>
      </c>
      <c r="D48" s="1380" t="s">
        <v>185</v>
      </c>
      <c r="E48" s="2090"/>
      <c r="F48" s="2090"/>
      <c r="G48" s="2090"/>
      <c r="H48" s="2090"/>
      <c r="I48" s="2092"/>
      <c r="J48" s="2091" t="str">
        <f>I47&amp;".1"</f>
        <v>....1.1</v>
      </c>
      <c r="K48" s="1380"/>
      <c r="L48" s="1381" t="s">
        <v>420</v>
      </c>
      <c r="P48" s="2093"/>
      <c r="Q48" s="2093">
        <v>1</v>
      </c>
      <c r="R48" s="345"/>
      <c r="S48" s="1353" t="str">
        <f>$J48</f>
        <v>....1.1</v>
      </c>
      <c r="T48" s="267" t="s">
        <v>421</v>
      </c>
      <c r="U48" s="280"/>
      <c r="V48" s="2077"/>
      <c r="W48" s="2078"/>
      <c r="X48" s="2078"/>
      <c r="Y48" s="2078"/>
      <c r="Z48" s="2078"/>
      <c r="AA48" s="2078"/>
      <c r="AB48" s="2078"/>
      <c r="AC48" s="2079"/>
      <c r="AD48" s="2077"/>
      <c r="AE48" s="2078"/>
      <c r="AF48" s="2078"/>
      <c r="AG48" s="2078"/>
      <c r="AH48" s="2078"/>
      <c r="AI48" s="2078"/>
      <c r="AJ48" s="2078"/>
      <c r="AK48" s="2078"/>
      <c r="AL48" s="2079"/>
      <c r="AM48" s="1273" t="s">
        <v>422</v>
      </c>
      <c r="AO48" s="496"/>
      <c r="AP48" s="496" t="str">
        <f>IF(T48="","",T48)</f>
        <v>Группа потребителей</v>
      </c>
      <c r="AQ48" s="496"/>
      <c r="AR48" s="496"/>
    </row>
    <row customHeight="1" ht="21">
      <c r="A49" s="1380" t="s">
        <v>182</v>
      </c>
      <c r="B49" s="1380" t="s">
        <v>183</v>
      </c>
      <c r="C49" s="1380" t="s">
        <v>184</v>
      </c>
      <c r="D49" s="1380" t="s">
        <v>185</v>
      </c>
      <c r="E49" s="2090"/>
      <c r="F49" s="2090"/>
      <c r="G49" s="2090"/>
      <c r="H49" s="2090"/>
      <c r="I49" s="2092"/>
      <c r="J49" s="2092"/>
      <c r="K49" s="2091" t="str">
        <f>J48&amp;".1"</f>
        <v>....1.1.1</v>
      </c>
      <c r="L49" s="1381" t="s">
        <v>423</v>
      </c>
      <c r="P49" s="2093"/>
      <c r="Q49" s="2093"/>
      <c r="R49" s="345">
        <v>1</v>
      </c>
      <c r="S49" s="1353" t="str">
        <f>$K49</f>
        <v>....1.1.1</v>
      </c>
      <c r="T49" s="1364"/>
      <c r="U49" s="280"/>
      <c r="V49" s="746"/>
      <c r="W49" s="312"/>
      <c r="X49" s="746"/>
      <c r="Y49" s="1272"/>
      <c r="Z49" s="2094"/>
      <c r="AA49" s="1963" t="s">
        <v>61</v>
      </c>
      <c r="AB49" s="2094"/>
      <c r="AC49" s="1963" t="s">
        <v>61</v>
      </c>
      <c r="AD49" s="746"/>
      <c r="AE49" s="312"/>
      <c r="AF49" s="746"/>
      <c r="AG49" s="1272"/>
      <c r="AH49" s="2094"/>
      <c r="AI49" s="1963" t="s">
        <v>61</v>
      </c>
      <c r="AJ49" s="2096"/>
      <c r="AK49" s="1963" t="s">
        <v>61</v>
      </c>
      <c r="AL49" s="1365"/>
      <c r="AM49" s="2119" t="s">
        <v>424</v>
      </c>
      <c r="AN49" s="507">
        <f>STRCHECKDATE(V50:AL50)</f>
      </c>
      <c r="AO49" s="496"/>
      <c r="AP49" s="496" t="str">
        <f>IF(T49="","",T49)</f>
        <v/>
      </c>
      <c r="AQ49" s="496"/>
      <c r="AR49" s="496"/>
    </row>
    <row customHeight="1" ht="0.75">
      <c r="A50" s="1380" t="s">
        <v>182</v>
      </c>
      <c r="B50" s="1380" t="s">
        <v>183</v>
      </c>
      <c r="C50" s="1380" t="s">
        <v>184</v>
      </c>
      <c r="D50" s="1380" t="s">
        <v>185</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182</v>
      </c>
      <c r="B51" s="1380" t="s">
        <v>183</v>
      </c>
      <c r="C51" s="1380" t="s">
        <v>184</v>
      </c>
      <c r="D51" s="1380" t="s">
        <v>185</v>
      </c>
      <c r="E51" s="2090"/>
      <c r="F51" s="2090"/>
      <c r="G51" s="2090"/>
      <c r="H51" s="2090"/>
      <c r="I51" s="2092"/>
      <c r="J51" s="2091"/>
      <c r="K51" s="1380"/>
      <c r="L51" s="1381"/>
      <c r="P51" s="2093"/>
      <c r="Q51" s="2093"/>
      <c r="R51" s="344"/>
      <c r="S51" s="1295"/>
      <c r="T51" s="269" t="s">
        <v>425</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182</v>
      </c>
      <c r="B52" s="1380" t="s">
        <v>183</v>
      </c>
      <c r="C52" s="1380" t="s">
        <v>184</v>
      </c>
      <c r="D52" s="1380" t="s">
        <v>185</v>
      </c>
      <c r="E52" s="2090"/>
      <c r="F52" s="2090"/>
      <c r="G52" s="2090"/>
      <c r="H52" s="2090"/>
      <c r="I52" s="2091"/>
      <c r="J52" s="1380"/>
      <c r="K52" s="1380"/>
      <c r="L52" s="1381"/>
      <c r="P52" s="2093"/>
      <c r="Q52" s="1348"/>
      <c r="R52" s="344"/>
      <c r="S52" s="1295"/>
      <c r="T52" s="268" t="s">
        <v>426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14.25">
      <c r="A53" s="1380" t="s">
        <v>182</v>
      </c>
      <c r="B53" s="1380" t="s">
        <v>183</v>
      </c>
      <c r="C53" s="1380" t="s">
        <v>184</v>
      </c>
      <c r="D53" s="1380" t="s">
        <v>185</v>
      </c>
      <c r="E53" s="2090"/>
      <c r="F53" s="2090"/>
      <c r="G53" s="2090"/>
      <c r="H53" s="2089"/>
      <c r="I53" s="1380"/>
      <c r="J53" s="1380"/>
      <c r="K53" s="1380"/>
      <c r="L53" s="1381"/>
      <c r="M53" s="1382"/>
      <c r="N53" s="1382"/>
      <c r="O53" s="533"/>
      <c r="P53" s="348"/>
      <c r="Q53" s="367"/>
      <c r="R53" s="343"/>
      <c r="S53" s="1295"/>
      <c r="T53" s="356" t="s">
        <v>427</v>
      </c>
      <c r="U53" s="359"/>
      <c r="V53" s="359"/>
      <c r="W53" s="359"/>
      <c r="X53" s="359"/>
      <c r="Y53" s="359"/>
      <c r="Z53" s="359"/>
      <c r="AA53" s="359"/>
      <c r="AB53" s="359"/>
      <c r="AC53" s="358"/>
      <c r="AD53" s="359"/>
      <c r="AE53" s="359"/>
      <c r="AF53" s="359"/>
      <c r="AG53" s="359"/>
      <c r="AH53" s="359"/>
      <c r="AI53" s="359"/>
      <c r="AJ53" s="359"/>
      <c r="AK53" s="358"/>
      <c r="AL53" s="359"/>
      <c r="AM53" s="283"/>
      <c r="AO53" s="496"/>
      <c r="AP53" s="496" t="str">
        <f>IF(T53="","",T53)</f>
        <v>Добавить схему подключения</v>
      </c>
      <c r="AQ53" s="496"/>
      <c r="AR53" s="496"/>
    </row>
    <row s="1667" customFormat="1" customHeight="1" ht="0.75">
      <c r="A54" s="1360" t="s">
        <v>182</v>
      </c>
      <c r="B54" s="1360" t="s">
        <v>183</v>
      </c>
      <c r="C54" s="1360" t="s">
        <v>184</v>
      </c>
      <c r="D54" s="1331"/>
      <c r="E54" s="2090"/>
      <c r="F54" s="2090"/>
      <c r="G54" s="2089"/>
      <c r="H54" s="1331"/>
      <c r="I54" s="1331"/>
      <c r="J54" s="1331"/>
      <c r="K54" s="1331"/>
      <c r="L54" s="1356"/>
      <c r="M54" s="1332"/>
      <c r="N54" s="1332"/>
      <c r="P54" s="1333"/>
      <c r="Q54" s="1334"/>
      <c r="R54" s="1333"/>
      <c r="S54" s="1339"/>
      <c r="T54" s="1342" t="s">
        <v>160</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182</v>
      </c>
      <c r="B55" s="1360" t="s">
        <v>183</v>
      </c>
      <c r="C55" s="1331"/>
      <c r="D55" s="1331"/>
      <c r="E55" s="2090"/>
      <c r="F55" s="2089"/>
      <c r="G55" s="1331"/>
      <c r="H55" s="1331"/>
      <c r="I55" s="1331"/>
      <c r="J55" s="1331"/>
      <c r="K55" s="1331"/>
      <c r="L55" s="1356"/>
      <c r="M55" s="1338"/>
      <c r="N55" s="1338"/>
      <c r="P55" s="1333"/>
      <c r="Q55" s="1334"/>
      <c r="R55" s="1333"/>
      <c r="S55" s="1339"/>
      <c r="T55" s="1342" t="s">
        <v>161</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182</v>
      </c>
      <c r="B56" s="1360"/>
      <c r="C56" s="1360"/>
      <c r="D56" s="1360"/>
      <c r="E56" s="2089"/>
      <c r="F56" s="1360"/>
      <c r="G56" s="1360"/>
      <c r="H56" s="1360"/>
      <c r="I56" s="1360"/>
      <c r="J56" s="1360"/>
      <c r="K56" s="1360"/>
      <c r="L56" s="1363"/>
      <c r="M56" s="1338"/>
      <c r="N56" s="1338"/>
      <c r="O56" s="514"/>
      <c r="P56" s="376"/>
      <c r="Q56" s="1361"/>
      <c r="R56" s="376"/>
      <c r="S56" s="1339"/>
      <c r="T56" s="1342" t="s">
        <v>162</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179</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62.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088"/>
      <c r="AM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888DB8-CD9B-AE2C-9989-5FB11F84376F}" mc:Ignorable="x14ac xr xr2 xr3">
  <sheetPr>
    <tabColor theme="6" tint="0.4"/>
  </sheetPr>
  <dimension ref="A1:DL64"/>
  <sheetViews>
    <sheetView topLeftCell="CC25" showGridLines="0" zoomScale="90" workbookViewId="0">
      <selection activeCell="CY49" sqref="CY49"/>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2.00390625" customWidth="1"/>
    <col min="21" max="21" style="1660" width="0.7109375" hidden="1" customWidth="1"/>
    <col min="22" max="22" style="1660" width="1.7109375" hidden="1" customWidth="1"/>
    <col min="23" max="23" style="1660" width="24.7109375" hidden="1" customWidth="1"/>
    <col min="24" max="25" style="1660" width="0.14062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0.140625" customWidth="1"/>
    <col min="31" max="31" style="1660" width="24.7109375" customWidth="1"/>
    <col min="32" max="33" style="1660" width="0.140625" customWidth="1"/>
    <col min="34" max="34" style="1660" width="11.7109375" customWidth="1"/>
    <col min="35" max="35" style="1660" width="3.7109375" customWidth="1"/>
    <col min="36" max="36" style="1660" width="11.7109375" customWidth="1"/>
    <col min="37" max="37" style="1660" width="8.57421875" customWidth="1"/>
    <col min="109" max="109" width="10.57421875" hidden="1"/>
    <col min="110" max="110" style="1660" width="4.7109375" customWidth="1"/>
    <col min="111" max="111" style="1660" width="115.7109375" customWidth="1"/>
    <col min="112" max="113" style="1667" width="10.57421875"/>
    <col min="114" max="114" style="1667" width="11.140625" customWidth="1"/>
    <col min="115" max="116" style="1667" width="10.57421875"/>
  </cols>
  <sheetData>
    <row customHeight="1" ht="14.25" hidden="1">
      <c r="Y1" s="315"/>
      <c r="Z1" s="315"/>
      <c r="AG1" s="315"/>
      <c r="AH1" s="315"/>
      <c r="AL1" s="1660"/>
      <c r="AM1" s="1660"/>
      <c r="AN1" s="1660"/>
      <c r="AO1" s="1660"/>
      <c r="AP1" s="1660"/>
      <c r="AQ1" s="1660"/>
      <c r="AR1" s="1660"/>
      <c r="AS1" s="1660"/>
      <c r="AT1" s="1660"/>
      <c r="AU1" s="1660"/>
      <c r="AV1" s="1660"/>
      <c r="AW1" s="1660"/>
      <c r="AX1" s="1660"/>
      <c r="AY1" s="1660"/>
      <c r="AZ1" s="1660"/>
      <c r="BA1" s="1660"/>
      <c r="BB1" s="1660"/>
      <c r="BC1" s="1660"/>
      <c r="BD1" s="1660"/>
      <c r="BE1" s="1660"/>
      <c r="BF1" s="1660"/>
      <c r="BG1" s="1660"/>
      <c r="BH1" s="1660"/>
      <c r="BI1" s="1660"/>
      <c r="BJ1" s="1660"/>
      <c r="BK1" s="1660"/>
      <c r="BL1" s="1660"/>
      <c r="BM1" s="1660"/>
      <c r="BN1" s="1660"/>
      <c r="BO1" s="1660"/>
      <c r="BP1" s="1660"/>
      <c r="BQ1" s="1660"/>
      <c r="BR1" s="1660"/>
      <c r="BS1" s="1660"/>
      <c r="BT1" s="1660"/>
      <c r="BU1" s="1660"/>
      <c r="BV1" s="1660"/>
      <c r="BW1" s="1660"/>
      <c r="BX1" s="1660"/>
      <c r="BY1" s="1660"/>
      <c r="BZ1" s="1660"/>
      <c r="CA1" s="1660"/>
      <c r="CB1" s="1660"/>
      <c r="CC1" s="1660"/>
      <c r="CD1" s="1660"/>
      <c r="CE1" s="1660"/>
      <c r="CF1" s="1660"/>
      <c r="CG1" s="1660"/>
      <c r="CH1" s="1660"/>
      <c r="CI1" s="1660"/>
      <c r="CJ1" s="1660"/>
      <c r="CK1" s="1660"/>
      <c r="CL1" s="1660"/>
      <c r="CM1" s="1660"/>
      <c r="CN1" s="1660"/>
      <c r="CO1" s="1660"/>
      <c r="CP1" s="1660"/>
      <c r="CQ1" s="1660"/>
      <c r="CR1" s="1660"/>
      <c r="CS1" s="1660"/>
      <c r="CT1" s="1660"/>
      <c r="CU1" s="1660"/>
      <c r="CV1" s="1660"/>
      <c r="CW1" s="1660"/>
      <c r="CX1" s="1660"/>
      <c r="CY1" s="1660"/>
      <c r="CZ1" s="1660"/>
      <c r="DA1" s="1660"/>
      <c r="DB1" s="1660"/>
      <c r="DC1" s="1660"/>
      <c r="DD1" s="1660"/>
      <c r="DE1" s="1660"/>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3"/>
      <c r="AM2" s="2084"/>
      <c r="AN2" s="2084"/>
      <c r="AO2" s="2084"/>
      <c r="AP2" s="2084"/>
      <c r="AQ2" s="2084"/>
      <c r="AR2" s="2084"/>
      <c r="AS2" s="2085"/>
      <c r="AT2" s="2083"/>
      <c r="AU2" s="2084"/>
      <c r="AV2" s="2084"/>
      <c r="AW2" s="2084"/>
      <c r="AX2" s="2084"/>
      <c r="AY2" s="2084"/>
      <c r="AZ2" s="2084"/>
      <c r="BA2" s="2085"/>
      <c r="BB2" s="2083"/>
      <c r="BC2" s="2084"/>
      <c r="BD2" s="2084"/>
      <c r="BE2" s="2084"/>
      <c r="BF2" s="2084"/>
      <c r="BG2" s="2084"/>
      <c r="BH2" s="2084"/>
      <c r="BI2" s="2085"/>
      <c r="BJ2" s="2083"/>
      <c r="BK2" s="2084"/>
      <c r="BL2" s="2084"/>
      <c r="BM2" s="2084"/>
      <c r="BN2" s="2084"/>
      <c r="BO2" s="2084"/>
      <c r="BP2" s="2084"/>
      <c r="BQ2" s="2085"/>
      <c r="BR2" s="2083"/>
      <c r="BS2" s="2084"/>
      <c r="BT2" s="2084"/>
      <c r="BU2" s="2084"/>
      <c r="BV2" s="2084"/>
      <c r="BW2" s="2084"/>
      <c r="BX2" s="2084"/>
      <c r="BY2" s="2085"/>
      <c r="BZ2" s="2083"/>
      <c r="CA2" s="2084"/>
      <c r="CB2" s="2084"/>
      <c r="CC2" s="2084"/>
      <c r="CD2" s="2084"/>
      <c r="CE2" s="2084"/>
      <c r="CF2" s="2084"/>
      <c r="CG2" s="2085"/>
      <c r="CH2" s="2083"/>
      <c r="CI2" s="2084"/>
      <c r="CJ2" s="2084"/>
      <c r="CK2" s="2084"/>
      <c r="CL2" s="2084"/>
      <c r="CM2" s="2084"/>
      <c r="CN2" s="2084"/>
      <c r="CO2" s="2085"/>
      <c r="CP2" s="2083"/>
      <c r="CQ2" s="2084"/>
      <c r="CR2" s="2084"/>
      <c r="CS2" s="2084"/>
      <c r="CT2" s="2084"/>
      <c r="CU2" s="2084"/>
      <c r="CV2" s="2084"/>
      <c r="CW2" s="2085"/>
      <c r="CX2" s="2083"/>
      <c r="CY2" s="2084"/>
      <c r="CZ2" s="2084"/>
      <c r="DA2" s="2084"/>
      <c r="DB2" s="2084"/>
      <c r="DC2" s="2084"/>
      <c r="DD2" s="2084"/>
      <c r="DE2" s="2085"/>
      <c r="DF2" s="2085"/>
      <c r="DG2" s="1273" t="s">
        <v>410</v>
      </c>
      <c r="DI2" s="496"/>
      <c r="DJ2" s="496" t="str">
        <f>IF(T2="","",T2)</f>
        <v>Наименование тарифа</v>
      </c>
      <c r="DK2" s="496"/>
      <c r="DL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411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3"/>
      <c r="AM3" s="2084"/>
      <c r="AN3" s="2084"/>
      <c r="AO3" s="2084"/>
      <c r="AP3" s="2084"/>
      <c r="AQ3" s="2084"/>
      <c r="AR3" s="2084"/>
      <c r="AS3" s="2085"/>
      <c r="AT3" s="2083"/>
      <c r="AU3" s="2084"/>
      <c r="AV3" s="2084"/>
      <c r="AW3" s="2084"/>
      <c r="AX3" s="2084"/>
      <c r="AY3" s="2084"/>
      <c r="AZ3" s="2084"/>
      <c r="BA3" s="2085"/>
      <c r="BB3" s="2083"/>
      <c r="BC3" s="2084"/>
      <c r="BD3" s="2084"/>
      <c r="BE3" s="2084"/>
      <c r="BF3" s="2084"/>
      <c r="BG3" s="2084"/>
      <c r="BH3" s="2084"/>
      <c r="BI3" s="2085"/>
      <c r="BJ3" s="2083"/>
      <c r="BK3" s="2084"/>
      <c r="BL3" s="2084"/>
      <c r="BM3" s="2084"/>
      <c r="BN3" s="2084"/>
      <c r="BO3" s="2084"/>
      <c r="BP3" s="2084"/>
      <c r="BQ3" s="2085"/>
      <c r="BR3" s="2083"/>
      <c r="BS3" s="2084"/>
      <c r="BT3" s="2084"/>
      <c r="BU3" s="2084"/>
      <c r="BV3" s="2084"/>
      <c r="BW3" s="2084"/>
      <c r="BX3" s="2084"/>
      <c r="BY3" s="2085"/>
      <c r="BZ3" s="2083"/>
      <c r="CA3" s="2084"/>
      <c r="CB3" s="2084"/>
      <c r="CC3" s="2084"/>
      <c r="CD3" s="2084"/>
      <c r="CE3" s="2084"/>
      <c r="CF3" s="2084"/>
      <c r="CG3" s="2085"/>
      <c r="CH3" s="2083"/>
      <c r="CI3" s="2084"/>
      <c r="CJ3" s="2084"/>
      <c r="CK3" s="2084"/>
      <c r="CL3" s="2084"/>
      <c r="CM3" s="2084"/>
      <c r="CN3" s="2084"/>
      <c r="CO3" s="2085"/>
      <c r="CP3" s="2083"/>
      <c r="CQ3" s="2084"/>
      <c r="CR3" s="2084"/>
      <c r="CS3" s="2084"/>
      <c r="CT3" s="2084"/>
      <c r="CU3" s="2084"/>
      <c r="CV3" s="2084"/>
      <c r="CW3" s="2085"/>
      <c r="CX3" s="2083"/>
      <c r="CY3" s="2084"/>
      <c r="CZ3" s="2084"/>
      <c r="DA3" s="2084"/>
      <c r="DB3" s="2084"/>
      <c r="DC3" s="2084"/>
      <c r="DD3" s="2084"/>
      <c r="DE3" s="2085"/>
      <c r="DF3" s="2085"/>
      <c r="DG3" s="1273" t="s">
        <v>412</v>
      </c>
      <c r="DI3" s="496"/>
      <c r="DJ3" s="496" t="str">
        <f>IF(T3="","",T3)</f>
        <v>Территория действия тарифа</v>
      </c>
      <c r="DK3" s="496"/>
      <c r="DL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413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3"/>
      <c r="AM4" s="2084"/>
      <c r="AN4" s="2084"/>
      <c r="AO4" s="2084"/>
      <c r="AP4" s="2084"/>
      <c r="AQ4" s="2084"/>
      <c r="AR4" s="2084"/>
      <c r="AS4" s="2085"/>
      <c r="AT4" s="2083"/>
      <c r="AU4" s="2084"/>
      <c r="AV4" s="2084"/>
      <c r="AW4" s="2084"/>
      <c r="AX4" s="2084"/>
      <c r="AY4" s="2084"/>
      <c r="AZ4" s="2084"/>
      <c r="BA4" s="2085"/>
      <c r="BB4" s="2083"/>
      <c r="BC4" s="2084"/>
      <c r="BD4" s="2084"/>
      <c r="BE4" s="2084"/>
      <c r="BF4" s="2084"/>
      <c r="BG4" s="2084"/>
      <c r="BH4" s="2084"/>
      <c r="BI4" s="2085"/>
      <c r="BJ4" s="2083"/>
      <c r="BK4" s="2084"/>
      <c r="BL4" s="2084"/>
      <c r="BM4" s="2084"/>
      <c r="BN4" s="2084"/>
      <c r="BO4" s="2084"/>
      <c r="BP4" s="2084"/>
      <c r="BQ4" s="2085"/>
      <c r="BR4" s="2083"/>
      <c r="BS4" s="2084"/>
      <c r="BT4" s="2084"/>
      <c r="BU4" s="2084"/>
      <c r="BV4" s="2084"/>
      <c r="BW4" s="2084"/>
      <c r="BX4" s="2084"/>
      <c r="BY4" s="2085"/>
      <c r="BZ4" s="2083"/>
      <c r="CA4" s="2084"/>
      <c r="CB4" s="2084"/>
      <c r="CC4" s="2084"/>
      <c r="CD4" s="2084"/>
      <c r="CE4" s="2084"/>
      <c r="CF4" s="2084"/>
      <c r="CG4" s="2085"/>
      <c r="CH4" s="2083"/>
      <c r="CI4" s="2084"/>
      <c r="CJ4" s="2084"/>
      <c r="CK4" s="2084"/>
      <c r="CL4" s="2084"/>
      <c r="CM4" s="2084"/>
      <c r="CN4" s="2084"/>
      <c r="CO4" s="2085"/>
      <c r="CP4" s="2083"/>
      <c r="CQ4" s="2084"/>
      <c r="CR4" s="2084"/>
      <c r="CS4" s="2084"/>
      <c r="CT4" s="2084"/>
      <c r="CU4" s="2084"/>
      <c r="CV4" s="2084"/>
      <c r="CW4" s="2085"/>
      <c r="CX4" s="2083"/>
      <c r="CY4" s="2084"/>
      <c r="CZ4" s="2084"/>
      <c r="DA4" s="2084"/>
      <c r="DB4" s="2084"/>
      <c r="DC4" s="2084"/>
      <c r="DD4" s="2084"/>
      <c r="DE4" s="2085"/>
      <c r="DF4" s="2085"/>
      <c r="DG4" s="1273" t="s">
        <v>414</v>
      </c>
      <c r="DI4" s="496"/>
      <c r="DJ4" s="496" t="str">
        <f>IF(T4="","",T4)</f>
        <v>Наименование системы теплоснабжения </v>
      </c>
      <c r="DK4" s="496"/>
      <c r="DL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415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3"/>
      <c r="AM5" s="2084"/>
      <c r="AN5" s="2084"/>
      <c r="AO5" s="2084"/>
      <c r="AP5" s="2084"/>
      <c r="AQ5" s="2084"/>
      <c r="AR5" s="2084"/>
      <c r="AS5" s="2085"/>
      <c r="AT5" s="2083"/>
      <c r="AU5" s="2084"/>
      <c r="AV5" s="2084"/>
      <c r="AW5" s="2084"/>
      <c r="AX5" s="2084"/>
      <c r="AY5" s="2084"/>
      <c r="AZ5" s="2084"/>
      <c r="BA5" s="2085"/>
      <c r="BB5" s="2083"/>
      <c r="BC5" s="2084"/>
      <c r="BD5" s="2084"/>
      <c r="BE5" s="2084"/>
      <c r="BF5" s="2084"/>
      <c r="BG5" s="2084"/>
      <c r="BH5" s="2084"/>
      <c r="BI5" s="2085"/>
      <c r="BJ5" s="2083"/>
      <c r="BK5" s="2084"/>
      <c r="BL5" s="2084"/>
      <c r="BM5" s="2084"/>
      <c r="BN5" s="2084"/>
      <c r="BO5" s="2084"/>
      <c r="BP5" s="2084"/>
      <c r="BQ5" s="2085"/>
      <c r="BR5" s="2083"/>
      <c r="BS5" s="2084"/>
      <c r="BT5" s="2084"/>
      <c r="BU5" s="2084"/>
      <c r="BV5" s="2084"/>
      <c r="BW5" s="2084"/>
      <c r="BX5" s="2084"/>
      <c r="BY5" s="2085"/>
      <c r="BZ5" s="2083"/>
      <c r="CA5" s="2084"/>
      <c r="CB5" s="2084"/>
      <c r="CC5" s="2084"/>
      <c r="CD5" s="2084"/>
      <c r="CE5" s="2084"/>
      <c r="CF5" s="2084"/>
      <c r="CG5" s="2085"/>
      <c r="CH5" s="2083"/>
      <c r="CI5" s="2084"/>
      <c r="CJ5" s="2084"/>
      <c r="CK5" s="2084"/>
      <c r="CL5" s="2084"/>
      <c r="CM5" s="2084"/>
      <c r="CN5" s="2084"/>
      <c r="CO5" s="2085"/>
      <c r="CP5" s="2083"/>
      <c r="CQ5" s="2084"/>
      <c r="CR5" s="2084"/>
      <c r="CS5" s="2084"/>
      <c r="CT5" s="2084"/>
      <c r="CU5" s="2084"/>
      <c r="CV5" s="2084"/>
      <c r="CW5" s="2085"/>
      <c r="CX5" s="2083"/>
      <c r="CY5" s="2084"/>
      <c r="CZ5" s="2084"/>
      <c r="DA5" s="2084"/>
      <c r="DB5" s="2084"/>
      <c r="DC5" s="2084"/>
      <c r="DD5" s="2084"/>
      <c r="DE5" s="2085"/>
      <c r="DF5" s="2085"/>
      <c r="DG5" s="1273" t="s">
        <v>416</v>
      </c>
      <c r="DI5" s="496"/>
      <c r="DJ5" s="496" t="str">
        <f>IF(T5="","",T5)</f>
        <v>Источник тепловой энергии  </v>
      </c>
      <c r="DK5" s="496"/>
      <c r="DL5" s="496"/>
    </row>
    <row customHeight="1" ht="47.25" hidden="1">
      <c r="A6" s="1380"/>
      <c r="B6" s="1380"/>
      <c r="C6" s="1380"/>
      <c r="D6" s="1380"/>
      <c r="E6" s="2090"/>
      <c r="F6" s="2090"/>
      <c r="G6" s="2090"/>
      <c r="H6" s="2090"/>
      <c r="I6" s="2091">
        <f>S5&amp;".1"</f>
      </c>
      <c r="J6" s="1380"/>
      <c r="K6" s="1380"/>
      <c r="L6" s="1381" t="s">
        <v>417</v>
      </c>
      <c r="M6" s="533"/>
      <c r="P6" s="2093">
        <v>1</v>
      </c>
      <c r="Q6" s="1348"/>
      <c r="R6" s="344"/>
      <c r="S6" s="1353">
        <f>$I6</f>
      </c>
      <c r="T6" s="266" t="s">
        <v>418</v>
      </c>
      <c r="U6" s="280"/>
      <c r="V6" s="2077"/>
      <c r="W6" s="2078"/>
      <c r="X6" s="2078"/>
      <c r="Y6" s="2078"/>
      <c r="Z6" s="2078"/>
      <c r="AA6" s="2078"/>
      <c r="AB6" s="2078"/>
      <c r="AC6" s="2079"/>
      <c r="AD6" s="2077"/>
      <c r="AE6" s="2078"/>
      <c r="AF6" s="2078"/>
      <c r="AG6" s="2078"/>
      <c r="AH6" s="2078"/>
      <c r="AI6" s="2078"/>
      <c r="AJ6" s="2078"/>
      <c r="AK6" s="2078"/>
      <c r="AL6" s="2077"/>
      <c r="AM6" s="2078"/>
      <c r="AN6" s="2078"/>
      <c r="AO6" s="2078"/>
      <c r="AP6" s="2078"/>
      <c r="AQ6" s="2078"/>
      <c r="AR6" s="2078"/>
      <c r="AS6" s="2079"/>
      <c r="AT6" s="2077"/>
      <c r="AU6" s="2078"/>
      <c r="AV6" s="2078"/>
      <c r="AW6" s="2078"/>
      <c r="AX6" s="2078"/>
      <c r="AY6" s="2078"/>
      <c r="AZ6" s="2078"/>
      <c r="BA6" s="2079"/>
      <c r="BB6" s="2077"/>
      <c r="BC6" s="2078"/>
      <c r="BD6" s="2078"/>
      <c r="BE6" s="2078"/>
      <c r="BF6" s="2078"/>
      <c r="BG6" s="2078"/>
      <c r="BH6" s="2078"/>
      <c r="BI6" s="2079"/>
      <c r="BJ6" s="2077"/>
      <c r="BK6" s="2078"/>
      <c r="BL6" s="2078"/>
      <c r="BM6" s="2078"/>
      <c r="BN6" s="2078"/>
      <c r="BO6" s="2078"/>
      <c r="BP6" s="2078"/>
      <c r="BQ6" s="2079"/>
      <c r="BR6" s="2077"/>
      <c r="BS6" s="2078"/>
      <c r="BT6" s="2078"/>
      <c r="BU6" s="2078"/>
      <c r="BV6" s="2078"/>
      <c r="BW6" s="2078"/>
      <c r="BX6" s="2078"/>
      <c r="BY6" s="2079"/>
      <c r="BZ6" s="2077"/>
      <c r="CA6" s="2078"/>
      <c r="CB6" s="2078"/>
      <c r="CC6" s="2078"/>
      <c r="CD6" s="2078"/>
      <c r="CE6" s="2078"/>
      <c r="CF6" s="2078"/>
      <c r="CG6" s="2079"/>
      <c r="CH6" s="2077"/>
      <c r="CI6" s="2078"/>
      <c r="CJ6" s="2078"/>
      <c r="CK6" s="2078"/>
      <c r="CL6" s="2078"/>
      <c r="CM6" s="2078"/>
      <c r="CN6" s="2078"/>
      <c r="CO6" s="2079"/>
      <c r="CP6" s="2077"/>
      <c r="CQ6" s="2078"/>
      <c r="CR6" s="2078"/>
      <c r="CS6" s="2078"/>
      <c r="CT6" s="2078"/>
      <c r="CU6" s="2078"/>
      <c r="CV6" s="2078"/>
      <c r="CW6" s="2079"/>
      <c r="CX6" s="2077"/>
      <c r="CY6" s="2078"/>
      <c r="CZ6" s="2078"/>
      <c r="DA6" s="2078"/>
      <c r="DB6" s="2078"/>
      <c r="DC6" s="2078"/>
      <c r="DD6" s="2078"/>
      <c r="DE6" s="2079"/>
      <c r="DF6" s="2079"/>
      <c r="DG6" s="1273" t="s">
        <v>419</v>
      </c>
      <c r="DI6" s="496"/>
      <c r="DJ6" s="496" t="str">
        <f>IF(T6="","",T6)</f>
        <v>Схема подключения теплопотребляющей установки к коллектору источника тепловой энергии</v>
      </c>
      <c r="DK6" s="496"/>
      <c r="DL6" s="496"/>
    </row>
    <row customHeight="1" ht="21" hidden="1">
      <c r="A7" s="1380"/>
      <c r="B7" s="1380"/>
      <c r="C7" s="1380"/>
      <c r="D7" s="1380"/>
      <c r="E7" s="2090"/>
      <c r="F7" s="2090"/>
      <c r="G7" s="2090"/>
      <c r="H7" s="2090"/>
      <c r="I7" s="2092"/>
      <c r="J7" s="2091">
        <f>I6&amp;".1"</f>
      </c>
      <c r="K7" s="1380"/>
      <c r="L7" s="1381" t="s">
        <v>420</v>
      </c>
      <c r="M7" s="533"/>
      <c r="N7" s="1383"/>
      <c r="P7" s="2093"/>
      <c r="Q7" s="2093">
        <v>1</v>
      </c>
      <c r="R7" s="345"/>
      <c r="S7" s="1353">
        <f>$J7</f>
      </c>
      <c r="T7" s="267" t="s">
        <v>421</v>
      </c>
      <c r="U7" s="280"/>
      <c r="V7" s="2077"/>
      <c r="W7" s="2078"/>
      <c r="X7" s="2078"/>
      <c r="Y7" s="2078"/>
      <c r="Z7" s="2078"/>
      <c r="AA7" s="2078"/>
      <c r="AB7" s="2078"/>
      <c r="AC7" s="2079"/>
      <c r="AD7" s="2077"/>
      <c r="AE7" s="2078"/>
      <c r="AF7" s="2078"/>
      <c r="AG7" s="2078"/>
      <c r="AH7" s="2078"/>
      <c r="AI7" s="2078"/>
      <c r="AJ7" s="2078"/>
      <c r="AK7" s="2078"/>
      <c r="AL7" s="2077"/>
      <c r="AM7" s="2078"/>
      <c r="AN7" s="2078"/>
      <c r="AO7" s="2078"/>
      <c r="AP7" s="2078"/>
      <c r="AQ7" s="2078"/>
      <c r="AR7" s="2078"/>
      <c r="AS7" s="2079"/>
      <c r="AT7" s="2077"/>
      <c r="AU7" s="2078"/>
      <c r="AV7" s="2078"/>
      <c r="AW7" s="2078"/>
      <c r="AX7" s="2078"/>
      <c r="AY7" s="2078"/>
      <c r="AZ7" s="2078"/>
      <c r="BA7" s="2079"/>
      <c r="BB7" s="2077"/>
      <c r="BC7" s="2078"/>
      <c r="BD7" s="2078"/>
      <c r="BE7" s="2078"/>
      <c r="BF7" s="2078"/>
      <c r="BG7" s="2078"/>
      <c r="BH7" s="2078"/>
      <c r="BI7" s="2079"/>
      <c r="BJ7" s="2077"/>
      <c r="BK7" s="2078"/>
      <c r="BL7" s="2078"/>
      <c r="BM7" s="2078"/>
      <c r="BN7" s="2078"/>
      <c r="BO7" s="2078"/>
      <c r="BP7" s="2078"/>
      <c r="BQ7" s="2079"/>
      <c r="BR7" s="2077"/>
      <c r="BS7" s="2078"/>
      <c r="BT7" s="2078"/>
      <c r="BU7" s="2078"/>
      <c r="BV7" s="2078"/>
      <c r="BW7" s="2078"/>
      <c r="BX7" s="2078"/>
      <c r="BY7" s="2079"/>
      <c r="BZ7" s="2077"/>
      <c r="CA7" s="2078"/>
      <c r="CB7" s="2078"/>
      <c r="CC7" s="2078"/>
      <c r="CD7" s="2078"/>
      <c r="CE7" s="2078"/>
      <c r="CF7" s="2078"/>
      <c r="CG7" s="2079"/>
      <c r="CH7" s="2077"/>
      <c r="CI7" s="2078"/>
      <c r="CJ7" s="2078"/>
      <c r="CK7" s="2078"/>
      <c r="CL7" s="2078"/>
      <c r="CM7" s="2078"/>
      <c r="CN7" s="2078"/>
      <c r="CO7" s="2079"/>
      <c r="CP7" s="2077"/>
      <c r="CQ7" s="2078"/>
      <c r="CR7" s="2078"/>
      <c r="CS7" s="2078"/>
      <c r="CT7" s="2078"/>
      <c r="CU7" s="2078"/>
      <c r="CV7" s="2078"/>
      <c r="CW7" s="2079"/>
      <c r="CX7" s="2077"/>
      <c r="CY7" s="2078"/>
      <c r="CZ7" s="2078"/>
      <c r="DA7" s="2078"/>
      <c r="DB7" s="2078"/>
      <c r="DC7" s="2078"/>
      <c r="DD7" s="2078"/>
      <c r="DE7" s="2079"/>
      <c r="DF7" s="2079"/>
      <c r="DG7" s="1273" t="s">
        <v>422</v>
      </c>
      <c r="DI7" s="496"/>
      <c r="DJ7" s="496" t="str">
        <f>IF(T7="","",T7)</f>
        <v>Группа потребителей</v>
      </c>
      <c r="DK7" s="496"/>
      <c r="DL7" s="496"/>
    </row>
    <row customHeight="1" ht="21" hidden="1">
      <c r="A8" s="1380"/>
      <c r="B8" s="1380"/>
      <c r="C8" s="1380"/>
      <c r="D8" s="1380"/>
      <c r="E8" s="2090"/>
      <c r="F8" s="2090"/>
      <c r="G8" s="2090"/>
      <c r="H8" s="2090"/>
      <c r="I8" s="2092"/>
      <c r="J8" s="2092"/>
      <c r="K8" s="2091">
        <f>J7&amp;".1"</f>
      </c>
      <c r="L8" s="1381" t="s">
        <v>423</v>
      </c>
      <c r="M8" s="533"/>
      <c r="N8" s="1383"/>
      <c r="O8" s="1383"/>
      <c r="P8" s="2093"/>
      <c r="Q8" s="2093"/>
      <c r="R8" s="345">
        <v>1</v>
      </c>
      <c r="S8" s="1353">
        <f>$K8</f>
      </c>
      <c r="T8" s="1364"/>
      <c r="U8" s="280"/>
      <c r="V8" s="312"/>
      <c r="W8" s="746"/>
      <c r="X8" s="312"/>
      <c r="Y8" s="381"/>
      <c r="Z8" s="2094"/>
      <c r="AA8" s="1963" t="s">
        <v>61</v>
      </c>
      <c r="AB8" s="2094"/>
      <c r="AC8" s="1963" t="s">
        <v>61</v>
      </c>
      <c r="AD8" s="312"/>
      <c r="AE8" s="746"/>
      <c r="AF8" s="312"/>
      <c r="AG8" s="381"/>
      <c r="AH8" s="2094"/>
      <c r="AI8" s="1963" t="s">
        <v>61</v>
      </c>
      <c r="AJ8" s="2094"/>
      <c r="AK8" s="1963" t="s">
        <v>61</v>
      </c>
      <c r="AL8" s="312"/>
      <c r="AM8" s="746"/>
      <c r="AN8" s="312"/>
      <c r="AO8" s="381"/>
      <c r="AP8" s="2425"/>
      <c r="AQ8" s="1963" t="s">
        <v>61</v>
      </c>
      <c r="AR8" s="2425"/>
      <c r="AS8" s="1963" t="s">
        <v>61</v>
      </c>
      <c r="AT8" s="312"/>
      <c r="AU8" s="746"/>
      <c r="AV8" s="312"/>
      <c r="AW8" s="381"/>
      <c r="AX8" s="2425"/>
      <c r="AY8" s="1963" t="s">
        <v>61</v>
      </c>
      <c r="AZ8" s="2425"/>
      <c r="BA8" s="1963" t="s">
        <v>61</v>
      </c>
      <c r="BB8" s="312"/>
      <c r="BC8" s="746"/>
      <c r="BD8" s="312"/>
      <c r="BE8" s="381"/>
      <c r="BF8" s="2425"/>
      <c r="BG8" s="1963" t="s">
        <v>61</v>
      </c>
      <c r="BH8" s="2425"/>
      <c r="BI8" s="1963" t="s">
        <v>61</v>
      </c>
      <c r="BJ8" s="312"/>
      <c r="BK8" s="746"/>
      <c r="BL8" s="312"/>
      <c r="BM8" s="381"/>
      <c r="BN8" s="2425"/>
      <c r="BO8" s="1963" t="s">
        <v>61</v>
      </c>
      <c r="BP8" s="2425"/>
      <c r="BQ8" s="1963" t="s">
        <v>61</v>
      </c>
      <c r="BR8" s="312"/>
      <c r="BS8" s="746"/>
      <c r="BT8" s="312"/>
      <c r="BU8" s="381"/>
      <c r="BV8" s="2425"/>
      <c r="BW8" s="1963" t="s">
        <v>61</v>
      </c>
      <c r="BX8" s="2425"/>
      <c r="BY8" s="1963" t="s">
        <v>61</v>
      </c>
      <c r="BZ8" s="312"/>
      <c r="CA8" s="746"/>
      <c r="CB8" s="312"/>
      <c r="CC8" s="381"/>
      <c r="CD8" s="2425"/>
      <c r="CE8" s="1963" t="s">
        <v>61</v>
      </c>
      <c r="CF8" s="2425"/>
      <c r="CG8" s="1963" t="s">
        <v>61</v>
      </c>
      <c r="CH8" s="312"/>
      <c r="CI8" s="746"/>
      <c r="CJ8" s="312"/>
      <c r="CK8" s="381"/>
      <c r="CL8" s="2425"/>
      <c r="CM8" s="1963" t="s">
        <v>61</v>
      </c>
      <c r="CN8" s="2425"/>
      <c r="CO8" s="1963" t="s">
        <v>61</v>
      </c>
      <c r="CP8" s="312"/>
      <c r="CQ8" s="746"/>
      <c r="CR8" s="312"/>
      <c r="CS8" s="381"/>
      <c r="CT8" s="2425"/>
      <c r="CU8" s="1963" t="s">
        <v>61</v>
      </c>
      <c r="CV8" s="2425"/>
      <c r="CW8" s="1963" t="s">
        <v>61</v>
      </c>
      <c r="CX8" s="312"/>
      <c r="CY8" s="746"/>
      <c r="CZ8" s="312"/>
      <c r="DA8" s="381"/>
      <c r="DB8" s="2425"/>
      <c r="DC8" s="1963" t="s">
        <v>61</v>
      </c>
      <c r="DD8" s="2425"/>
      <c r="DE8" s="1963" t="s">
        <v>61</v>
      </c>
      <c r="DF8" s="312"/>
      <c r="DG8" s="2119" t="s">
        <v>424</v>
      </c>
      <c r="DH8" s="507">
        <f>STRCHECKDATE(V9:DF9)</f>
      </c>
      <c r="DI8" s="496"/>
      <c r="DJ8" s="496" t="str">
        <f>IF(T8="","",T8)</f>
        <v/>
      </c>
      <c r="DK8" s="496"/>
      <c r="DL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312"/>
      <c r="AN9" s="312"/>
      <c r="AO9" s="316" t="str">
        <f>AP8&amp;"-"&amp;AR8</f>
        <v>-</v>
      </c>
      <c r="AP9" s="2134"/>
      <c r="AQ9" s="1963"/>
      <c r="AR9" s="2134"/>
      <c r="AS9" s="1963"/>
      <c r="AT9" s="312"/>
      <c r="AU9" s="312"/>
      <c r="AV9" s="312"/>
      <c r="AW9" s="316" t="str">
        <f>AX8&amp;"-"&amp;AZ8</f>
        <v>-</v>
      </c>
      <c r="AX9" s="2134"/>
      <c r="AY9" s="1963"/>
      <c r="AZ9" s="2134"/>
      <c r="BA9" s="1963"/>
      <c r="BB9" s="312"/>
      <c r="BC9" s="312"/>
      <c r="BD9" s="312"/>
      <c r="BE9" s="316" t="str">
        <f>BF8&amp;"-"&amp;BH8</f>
        <v>-</v>
      </c>
      <c r="BF9" s="2134"/>
      <c r="BG9" s="1963"/>
      <c r="BH9" s="2134"/>
      <c r="BI9" s="1963"/>
      <c r="BJ9" s="312"/>
      <c r="BK9" s="312"/>
      <c r="BL9" s="312"/>
      <c r="BM9" s="316" t="str">
        <f>BN8&amp;"-"&amp;BP8</f>
        <v>-</v>
      </c>
      <c r="BN9" s="2134"/>
      <c r="BO9" s="1963"/>
      <c r="BP9" s="2134"/>
      <c r="BQ9" s="1963"/>
      <c r="BR9" s="312"/>
      <c r="BS9" s="312"/>
      <c r="BT9" s="312"/>
      <c r="BU9" s="316" t="str">
        <f>BV8&amp;"-"&amp;BX8</f>
        <v>-</v>
      </c>
      <c r="BV9" s="2134"/>
      <c r="BW9" s="1963"/>
      <c r="BX9" s="2134"/>
      <c r="BY9" s="1963"/>
      <c r="BZ9" s="312"/>
      <c r="CA9" s="312"/>
      <c r="CB9" s="312"/>
      <c r="CC9" s="316" t="str">
        <f>CD8&amp;"-"&amp;CF8</f>
        <v>-</v>
      </c>
      <c r="CD9" s="2134"/>
      <c r="CE9" s="1963"/>
      <c r="CF9" s="2134"/>
      <c r="CG9" s="1963"/>
      <c r="CH9" s="312"/>
      <c r="CI9" s="312"/>
      <c r="CJ9" s="312"/>
      <c r="CK9" s="316" t="str">
        <f>CL8&amp;"-"&amp;CN8</f>
        <v>-</v>
      </c>
      <c r="CL9" s="2134"/>
      <c r="CM9" s="1963"/>
      <c r="CN9" s="2134"/>
      <c r="CO9" s="1963"/>
      <c r="CP9" s="312"/>
      <c r="CQ9" s="312"/>
      <c r="CR9" s="312"/>
      <c r="CS9" s="316" t="str">
        <f>CT8&amp;"-"&amp;CV8</f>
        <v>-</v>
      </c>
      <c r="CT9" s="2134"/>
      <c r="CU9" s="1963"/>
      <c r="CV9" s="2134"/>
      <c r="CW9" s="1963"/>
      <c r="CX9" s="312"/>
      <c r="CY9" s="312"/>
      <c r="CZ9" s="312"/>
      <c r="DA9" s="316" t="str">
        <f>DB8&amp;"-"&amp;DD8</f>
        <v>-</v>
      </c>
      <c r="DB9" s="2134"/>
      <c r="DC9" s="1963"/>
      <c r="DD9" s="2134"/>
      <c r="DE9" s="1963"/>
      <c r="DF9" s="312"/>
      <c r="DG9" s="2120"/>
      <c r="DI9" s="496"/>
      <c r="DJ9" s="496" t="str">
        <f>IF(T9="","",T9)</f>
        <v/>
      </c>
      <c r="DK9" s="496"/>
      <c r="DL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9" t="s">
        <v>425</v>
      </c>
      <c r="U10" s="359"/>
      <c r="V10" s="359"/>
      <c r="W10" s="359"/>
      <c r="X10" s="359"/>
      <c r="Y10" s="359"/>
      <c r="Z10" s="359"/>
      <c r="AA10" s="359"/>
      <c r="AB10" s="359"/>
      <c r="AC10" s="359"/>
      <c r="AD10" s="359"/>
      <c r="AE10" s="359"/>
      <c r="AF10" s="359"/>
      <c r="AG10" s="359"/>
      <c r="AH10" s="359"/>
      <c r="AI10" s="359"/>
      <c r="AJ10" s="359"/>
      <c r="AK10" s="359"/>
      <c r="AL10" s="4065"/>
      <c r="AM10" s="4066"/>
      <c r="AN10" s="4067"/>
      <c r="AO10" s="4068"/>
      <c r="AP10" s="4069"/>
      <c r="AQ10" s="4070"/>
      <c r="AR10" s="4071"/>
      <c r="AS10" s="4072"/>
      <c r="AT10" s="4073"/>
      <c r="AU10" s="4074"/>
      <c r="AV10" s="4075"/>
      <c r="AW10" s="4076"/>
      <c r="AX10" s="4077"/>
      <c r="AY10" s="4078"/>
      <c r="AZ10" s="4079"/>
      <c r="BA10" s="4080"/>
      <c r="BB10" s="4081"/>
      <c r="BC10" s="4082"/>
      <c r="BD10" s="4083"/>
      <c r="BE10" s="4084"/>
      <c r="BF10" s="4085"/>
      <c r="BG10" s="4086"/>
      <c r="BH10" s="4087"/>
      <c r="BI10" s="4088"/>
      <c r="BJ10" s="4089"/>
      <c r="BK10" s="4090"/>
      <c r="BL10" s="4091"/>
      <c r="BM10" s="4092"/>
      <c r="BN10" s="4093"/>
      <c r="BO10" s="4094"/>
      <c r="BP10" s="4095"/>
      <c r="BQ10" s="4096"/>
      <c r="BR10" s="4097"/>
      <c r="BS10" s="4098"/>
      <c r="BT10" s="4099"/>
      <c r="BU10" s="4100"/>
      <c r="BV10" s="4101"/>
      <c r="BW10" s="4102"/>
      <c r="BX10" s="4103"/>
      <c r="BY10" s="4104"/>
      <c r="BZ10" s="4105"/>
      <c r="CA10" s="4106"/>
      <c r="CB10" s="4107"/>
      <c r="CC10" s="4108"/>
      <c r="CD10" s="4109"/>
      <c r="CE10" s="4110"/>
      <c r="CF10" s="4111"/>
      <c r="CG10" s="4112"/>
      <c r="CH10" s="4113"/>
      <c r="CI10" s="4114"/>
      <c r="CJ10" s="4115"/>
      <c r="CK10" s="4116"/>
      <c r="CL10" s="4117"/>
      <c r="CM10" s="4118"/>
      <c r="CN10" s="4119"/>
      <c r="CO10" s="4120"/>
      <c r="CP10" s="4121"/>
      <c r="CQ10" s="4122"/>
      <c r="CR10" s="4123"/>
      <c r="CS10" s="4124"/>
      <c r="CT10" s="4125"/>
      <c r="CU10" s="4126"/>
      <c r="CV10" s="4127"/>
      <c r="CW10" s="4128"/>
      <c r="CX10" s="4129"/>
      <c r="CY10" s="4130"/>
      <c r="CZ10" s="4131"/>
      <c r="DA10" s="4132"/>
      <c r="DB10" s="4133"/>
      <c r="DC10" s="4134"/>
      <c r="DD10" s="4135"/>
      <c r="DE10" s="4136"/>
      <c r="DF10" s="311"/>
      <c r="DG10" s="2121"/>
      <c r="DI10" s="496"/>
      <c r="DJ10" s="496" t="str">
        <f>IF(T10="","",T10)</f>
        <v>Добавить вид теплоносителя (параметры теплоносителя)</v>
      </c>
      <c r="DK10" s="496"/>
      <c r="DL10" s="496"/>
    </row>
    <row customHeight="1" ht="15" hidden="1">
      <c r="A11" s="1380"/>
      <c r="B11" s="1380"/>
      <c r="C11" s="1380"/>
      <c r="D11" s="1380"/>
      <c r="E11" s="2090"/>
      <c r="F11" s="2090"/>
      <c r="G11" s="2090"/>
      <c r="H11" s="2090"/>
      <c r="I11" s="2091"/>
      <c r="J11" s="1380"/>
      <c r="K11" s="1380"/>
      <c r="L11" s="1381"/>
      <c r="M11" s="533"/>
      <c r="P11" s="2093"/>
      <c r="Q11" s="1348"/>
      <c r="R11" s="344"/>
      <c r="S11" s="1295"/>
      <c r="T11" s="268" t="s">
        <v>426</v>
      </c>
      <c r="U11" s="359"/>
      <c r="V11" s="359"/>
      <c r="W11" s="359"/>
      <c r="X11" s="359"/>
      <c r="Y11" s="359"/>
      <c r="Z11" s="359"/>
      <c r="AA11" s="359"/>
      <c r="AB11" s="359"/>
      <c r="AC11" s="358"/>
      <c r="AD11" s="359"/>
      <c r="AE11" s="359"/>
      <c r="AF11" s="359"/>
      <c r="AG11" s="359"/>
      <c r="AH11" s="359"/>
      <c r="AI11" s="359"/>
      <c r="AJ11" s="359"/>
      <c r="AK11" s="358"/>
      <c r="AL11" s="4137"/>
      <c r="AM11" s="4138"/>
      <c r="AN11" s="4139"/>
      <c r="AO11" s="4140"/>
      <c r="AP11" s="4141"/>
      <c r="AQ11" s="4142"/>
      <c r="AR11" s="4143"/>
      <c r="AS11" s="4144"/>
      <c r="AT11" s="4145"/>
      <c r="AU11" s="4146"/>
      <c r="AV11" s="4147"/>
      <c r="AW11" s="4148"/>
      <c r="AX11" s="4149"/>
      <c r="AY11" s="4150"/>
      <c r="AZ11" s="4151"/>
      <c r="BA11" s="4152"/>
      <c r="BB11" s="4153"/>
      <c r="BC11" s="4154"/>
      <c r="BD11" s="4155"/>
      <c r="BE11" s="4156"/>
      <c r="BF11" s="4157"/>
      <c r="BG11" s="4158"/>
      <c r="BH11" s="4159"/>
      <c r="BI11" s="4160"/>
      <c r="BJ11" s="4161"/>
      <c r="BK11" s="4162"/>
      <c r="BL11" s="4163"/>
      <c r="BM11" s="4164"/>
      <c r="BN11" s="4165"/>
      <c r="BO11" s="4166"/>
      <c r="BP11" s="4167"/>
      <c r="BQ11" s="4168"/>
      <c r="BR11" s="4169"/>
      <c r="BS11" s="4170"/>
      <c r="BT11" s="4171"/>
      <c r="BU11" s="4172"/>
      <c r="BV11" s="4173"/>
      <c r="BW11" s="4174"/>
      <c r="BX11" s="4175"/>
      <c r="BY11" s="4176"/>
      <c r="BZ11" s="4177"/>
      <c r="CA11" s="4178"/>
      <c r="CB11" s="4179"/>
      <c r="CC11" s="4180"/>
      <c r="CD11" s="4181"/>
      <c r="CE11" s="4182"/>
      <c r="CF11" s="4183"/>
      <c r="CG11" s="4184"/>
      <c r="CH11" s="4185"/>
      <c r="CI11" s="4186"/>
      <c r="CJ11" s="4187"/>
      <c r="CK11" s="4188"/>
      <c r="CL11" s="4189"/>
      <c r="CM11" s="4190"/>
      <c r="CN11" s="4191"/>
      <c r="CO11" s="4192"/>
      <c r="CP11" s="4193"/>
      <c r="CQ11" s="4194"/>
      <c r="CR11" s="4195"/>
      <c r="CS11" s="4196"/>
      <c r="CT11" s="4197"/>
      <c r="CU11" s="4198"/>
      <c r="CV11" s="4199"/>
      <c r="CW11" s="4200"/>
      <c r="CX11" s="4201"/>
      <c r="CY11" s="4202"/>
      <c r="CZ11" s="4203"/>
      <c r="DA11" s="4204"/>
      <c r="DB11" s="4205"/>
      <c r="DC11" s="4206"/>
      <c r="DD11" s="4207"/>
      <c r="DE11" s="4208"/>
      <c r="DF11" s="359"/>
      <c r="DG11" s="283"/>
      <c r="DI11" s="496"/>
      <c r="DJ11" s="496" t="str">
        <f>IF(T11="","",T11)</f>
        <v>Добавить группу потребителей</v>
      </c>
      <c r="DK11" s="496"/>
      <c r="DL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295"/>
      <c r="T12" s="356" t="s">
        <v>427</v>
      </c>
      <c r="U12" s="359"/>
      <c r="V12" s="359"/>
      <c r="W12" s="359"/>
      <c r="X12" s="359"/>
      <c r="Y12" s="359"/>
      <c r="Z12" s="359"/>
      <c r="AA12" s="359"/>
      <c r="AB12" s="359"/>
      <c r="AC12" s="358"/>
      <c r="AD12" s="359"/>
      <c r="AE12" s="359"/>
      <c r="AF12" s="359"/>
      <c r="AG12" s="359"/>
      <c r="AH12" s="359"/>
      <c r="AI12" s="359"/>
      <c r="AJ12" s="359"/>
      <c r="AK12" s="358"/>
      <c r="AL12" s="4209"/>
      <c r="AM12" s="4210"/>
      <c r="AN12" s="4211"/>
      <c r="AO12" s="4212"/>
      <c r="AP12" s="4213"/>
      <c r="AQ12" s="4214"/>
      <c r="AR12" s="4215"/>
      <c r="AS12" s="4216"/>
      <c r="AT12" s="4217"/>
      <c r="AU12" s="4218"/>
      <c r="AV12" s="4219"/>
      <c r="AW12" s="4220"/>
      <c r="AX12" s="4221"/>
      <c r="AY12" s="4222"/>
      <c r="AZ12" s="4223"/>
      <c r="BA12" s="4224"/>
      <c r="BB12" s="4225"/>
      <c r="BC12" s="4226"/>
      <c r="BD12" s="4227"/>
      <c r="BE12" s="4228"/>
      <c r="BF12" s="4229"/>
      <c r="BG12" s="4230"/>
      <c r="BH12" s="4231"/>
      <c r="BI12" s="4232"/>
      <c r="BJ12" s="4233"/>
      <c r="BK12" s="4234"/>
      <c r="BL12" s="4235"/>
      <c r="BM12" s="4236"/>
      <c r="BN12" s="4237"/>
      <c r="BO12" s="4238"/>
      <c r="BP12" s="4239"/>
      <c r="BQ12" s="4240"/>
      <c r="BR12" s="4241"/>
      <c r="BS12" s="4242"/>
      <c r="BT12" s="4243"/>
      <c r="BU12" s="4244"/>
      <c r="BV12" s="4245"/>
      <c r="BW12" s="4246"/>
      <c r="BX12" s="4247"/>
      <c r="BY12" s="4248"/>
      <c r="BZ12" s="4249"/>
      <c r="CA12" s="4250"/>
      <c r="CB12" s="4251"/>
      <c r="CC12" s="4252"/>
      <c r="CD12" s="4253"/>
      <c r="CE12" s="4254"/>
      <c r="CF12" s="4255"/>
      <c r="CG12" s="4256"/>
      <c r="CH12" s="4257"/>
      <c r="CI12" s="4258"/>
      <c r="CJ12" s="4259"/>
      <c r="CK12" s="4260"/>
      <c r="CL12" s="4261"/>
      <c r="CM12" s="4262"/>
      <c r="CN12" s="4263"/>
      <c r="CO12" s="4264"/>
      <c r="CP12" s="4265"/>
      <c r="CQ12" s="4266"/>
      <c r="CR12" s="4267"/>
      <c r="CS12" s="4268"/>
      <c r="CT12" s="4269"/>
      <c r="CU12" s="4270"/>
      <c r="CV12" s="4271"/>
      <c r="CW12" s="4272"/>
      <c r="CX12" s="4273"/>
      <c r="CY12" s="4274"/>
      <c r="CZ12" s="4275"/>
      <c r="DA12" s="4276"/>
      <c r="DB12" s="4277"/>
      <c r="DC12" s="4278"/>
      <c r="DD12" s="4279"/>
      <c r="DE12" s="4280"/>
      <c r="DF12" s="359"/>
      <c r="DG12" s="283"/>
      <c r="DI12" s="496"/>
      <c r="DJ12" s="496" t="str">
        <f>IF(T12="","",T12)</f>
        <v>Добавить схему подключения</v>
      </c>
      <c r="DK12" s="496"/>
      <c r="DL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160</v>
      </c>
      <c r="U13" s="1337"/>
      <c r="V13" s="1337"/>
      <c r="W13" s="1337"/>
      <c r="X13" s="1337"/>
      <c r="Y13" s="1337"/>
      <c r="Z13" s="1337"/>
      <c r="AA13" s="1337"/>
      <c r="AB13" s="1337"/>
      <c r="AC13" s="1337"/>
      <c r="AD13" s="1337"/>
      <c r="AE13" s="1337"/>
      <c r="AF13" s="1337"/>
      <c r="AG13" s="1337"/>
      <c r="AH13" s="1337"/>
      <c r="AI13" s="1337"/>
      <c r="AJ13" s="1337"/>
      <c r="AK13" s="1337"/>
      <c r="AL13" s="1337"/>
      <c r="AM13" s="1337"/>
      <c r="AN13" s="1337"/>
      <c r="AO13" s="1337"/>
      <c r="AP13" s="1337"/>
      <c r="AQ13" s="1337"/>
      <c r="AR13" s="1337"/>
      <c r="AS13" s="1337"/>
      <c r="AT13" s="1337"/>
      <c r="AU13" s="1337"/>
      <c r="AV13" s="1337"/>
      <c r="AW13" s="1337"/>
      <c r="AX13" s="1337"/>
      <c r="AY13" s="1337"/>
      <c r="AZ13" s="1337"/>
      <c r="BA13" s="1337"/>
      <c r="BB13" s="1337"/>
      <c r="BC13" s="1337"/>
      <c r="BD13" s="1337"/>
      <c r="BE13" s="1337"/>
      <c r="BF13" s="1337"/>
      <c r="BG13" s="1337"/>
      <c r="BH13" s="1337"/>
      <c r="BI13" s="1337"/>
      <c r="BJ13" s="1337"/>
      <c r="BK13" s="1337"/>
      <c r="BL13" s="1337"/>
      <c r="BM13" s="1337"/>
      <c r="BN13" s="1337"/>
      <c r="BO13" s="1337"/>
      <c r="BP13" s="1337"/>
      <c r="BQ13" s="1337"/>
      <c r="BR13" s="1337"/>
      <c r="BS13" s="1337"/>
      <c r="BT13" s="1337"/>
      <c r="BU13" s="1337"/>
      <c r="BV13" s="1337"/>
      <c r="BW13" s="1337"/>
      <c r="BX13" s="1337"/>
      <c r="BY13" s="1337"/>
      <c r="BZ13" s="1337"/>
      <c r="CA13" s="1337"/>
      <c r="CB13" s="1337"/>
      <c r="CC13" s="1337"/>
      <c r="CD13" s="1337"/>
      <c r="CE13" s="1337"/>
      <c r="CF13" s="1337"/>
      <c r="CG13" s="1337"/>
      <c r="CH13" s="1337"/>
      <c r="CI13" s="1337"/>
      <c r="CJ13" s="1337"/>
      <c r="CK13" s="1337"/>
      <c r="CL13" s="1337"/>
      <c r="CM13" s="1337"/>
      <c r="CN13" s="1337"/>
      <c r="CO13" s="1337"/>
      <c r="CP13" s="1337"/>
      <c r="CQ13" s="1337"/>
      <c r="CR13" s="1337"/>
      <c r="CS13" s="1337"/>
      <c r="CT13" s="1337"/>
      <c r="CU13" s="1337"/>
      <c r="CV13" s="1337"/>
      <c r="CW13" s="1337"/>
      <c r="CX13" s="1337"/>
      <c r="CY13" s="1337"/>
      <c r="CZ13" s="1337"/>
      <c r="DA13" s="1337"/>
      <c r="DB13" s="1337"/>
      <c r="DC13" s="1337"/>
      <c r="DD13" s="1337"/>
      <c r="DE13" s="1337"/>
      <c r="DF13" s="1337"/>
      <c r="DG13" s="1337"/>
      <c r="DI13" s="783"/>
      <c r="DJ13" s="783" t="str">
        <f>IF(T13="","",T13)</f>
        <v>Добавить источник для дифференциации</v>
      </c>
      <c r="DK13" s="783"/>
      <c r="DL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161</v>
      </c>
      <c r="U14" s="1341"/>
      <c r="V14" s="1341"/>
      <c r="W14" s="1341"/>
      <c r="X14" s="1341"/>
      <c r="Y14" s="1341"/>
      <c r="Z14" s="1341"/>
      <c r="AA14" s="1341"/>
      <c r="AB14" s="1341"/>
      <c r="AC14" s="1341"/>
      <c r="AD14" s="1341"/>
      <c r="AE14" s="1341"/>
      <c r="AF14" s="1341"/>
      <c r="AG14" s="1341"/>
      <c r="AH14" s="1341"/>
      <c r="AI14" s="1341"/>
      <c r="AJ14" s="1341"/>
      <c r="AK14" s="1341"/>
      <c r="AL14" s="1341"/>
      <c r="AM14" s="1341"/>
      <c r="AN14" s="1341"/>
      <c r="AO14" s="1341"/>
      <c r="AP14" s="1341"/>
      <c r="AQ14" s="1341"/>
      <c r="AR14" s="1341"/>
      <c r="AS14" s="1341"/>
      <c r="AT14" s="1341"/>
      <c r="AU14" s="1341"/>
      <c r="AV14" s="1341"/>
      <c r="AW14" s="1341"/>
      <c r="AX14" s="1341"/>
      <c r="AY14" s="1341"/>
      <c r="AZ14" s="1341"/>
      <c r="BA14" s="1341"/>
      <c r="BB14" s="1341"/>
      <c r="BC14" s="1341"/>
      <c r="BD14" s="1341"/>
      <c r="BE14" s="1341"/>
      <c r="BF14" s="1341"/>
      <c r="BG14" s="1341"/>
      <c r="BH14" s="1341"/>
      <c r="BI14" s="1341"/>
      <c r="BJ14" s="1341"/>
      <c r="BK14" s="1341"/>
      <c r="BL14" s="1341"/>
      <c r="BM14" s="1341"/>
      <c r="BN14" s="1341"/>
      <c r="BO14" s="1341"/>
      <c r="BP14" s="1341"/>
      <c r="BQ14" s="1341"/>
      <c r="BR14" s="1341"/>
      <c r="BS14" s="1341"/>
      <c r="BT14" s="1341"/>
      <c r="BU14" s="1341"/>
      <c r="BV14" s="1341"/>
      <c r="BW14" s="1341"/>
      <c r="BX14" s="1341"/>
      <c r="BY14" s="1341"/>
      <c r="BZ14" s="1341"/>
      <c r="CA14" s="1341"/>
      <c r="CB14" s="1341"/>
      <c r="CC14" s="1341"/>
      <c r="CD14" s="1341"/>
      <c r="CE14" s="1341"/>
      <c r="CF14" s="1341"/>
      <c r="CG14" s="1341"/>
      <c r="CH14" s="1341"/>
      <c r="CI14" s="1341"/>
      <c r="CJ14" s="1341"/>
      <c r="CK14" s="1341"/>
      <c r="CL14" s="1341"/>
      <c r="CM14" s="1341"/>
      <c r="CN14" s="1341"/>
      <c r="CO14" s="1341"/>
      <c r="CP14" s="1341"/>
      <c r="CQ14" s="1341"/>
      <c r="CR14" s="1341"/>
      <c r="CS14" s="1341"/>
      <c r="CT14" s="1341"/>
      <c r="CU14" s="1341"/>
      <c r="CV14" s="1341"/>
      <c r="CW14" s="1341"/>
      <c r="CX14" s="1341"/>
      <c r="CY14" s="1341"/>
      <c r="CZ14" s="1341"/>
      <c r="DA14" s="1341"/>
      <c r="DB14" s="1341"/>
      <c r="DC14" s="1341"/>
      <c r="DD14" s="1341"/>
      <c r="DE14" s="1341"/>
      <c r="DF14" s="1341"/>
      <c r="DG14" s="1341"/>
      <c r="DI14" s="783"/>
      <c r="DJ14" s="783" t="str">
        <f>IF(T14="","",T14)</f>
        <v>Добавить централизованную систему для дифференциации</v>
      </c>
      <c r="DK14" s="783"/>
      <c r="DL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162</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V15" s="1341"/>
      <c r="AW15" s="1341"/>
      <c r="AX15" s="1341"/>
      <c r="AY15" s="1341"/>
      <c r="AZ15" s="1341"/>
      <c r="BA15" s="1341"/>
      <c r="BB15" s="1341"/>
      <c r="BC15" s="1341"/>
      <c r="BD15" s="1341"/>
      <c r="BE15" s="1341"/>
      <c r="BF15" s="1341"/>
      <c r="BG15" s="1341"/>
      <c r="BH15" s="1341"/>
      <c r="BI15" s="1341"/>
      <c r="BJ15" s="1341"/>
      <c r="BK15" s="1341"/>
      <c r="BL15" s="1341"/>
      <c r="BM15" s="1341"/>
      <c r="BN15" s="1341"/>
      <c r="BO15" s="1341"/>
      <c r="BP15" s="1341"/>
      <c r="BQ15" s="1341"/>
      <c r="BR15" s="1341"/>
      <c r="BS15" s="1341"/>
      <c r="BT15" s="1341"/>
      <c r="BU15" s="1341"/>
      <c r="BV15" s="1341"/>
      <c r="BW15" s="1341"/>
      <c r="BX15" s="1341"/>
      <c r="BY15" s="1341"/>
      <c r="BZ15" s="1341"/>
      <c r="CA15" s="1341"/>
      <c r="CB15" s="1341"/>
      <c r="CC15" s="1341"/>
      <c r="CD15" s="1341"/>
      <c r="CE15" s="1341"/>
      <c r="CF15" s="1341"/>
      <c r="CG15" s="1341"/>
      <c r="CH15" s="1341"/>
      <c r="CI15" s="1341"/>
      <c r="CJ15" s="1341"/>
      <c r="CK15" s="1341"/>
      <c r="CL15" s="1341"/>
      <c r="CM15" s="1341"/>
      <c r="CN15" s="1341"/>
      <c r="CO15" s="1341"/>
      <c r="CP15" s="1341"/>
      <c r="CQ15" s="1341"/>
      <c r="CR15" s="1341"/>
      <c r="CS15" s="1341"/>
      <c r="CT15" s="1341"/>
      <c r="CU15" s="1341"/>
      <c r="CV15" s="1341"/>
      <c r="CW15" s="1341"/>
      <c r="CX15" s="1341"/>
      <c r="CY15" s="1341"/>
      <c r="CZ15" s="1341"/>
      <c r="DA15" s="1341"/>
      <c r="DB15" s="1341"/>
      <c r="DC15" s="1341"/>
      <c r="DD15" s="1341"/>
      <c r="DE15" s="1341"/>
      <c r="DF15" s="1341"/>
      <c r="DG15" s="1341"/>
      <c r="DI15" s="783"/>
      <c r="DJ15" s="783" t="str">
        <f>IF(T15="","",T15)</f>
        <v>Добавить территорию для дифференциации</v>
      </c>
      <c r="DK15" s="783"/>
      <c r="DL15" s="783"/>
    </row>
    <row customHeight="1" ht="14.25" hidden="1">
      <c r="AC16" s="315"/>
      <c r="AK16" s="315"/>
      <c r="AL16" s="1660"/>
      <c r="AM16" s="1660"/>
      <c r="AN16" s="1660"/>
      <c r="AO16" s="1660"/>
      <c r="AP16" s="1660"/>
      <c r="AQ16" s="1660"/>
      <c r="AR16" s="1660"/>
      <c r="AS16" s="1660"/>
      <c r="AT16" s="1660"/>
      <c r="AU16" s="1660"/>
      <c r="AV16" s="1660"/>
      <c r="AW16" s="1660"/>
      <c r="AX16" s="1660"/>
      <c r="AY16" s="1660"/>
      <c r="AZ16" s="1660"/>
      <c r="BA16" s="1660"/>
      <c r="BB16" s="1660"/>
      <c r="BC16" s="1660"/>
      <c r="BD16" s="1660"/>
      <c r="BE16" s="1660"/>
      <c r="BF16" s="1660"/>
      <c r="BG16" s="1660"/>
      <c r="BH16" s="1660"/>
      <c r="BI16" s="1660"/>
      <c r="BJ16" s="1660"/>
      <c r="BK16" s="1660"/>
      <c r="BL16" s="1660"/>
      <c r="BM16" s="1660"/>
      <c r="BN16" s="1660"/>
      <c r="BO16" s="1660"/>
      <c r="BP16" s="1660"/>
      <c r="BQ16" s="1660"/>
      <c r="BR16" s="1660"/>
      <c r="BS16" s="1660"/>
      <c r="BT16" s="1660"/>
      <c r="BU16" s="1660"/>
      <c r="BV16" s="1660"/>
      <c r="BW16" s="1660"/>
      <c r="BX16" s="1660"/>
      <c r="BY16" s="1660"/>
      <c r="BZ16" s="1660"/>
      <c r="CA16" s="1660"/>
      <c r="CB16" s="1660"/>
      <c r="CC16" s="1660"/>
      <c r="CD16" s="1660"/>
      <c r="CE16" s="1660"/>
      <c r="CF16" s="1660"/>
      <c r="CG16" s="1660"/>
      <c r="CH16" s="1660"/>
      <c r="CI16" s="1660"/>
      <c r="CJ16" s="1660"/>
      <c r="CK16" s="1660"/>
      <c r="CL16" s="1660"/>
      <c r="CM16" s="1660"/>
      <c r="CN16" s="1660"/>
      <c r="CO16" s="1660"/>
      <c r="CP16" s="1660"/>
      <c r="CQ16" s="1660"/>
      <c r="CR16" s="1660"/>
      <c r="CS16" s="1660"/>
      <c r="CT16" s="1660"/>
      <c r="CU16" s="1660"/>
      <c r="CV16" s="1660"/>
      <c r="CW16" s="1660"/>
      <c r="CX16" s="1660"/>
      <c r="CY16" s="1660"/>
      <c r="CZ16" s="1660"/>
      <c r="DA16" s="1660"/>
      <c r="DB16" s="1660"/>
      <c r="DC16" s="1660"/>
      <c r="DD16" s="1660"/>
      <c r="DE16" s="1660"/>
    </row>
    <row customHeight="1" ht="14.25" hidden="1">
      <c r="AD17" s="1377"/>
      <c r="AE17" s="1377"/>
      <c r="AF17" s="1377"/>
      <c r="AG17" s="1378"/>
      <c r="AH17" s="2087"/>
      <c r="AI17" s="2086" t="s">
        <v>61</v>
      </c>
      <c r="AJ17" s="2087"/>
      <c r="AK17" s="2086" t="s">
        <v>61</v>
      </c>
      <c r="AL17" s="1660"/>
      <c r="AM17" s="1660"/>
      <c r="AN17" s="1660"/>
      <c r="AO17" s="1660"/>
      <c r="AP17" s="1660"/>
      <c r="AQ17" s="1660"/>
      <c r="AR17" s="1660"/>
      <c r="AS17" s="1660"/>
      <c r="AT17" s="1660"/>
      <c r="AU17" s="1660"/>
      <c r="AV17" s="1660"/>
      <c r="AW17" s="1660"/>
      <c r="AX17" s="1660"/>
      <c r="AY17" s="1660"/>
      <c r="AZ17" s="1660"/>
      <c r="BA17" s="1660"/>
      <c r="BB17" s="1660"/>
      <c r="BC17" s="1660"/>
      <c r="BD17" s="1660"/>
      <c r="BE17" s="1660"/>
      <c r="BF17" s="1660"/>
      <c r="BG17" s="1660"/>
      <c r="BH17" s="1660"/>
      <c r="BI17" s="1660"/>
      <c r="BJ17" s="1660"/>
      <c r="BK17" s="1660"/>
      <c r="BL17" s="1660"/>
      <c r="BM17" s="1660"/>
      <c r="BN17" s="1660"/>
      <c r="BO17" s="1660"/>
      <c r="BP17" s="1660"/>
      <c r="BQ17" s="1660"/>
      <c r="BR17" s="1660"/>
      <c r="BS17" s="1660"/>
      <c r="BT17" s="1660"/>
      <c r="BU17" s="1660"/>
      <c r="BV17" s="1660"/>
      <c r="BW17" s="1660"/>
      <c r="BX17" s="1660"/>
      <c r="BY17" s="1660"/>
      <c r="BZ17" s="1660"/>
      <c r="CA17" s="1660"/>
      <c r="CB17" s="1660"/>
      <c r="CC17" s="1660"/>
      <c r="CD17" s="1660"/>
      <c r="CE17" s="1660"/>
      <c r="CF17" s="1660"/>
      <c r="CG17" s="1660"/>
      <c r="CH17" s="1660"/>
      <c r="CI17" s="1660"/>
      <c r="CJ17" s="1660"/>
      <c r="CK17" s="1660"/>
      <c r="CL17" s="1660"/>
      <c r="CM17" s="1660"/>
      <c r="CN17" s="1660"/>
      <c r="CO17" s="1660"/>
      <c r="CP17" s="1660"/>
      <c r="CQ17" s="1660"/>
      <c r="CR17" s="1660"/>
      <c r="CS17" s="1660"/>
      <c r="CT17" s="1660"/>
      <c r="CU17" s="1660"/>
      <c r="CV17" s="1660"/>
      <c r="CW17" s="1660"/>
      <c r="CX17" s="1660"/>
      <c r="CY17" s="1660"/>
      <c r="CZ17" s="1660"/>
      <c r="DA17" s="1660"/>
      <c r="DB17" s="1660"/>
      <c r="DC17" s="1660"/>
      <c r="DD17" s="1660"/>
      <c r="DE17" s="1660"/>
    </row>
    <row customHeight="1" ht="14.25" hidden="1">
      <c r="AD18" s="1377"/>
      <c r="AE18" s="1377"/>
      <c r="AF18" s="1377"/>
      <c r="AG18" s="316" t="str">
        <f>AH17&amp;"-"&amp;AJ17</f>
        <v>-</v>
      </c>
      <c r="AH18" s="2086"/>
      <c r="AI18" s="2086"/>
      <c r="AJ18" s="2086"/>
      <c r="AK18" s="2086"/>
      <c r="AL18" s="1660"/>
      <c r="AM18" s="1660"/>
      <c r="AN18" s="1660"/>
      <c r="AO18" s="1660"/>
      <c r="AP18" s="1660"/>
      <c r="AQ18" s="1660"/>
      <c r="AR18" s="1660"/>
      <c r="AS18" s="1660"/>
      <c r="AT18" s="1660"/>
      <c r="AU18" s="1660"/>
      <c r="AV18" s="1660"/>
      <c r="AW18" s="1660"/>
      <c r="AX18" s="1660"/>
      <c r="AY18" s="1660"/>
      <c r="AZ18" s="1660"/>
      <c r="BA18" s="1660"/>
      <c r="BB18" s="1660"/>
      <c r="BC18" s="1660"/>
      <c r="BD18" s="1660"/>
      <c r="BE18" s="1660"/>
      <c r="BF18" s="1660"/>
      <c r="BG18" s="1660"/>
      <c r="BH18" s="1660"/>
      <c r="BI18" s="1660"/>
      <c r="BJ18" s="1660"/>
      <c r="BK18" s="1660"/>
      <c r="BL18" s="1660"/>
      <c r="BM18" s="1660"/>
      <c r="BN18" s="1660"/>
      <c r="BO18" s="1660"/>
      <c r="BP18" s="1660"/>
      <c r="BQ18" s="1660"/>
      <c r="BR18" s="1660"/>
      <c r="BS18" s="1660"/>
      <c r="BT18" s="1660"/>
      <c r="BU18" s="1660"/>
      <c r="BV18" s="1660"/>
      <c r="BW18" s="1660"/>
      <c r="BX18" s="1660"/>
      <c r="BY18" s="1660"/>
      <c r="BZ18" s="1660"/>
      <c r="CA18" s="1660"/>
      <c r="CB18" s="1660"/>
      <c r="CC18" s="1660"/>
      <c r="CD18" s="1660"/>
      <c r="CE18" s="1660"/>
      <c r="CF18" s="1660"/>
      <c r="CG18" s="1660"/>
      <c r="CH18" s="1660"/>
      <c r="CI18" s="1660"/>
      <c r="CJ18" s="1660"/>
      <c r="CK18" s="1660"/>
      <c r="CL18" s="1660"/>
      <c r="CM18" s="1660"/>
      <c r="CN18" s="1660"/>
      <c r="CO18" s="1660"/>
      <c r="CP18" s="1660"/>
      <c r="CQ18" s="1660"/>
      <c r="CR18" s="1660"/>
      <c r="CS18" s="1660"/>
      <c r="CT18" s="1660"/>
      <c r="CU18" s="1660"/>
      <c r="CV18" s="1660"/>
      <c r="CW18" s="1660"/>
      <c r="CX18" s="1660"/>
      <c r="CY18" s="1660"/>
      <c r="CZ18" s="1660"/>
      <c r="DA18" s="1660"/>
      <c r="DB18" s="1660"/>
      <c r="DC18" s="1660"/>
      <c r="DD18" s="1660"/>
      <c r="DE18" s="1660"/>
    </row>
    <row customHeight="1" ht="14.25" hidden="1">
      <c r="AK19" s="315"/>
      <c r="AL19" s="1660"/>
      <c r="AM19" s="1660"/>
      <c r="AN19" s="1660"/>
      <c r="AO19" s="1660"/>
      <c r="AP19" s="1660"/>
      <c r="AQ19" s="1660"/>
      <c r="AR19" s="1660"/>
      <c r="AS19" s="1660"/>
      <c r="AT19" s="1660"/>
      <c r="AU19" s="1660"/>
      <c r="AV19" s="1660"/>
      <c r="AW19" s="1660"/>
      <c r="AX19" s="1660"/>
      <c r="AY19" s="1660"/>
      <c r="AZ19" s="1660"/>
      <c r="BA19" s="1660"/>
      <c r="BB19" s="1660"/>
      <c r="BC19" s="1660"/>
      <c r="BD19" s="1660"/>
      <c r="BE19" s="1660"/>
      <c r="BF19" s="1660"/>
      <c r="BG19" s="1660"/>
      <c r="BH19" s="1660"/>
      <c r="BI19" s="1660"/>
      <c r="BJ19" s="1660"/>
      <c r="BK19" s="1660"/>
      <c r="BL19" s="1660"/>
      <c r="BM19" s="1660"/>
      <c r="BN19" s="1660"/>
      <c r="BO19" s="1660"/>
      <c r="BP19" s="1660"/>
      <c r="BQ19" s="1660"/>
      <c r="BR19" s="1660"/>
      <c r="BS19" s="1660"/>
      <c r="BT19" s="1660"/>
      <c r="BU19" s="1660"/>
      <c r="BV19" s="1660"/>
      <c r="BW19" s="1660"/>
      <c r="BX19" s="1660"/>
      <c r="BY19" s="1660"/>
      <c r="BZ19" s="1660"/>
      <c r="CA19" s="1660"/>
      <c r="CB19" s="1660"/>
      <c r="CC19" s="1660"/>
      <c r="CD19" s="1660"/>
      <c r="CE19" s="1660"/>
      <c r="CF19" s="1660"/>
      <c r="CG19" s="1660"/>
      <c r="CH19" s="1660"/>
      <c r="CI19" s="1660"/>
      <c r="CJ19" s="1660"/>
      <c r="CK19" s="1660"/>
      <c r="CL19" s="1660"/>
      <c r="CM19" s="1660"/>
      <c r="CN19" s="1660"/>
      <c r="CO19" s="1660"/>
      <c r="CP19" s="1660"/>
      <c r="CQ19" s="1660"/>
      <c r="CR19" s="1660"/>
      <c r="CS19" s="1660"/>
      <c r="CT19" s="1660"/>
      <c r="CU19" s="1660"/>
      <c r="CV19" s="1660"/>
      <c r="CW19" s="1660"/>
      <c r="CX19" s="1660"/>
      <c r="CY19" s="1660"/>
      <c r="CZ19" s="1660"/>
      <c r="DA19" s="1660"/>
      <c r="DB19" s="1660"/>
      <c r="DC19" s="1660"/>
      <c r="DD19" s="1660"/>
      <c r="DE19" s="1660"/>
    </row>
    <row s="1383" customFormat="1" customHeight="1" ht="22.5" hidden="1">
      <c r="L20" s="1346"/>
      <c r="M20" s="1379"/>
      <c r="N20" s="1379"/>
      <c r="O20" s="1384" t="s">
        <v>428</v>
      </c>
      <c r="P20" s="1379"/>
      <c r="Q20" s="1388"/>
      <c r="R20" s="1388"/>
      <c r="S20" s="724"/>
      <c r="Z20" s="1384"/>
      <c r="AB20" s="1384"/>
      <c r="AC20" s="1383"/>
      <c r="AH20" s="1384"/>
      <c r="AJ20" s="1384"/>
      <c r="AK20" s="1383"/>
      <c r="AL20" s="1383"/>
      <c r="AM20" s="1383"/>
      <c r="AN20" s="1383"/>
      <c r="AO20" s="1383"/>
      <c r="AP20" s="1384"/>
      <c r="AQ20" s="1383"/>
      <c r="AR20" s="1384"/>
      <c r="AS20" s="1383"/>
      <c r="AT20" s="1383"/>
      <c r="AU20" s="1383"/>
      <c r="AV20" s="1383"/>
      <c r="AW20" s="1383"/>
      <c r="AX20" s="1384"/>
      <c r="AY20" s="1383"/>
      <c r="AZ20" s="1384"/>
      <c r="BA20" s="1383"/>
      <c r="BB20" s="1383"/>
      <c r="BC20" s="1383"/>
      <c r="BD20" s="1383"/>
      <c r="BE20" s="1383"/>
      <c r="BF20" s="1384"/>
      <c r="BG20" s="1383"/>
      <c r="BH20" s="1384"/>
      <c r="BI20" s="1383"/>
      <c r="BJ20" s="1383"/>
      <c r="BK20" s="1383"/>
      <c r="BL20" s="1383"/>
      <c r="BM20" s="1383"/>
      <c r="BN20" s="1384"/>
      <c r="BO20" s="1383"/>
      <c r="BP20" s="1384"/>
      <c r="BQ20" s="1383"/>
      <c r="BR20" s="1383"/>
      <c r="BS20" s="1383"/>
      <c r="BT20" s="1383"/>
      <c r="BU20" s="1383"/>
      <c r="BV20" s="1384"/>
      <c r="BW20" s="1383"/>
      <c r="BX20" s="1384"/>
      <c r="BY20" s="1383"/>
      <c r="BZ20" s="1383"/>
      <c r="CA20" s="1383"/>
      <c r="CB20" s="1383"/>
      <c r="CC20" s="1383"/>
      <c r="CD20" s="1384"/>
      <c r="CE20" s="1383"/>
      <c r="CF20" s="1384"/>
      <c r="CG20" s="1383"/>
      <c r="CH20" s="1383"/>
      <c r="CI20" s="1383"/>
      <c r="CJ20" s="1383"/>
      <c r="CK20" s="1383"/>
      <c r="CL20" s="1384"/>
      <c r="CM20" s="1383"/>
      <c r="CN20" s="1384"/>
      <c r="CO20" s="1383"/>
      <c r="CP20" s="1383"/>
      <c r="CQ20" s="1383"/>
      <c r="CR20" s="1383"/>
      <c r="CS20" s="1383"/>
      <c r="CT20" s="1384"/>
      <c r="CU20" s="1383"/>
      <c r="CV20" s="1384"/>
      <c r="CW20" s="1383"/>
      <c r="CX20" s="1383"/>
      <c r="CY20" s="1383"/>
      <c r="CZ20" s="1383"/>
      <c r="DA20" s="1383"/>
      <c r="DB20" s="1384"/>
      <c r="DC20" s="1383"/>
      <c r="DD20" s="1384"/>
      <c r="DE20" s="1383"/>
      <c r="DH20" s="507"/>
      <c r="DI20" s="507"/>
      <c r="DJ20" s="507"/>
      <c r="DK20" s="507"/>
      <c r="DL20" s="507"/>
    </row>
    <row s="1383" customFormat="1" customHeight="1" ht="14.25" hidden="1">
      <c r="L21" s="1346"/>
      <c r="M21" s="1379"/>
      <c r="N21" s="1379"/>
      <c r="O21" s="1379"/>
      <c r="P21" s="1379"/>
      <c r="Q21" s="1388"/>
      <c r="R21" s="1388"/>
      <c r="S21" s="724"/>
      <c r="AC21" s="1383"/>
      <c r="AK21" s="1383"/>
      <c r="AL21" s="1383"/>
      <c r="AM21" s="1383"/>
      <c r="AN21" s="1383"/>
      <c r="AO21" s="1383"/>
      <c r="AP21" s="1383"/>
      <c r="AQ21" s="1383"/>
      <c r="AR21" s="1383"/>
      <c r="AS21" s="1383"/>
      <c r="AT21" s="1383"/>
      <c r="AU21" s="1383"/>
      <c r="AV21" s="1383"/>
      <c r="AW21" s="1383"/>
      <c r="AX21" s="1383"/>
      <c r="AY21" s="1383"/>
      <c r="AZ21" s="1383"/>
      <c r="BA21" s="1383"/>
      <c r="BB21" s="1383"/>
      <c r="BC21" s="1383"/>
      <c r="BD21" s="1383"/>
      <c r="BE21" s="1383"/>
      <c r="BF21" s="1383"/>
      <c r="BG21" s="1383"/>
      <c r="BH21" s="1383"/>
      <c r="BI21" s="1383"/>
      <c r="BJ21" s="1383"/>
      <c r="BK21" s="1383"/>
      <c r="BL21" s="1383"/>
      <c r="BM21" s="1383"/>
      <c r="BN21" s="1383"/>
      <c r="BO21" s="1383"/>
      <c r="BP21" s="1383"/>
      <c r="BQ21" s="1383"/>
      <c r="BR21" s="1383"/>
      <c r="BS21" s="1383"/>
      <c r="BT21" s="1383"/>
      <c r="BU21" s="1383"/>
      <c r="BV21" s="1383"/>
      <c r="BW21" s="1383"/>
      <c r="BX21" s="1383"/>
      <c r="BY21" s="1383"/>
      <c r="BZ21" s="1383"/>
      <c r="CA21" s="1383"/>
      <c r="CB21" s="1383"/>
      <c r="CC21" s="1383"/>
      <c r="CD21" s="1383"/>
      <c r="CE21" s="1383"/>
      <c r="CF21" s="1383"/>
      <c r="CG21" s="1383"/>
      <c r="CH21" s="1383"/>
      <c r="CI21" s="1383"/>
      <c r="CJ21" s="1383"/>
      <c r="CK21" s="1383"/>
      <c r="CL21" s="1383"/>
      <c r="CM21" s="1383"/>
      <c r="CN21" s="1383"/>
      <c r="CO21" s="1383"/>
      <c r="CP21" s="1383"/>
      <c r="CQ21" s="1383"/>
      <c r="CR21" s="1383"/>
      <c r="CS21" s="1383"/>
      <c r="CT21" s="1383"/>
      <c r="CU21" s="1383"/>
      <c r="CV21" s="1383"/>
      <c r="CW21" s="1383"/>
      <c r="CX21" s="1383"/>
      <c r="CY21" s="1383"/>
      <c r="CZ21" s="1383"/>
      <c r="DA21" s="1383"/>
      <c r="DB21" s="1383"/>
      <c r="DC21" s="1383"/>
      <c r="DD21" s="1383"/>
      <c r="DE21" s="1383"/>
      <c r="DH21" s="507"/>
      <c r="DI21" s="507"/>
      <c r="DJ21" s="507"/>
      <c r="DK21" s="507"/>
      <c r="DL21" s="507"/>
    </row>
    <row s="1383" customFormat="1" customHeight="1" ht="33.75" hidden="1">
      <c r="L22" s="1346"/>
      <c r="M22" s="1379"/>
      <c r="N22" s="1379"/>
      <c r="O22" s="1381" t="s">
        <v>429</v>
      </c>
      <c r="P22" s="1379"/>
      <c r="Q22" s="1388"/>
      <c r="R22" s="1388"/>
      <c r="S22" s="724"/>
      <c r="T22" s="1155" t="s">
        <v>430</v>
      </c>
      <c r="AA22" s="166" t="s">
        <v>431</v>
      </c>
      <c r="AC22" s="166" t="s">
        <v>432</v>
      </c>
      <c r="AD22" s="1155" t="s">
        <v>430</v>
      </c>
      <c r="AI22" s="166" t="s">
        <v>433</v>
      </c>
      <c r="AK22" s="166" t="s">
        <v>432</v>
      </c>
      <c r="AL22" s="1383"/>
      <c r="AM22" s="1383"/>
      <c r="AN22" s="1383"/>
      <c r="AO22" s="1383"/>
      <c r="AP22" s="1383"/>
      <c r="AQ22" s="1387" t="s">
        <v>431</v>
      </c>
      <c r="AR22" s="1383"/>
      <c r="AS22" s="1387" t="s">
        <v>432</v>
      </c>
      <c r="AT22" s="1383"/>
      <c r="AU22" s="1383"/>
      <c r="AV22" s="1383"/>
      <c r="AW22" s="1383"/>
      <c r="AX22" s="1383"/>
      <c r="AY22" s="1387" t="s">
        <v>431</v>
      </c>
      <c r="AZ22" s="1383"/>
      <c r="BA22" s="1387" t="s">
        <v>432</v>
      </c>
      <c r="BB22" s="1383"/>
      <c r="BC22" s="1383"/>
      <c r="BD22" s="1383"/>
      <c r="BE22" s="1383"/>
      <c r="BF22" s="1383"/>
      <c r="BG22" s="1387" t="s">
        <v>431</v>
      </c>
      <c r="BH22" s="1383"/>
      <c r="BI22" s="1387" t="s">
        <v>432</v>
      </c>
      <c r="BJ22" s="1383"/>
      <c r="BK22" s="1383"/>
      <c r="BL22" s="1383"/>
      <c r="BM22" s="1383"/>
      <c r="BN22" s="1383"/>
      <c r="BO22" s="1387" t="s">
        <v>431</v>
      </c>
      <c r="BP22" s="1383"/>
      <c r="BQ22" s="1387" t="s">
        <v>432</v>
      </c>
      <c r="BR22" s="1383"/>
      <c r="BS22" s="1383"/>
      <c r="BT22" s="1383"/>
      <c r="BU22" s="1383"/>
      <c r="BV22" s="1383"/>
      <c r="BW22" s="1387" t="s">
        <v>431</v>
      </c>
      <c r="BX22" s="1383"/>
      <c r="BY22" s="1387" t="s">
        <v>432</v>
      </c>
      <c r="BZ22" s="1383"/>
      <c r="CA22" s="1383"/>
      <c r="CB22" s="1383"/>
      <c r="CC22" s="1383"/>
      <c r="CD22" s="1383"/>
      <c r="CE22" s="1387" t="s">
        <v>431</v>
      </c>
      <c r="CF22" s="1383"/>
      <c r="CG22" s="1387" t="s">
        <v>432</v>
      </c>
      <c r="CH22" s="1383"/>
      <c r="CI22" s="1383"/>
      <c r="CJ22" s="1383"/>
      <c r="CK22" s="1383"/>
      <c r="CL22" s="1383"/>
      <c r="CM22" s="1387" t="s">
        <v>431</v>
      </c>
      <c r="CN22" s="1383"/>
      <c r="CO22" s="1387" t="s">
        <v>432</v>
      </c>
      <c r="CP22" s="1383"/>
      <c r="CQ22" s="1383"/>
      <c r="CR22" s="1383"/>
      <c r="CS22" s="1383"/>
      <c r="CT22" s="1383"/>
      <c r="CU22" s="1387" t="s">
        <v>431</v>
      </c>
      <c r="CV22" s="1383"/>
      <c r="CW22" s="1387" t="s">
        <v>432</v>
      </c>
      <c r="CX22" s="1383"/>
      <c r="CY22" s="1383"/>
      <c r="CZ22" s="1383"/>
      <c r="DA22" s="1383"/>
      <c r="DB22" s="1383"/>
      <c r="DC22" s="1387" t="s">
        <v>431</v>
      </c>
      <c r="DD22" s="1383"/>
      <c r="DE22" s="1387" t="s">
        <v>432</v>
      </c>
      <c r="DH22" s="507"/>
      <c r="DI22" s="507"/>
      <c r="DJ22" s="507"/>
      <c r="DK22" s="507"/>
      <c r="DL22" s="507"/>
    </row>
    <row customHeight="1" ht="14.25" hidden="1">
      <c r="O23" s="1381"/>
      <c r="AL23" s="1660"/>
      <c r="AM23" s="1660"/>
      <c r="AN23" s="1660"/>
      <c r="AO23" s="1660"/>
      <c r="AP23" s="1660"/>
      <c r="AQ23" s="1660"/>
      <c r="AR23" s="1660"/>
      <c r="AS23" s="1660"/>
      <c r="AT23" s="1660"/>
      <c r="AU23" s="1660"/>
      <c r="AV23" s="1660"/>
      <c r="AW23" s="1660"/>
      <c r="AX23" s="1660"/>
      <c r="AY23" s="1660"/>
      <c r="AZ23" s="1660"/>
      <c r="BA23" s="1660"/>
      <c r="BB23" s="1660"/>
      <c r="BC23" s="1660"/>
      <c r="BD23" s="1660"/>
      <c r="BE23" s="1660"/>
      <c r="BF23" s="1660"/>
      <c r="BG23" s="1660"/>
      <c r="BH23" s="1660"/>
      <c r="BI23" s="1660"/>
      <c r="BJ23" s="1660"/>
      <c r="BK23" s="1660"/>
      <c r="BL23" s="1660"/>
      <c r="BM23" s="1660"/>
      <c r="BN23" s="1660"/>
      <c r="BO23" s="1660"/>
      <c r="BP23" s="1660"/>
      <c r="BQ23" s="1660"/>
      <c r="BR23" s="1660"/>
      <c r="BS23" s="1660"/>
      <c r="BT23" s="1660"/>
      <c r="BU23" s="1660"/>
      <c r="BV23" s="1660"/>
      <c r="BW23" s="1660"/>
      <c r="BX23" s="1660"/>
      <c r="BY23" s="1660"/>
      <c r="BZ23" s="1660"/>
      <c r="CA23" s="1660"/>
      <c r="CB23" s="1660"/>
      <c r="CC23" s="1660"/>
      <c r="CD23" s="1660"/>
      <c r="CE23" s="1660"/>
      <c r="CF23" s="1660"/>
      <c r="CG23" s="1660"/>
      <c r="CH23" s="1660"/>
      <c r="CI23" s="1660"/>
      <c r="CJ23" s="1660"/>
      <c r="CK23" s="1660"/>
      <c r="CL23" s="1660"/>
      <c r="CM23" s="1660"/>
      <c r="CN23" s="1660"/>
      <c r="CO23" s="1660"/>
      <c r="CP23" s="1660"/>
      <c r="CQ23" s="1660"/>
      <c r="CR23" s="1660"/>
      <c r="CS23" s="1660"/>
      <c r="CT23" s="1660"/>
      <c r="CU23" s="1660"/>
      <c r="CV23" s="1660"/>
      <c r="CW23" s="1660"/>
      <c r="CX23" s="1660"/>
      <c r="CY23" s="1660"/>
      <c r="CZ23" s="1660"/>
      <c r="DA23" s="1660"/>
      <c r="DB23" s="1660"/>
      <c r="DC23" s="1660"/>
      <c r="DD23" s="1660"/>
      <c r="DE23" s="1660"/>
    </row>
    <row customHeight="1" ht="14.25" hidden="1">
      <c r="O24" s="1381"/>
      <c r="AL24" s="1660"/>
      <c r="AM24" s="1660"/>
      <c r="AN24" s="1660"/>
      <c r="AO24" s="1660"/>
      <c r="AP24" s="1660"/>
      <c r="AQ24" s="1660"/>
      <c r="AR24" s="1660"/>
      <c r="AS24" s="1660"/>
      <c r="AT24" s="1660"/>
      <c r="AU24" s="1660"/>
      <c r="AV24" s="1660"/>
      <c r="AW24" s="1660"/>
      <c r="AX24" s="1660"/>
      <c r="AY24" s="1660"/>
      <c r="AZ24" s="1660"/>
      <c r="BA24" s="1660"/>
      <c r="BB24" s="1660"/>
      <c r="BC24" s="1660"/>
      <c r="BD24" s="1660"/>
      <c r="BE24" s="1660"/>
      <c r="BF24" s="1660"/>
      <c r="BG24" s="1660"/>
      <c r="BH24" s="1660"/>
      <c r="BI24" s="1660"/>
      <c r="BJ24" s="1660"/>
      <c r="BK24" s="1660"/>
      <c r="BL24" s="1660"/>
      <c r="BM24" s="1660"/>
      <c r="BN24" s="1660"/>
      <c r="BO24" s="1660"/>
      <c r="BP24" s="1660"/>
      <c r="BQ24" s="1660"/>
      <c r="BR24" s="1660"/>
      <c r="BS24" s="1660"/>
      <c r="BT24" s="1660"/>
      <c r="BU24" s="1660"/>
      <c r="BV24" s="1660"/>
      <c r="BW24" s="1660"/>
      <c r="BX24" s="1660"/>
      <c r="BY24" s="1660"/>
      <c r="BZ24" s="1660"/>
      <c r="CA24" s="1660"/>
      <c r="CB24" s="1660"/>
      <c r="CC24" s="1660"/>
      <c r="CD24" s="1660"/>
      <c r="CE24" s="1660"/>
      <c r="CF24" s="1660"/>
      <c r="CG24" s="1660"/>
      <c r="CH24" s="1660"/>
      <c r="CI24" s="1660"/>
      <c r="CJ24" s="1660"/>
      <c r="CK24" s="1660"/>
      <c r="CL24" s="1660"/>
      <c r="CM24" s="1660"/>
      <c r="CN24" s="1660"/>
      <c r="CO24" s="1660"/>
      <c r="CP24" s="1660"/>
      <c r="CQ24" s="1660"/>
      <c r="CR24" s="1660"/>
      <c r="CS24" s="1660"/>
      <c r="CT24" s="1660"/>
      <c r="CU24" s="1660"/>
      <c r="CV24" s="1660"/>
      <c r="CW24" s="1660"/>
      <c r="CX24" s="1660"/>
      <c r="CY24" s="1660"/>
      <c r="CZ24" s="1660"/>
      <c r="DA24" s="1660"/>
      <c r="DB24" s="1660"/>
      <c r="DC24" s="1660"/>
      <c r="DD24" s="1660"/>
      <c r="DE24" s="1660"/>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c r="AL25" s="1660"/>
      <c r="AM25" s="1660"/>
      <c r="AN25" s="1660"/>
      <c r="AO25" s="1660"/>
      <c r="AP25" s="1660"/>
      <c r="AQ25" s="1660"/>
      <c r="AR25" s="1660"/>
      <c r="AS25" s="1660"/>
      <c r="AT25" s="1660"/>
      <c r="AU25" s="1660"/>
      <c r="AV25" s="1660"/>
      <c r="AW25" s="1660"/>
      <c r="AX25" s="1660"/>
      <c r="AY25" s="1660"/>
      <c r="AZ25" s="1660"/>
      <c r="BA25" s="1660"/>
      <c r="BB25" s="1660"/>
      <c r="BC25" s="1660"/>
      <c r="BD25" s="1660"/>
      <c r="BE25" s="1660"/>
      <c r="BF25" s="1660"/>
      <c r="BG25" s="1660"/>
      <c r="BH25" s="1660"/>
      <c r="BI25" s="1660"/>
      <c r="BJ25" s="1660"/>
      <c r="BK25" s="1660"/>
      <c r="BL25" s="1660"/>
      <c r="BM25" s="1660"/>
      <c r="BN25" s="1660"/>
      <c r="BO25" s="1660"/>
      <c r="BP25" s="1660"/>
      <c r="BQ25" s="1660"/>
      <c r="BR25" s="1660"/>
      <c r="BS25" s="1660"/>
      <c r="BT25" s="1660"/>
      <c r="BU25" s="1660"/>
      <c r="BV25" s="1660"/>
      <c r="BW25" s="1660"/>
      <c r="BX25" s="1660"/>
      <c r="BY25" s="1660"/>
      <c r="BZ25" s="1660"/>
      <c r="CA25" s="1660"/>
      <c r="CB25" s="1660"/>
      <c r="CC25" s="1660"/>
      <c r="CD25" s="1660"/>
      <c r="CE25" s="1660"/>
      <c r="CF25" s="1660"/>
      <c r="CG25" s="1660"/>
      <c r="CH25" s="1660"/>
      <c r="CI25" s="1660"/>
      <c r="CJ25" s="1660"/>
      <c r="CK25" s="1660"/>
      <c r="CL25" s="1660"/>
      <c r="CM25" s="1660"/>
      <c r="CN25" s="1660"/>
      <c r="CO25" s="1660"/>
      <c r="CP25" s="1660"/>
      <c r="CQ25" s="1660"/>
      <c r="CR25" s="1660"/>
      <c r="CS25" s="1660"/>
      <c r="CT25" s="1660"/>
      <c r="CU25" s="1660"/>
      <c r="CV25" s="1660"/>
      <c r="CW25" s="1660"/>
      <c r="CX25" s="1660"/>
      <c r="CY25" s="1660"/>
      <c r="CZ25" s="1660"/>
      <c r="DA25" s="1660"/>
      <c r="DB25" s="1660"/>
      <c r="DC25" s="1660"/>
      <c r="DD25" s="1660"/>
      <c r="DE25" s="1660"/>
    </row>
    <row customHeight="1" ht="27.75">
      <c r="Q26" s="368"/>
      <c r="R26" s="368"/>
      <c r="S26" s="2122"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22"/>
      <c r="U26" s="2122"/>
      <c r="V26" s="2122"/>
      <c r="W26" s="2122"/>
      <c r="X26" s="2122"/>
      <c r="Y26" s="2122"/>
      <c r="Z26" s="2122"/>
      <c r="AA26" s="2122"/>
      <c r="AB26" s="2122"/>
      <c r="AC26" s="2122"/>
      <c r="AD26" s="2122"/>
      <c r="AE26" s="2122"/>
      <c r="AF26" s="2122"/>
      <c r="AG26" s="2122"/>
      <c r="AH26" s="2122"/>
      <c r="AI26" s="2122"/>
      <c r="AJ26" s="2122"/>
      <c r="AK26" s="1248"/>
      <c r="AL26" s="2122"/>
      <c r="AM26" s="2122"/>
      <c r="AN26" s="2122"/>
      <c r="AO26" s="2122"/>
      <c r="AP26" s="2122"/>
      <c r="AQ26" s="2122"/>
      <c r="AR26" s="2122"/>
      <c r="AS26" s="2122"/>
      <c r="AT26" s="2122"/>
      <c r="AU26" s="2122"/>
      <c r="AV26" s="2122"/>
      <c r="AW26" s="2122"/>
      <c r="AX26" s="2122"/>
      <c r="AY26" s="2122"/>
      <c r="AZ26" s="2122"/>
      <c r="BA26" s="2122"/>
      <c r="BB26" s="2122"/>
      <c r="BC26" s="2122"/>
      <c r="BD26" s="2122"/>
      <c r="BE26" s="2122"/>
      <c r="BF26" s="2122"/>
      <c r="BG26" s="2122"/>
      <c r="BH26" s="2122"/>
      <c r="BI26" s="2122"/>
      <c r="BJ26" s="2122"/>
      <c r="BK26" s="2122"/>
      <c r="BL26" s="2122"/>
      <c r="BM26" s="2122"/>
      <c r="BN26" s="2122"/>
      <c r="BO26" s="2122"/>
      <c r="BP26" s="2122"/>
      <c r="BQ26" s="2122"/>
      <c r="BR26" s="2122"/>
      <c r="BS26" s="2122"/>
      <c r="BT26" s="2122"/>
      <c r="BU26" s="2122"/>
      <c r="BV26" s="2122"/>
      <c r="BW26" s="2122"/>
      <c r="BX26" s="2122"/>
      <c r="BY26" s="2122"/>
      <c r="BZ26" s="2122"/>
      <c r="CA26" s="2122"/>
      <c r="CB26" s="2122"/>
      <c r="CC26" s="2122"/>
      <c r="CD26" s="2122"/>
      <c r="CE26" s="2122"/>
      <c r="CF26" s="2122"/>
      <c r="CG26" s="2122"/>
      <c r="CH26" s="2122"/>
      <c r="CI26" s="2122"/>
      <c r="CJ26" s="2122"/>
      <c r="CK26" s="2122"/>
      <c r="CL26" s="2122"/>
      <c r="CM26" s="2122"/>
      <c r="CN26" s="2122"/>
      <c r="CO26" s="2122"/>
      <c r="CP26" s="2122"/>
      <c r="CQ26" s="2122"/>
      <c r="CR26" s="2122"/>
      <c r="CS26" s="2122"/>
      <c r="CT26" s="2122"/>
      <c r="CU26" s="2122"/>
      <c r="CV26" s="2122"/>
      <c r="CW26" s="2122"/>
      <c r="CX26" s="2122"/>
      <c r="CY26" s="2122"/>
      <c r="CZ26" s="2122"/>
      <c r="DA26" s="2122"/>
      <c r="DB26" s="2122"/>
      <c r="DC26" s="2122"/>
      <c r="DD26" s="2122"/>
      <c r="DE26" s="2122"/>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c r="AL27" s="2123"/>
      <c r="AM27" s="2123"/>
      <c r="AN27" s="2123"/>
      <c r="AO27" s="2123"/>
      <c r="AP27" s="2123"/>
      <c r="AQ27" s="2123"/>
      <c r="AR27" s="2123"/>
      <c r="AS27" s="2123"/>
      <c r="AT27" s="2123"/>
      <c r="AU27" s="2123"/>
      <c r="AV27" s="2123"/>
      <c r="AW27" s="2123"/>
      <c r="AX27" s="2123"/>
      <c r="AY27" s="2123"/>
      <c r="AZ27" s="2123"/>
      <c r="BA27" s="2123"/>
      <c r="BB27" s="2123"/>
      <c r="BC27" s="2123"/>
      <c r="BD27" s="2123"/>
      <c r="BE27" s="2123"/>
      <c r="BF27" s="2123"/>
      <c r="BG27" s="2123"/>
      <c r="BH27" s="2123"/>
      <c r="BI27" s="2123"/>
      <c r="BJ27" s="2123"/>
      <c r="BK27" s="2123"/>
      <c r="BL27" s="2123"/>
      <c r="BM27" s="2123"/>
      <c r="BN27" s="2123"/>
      <c r="BO27" s="2123"/>
      <c r="BP27" s="2123"/>
      <c r="BQ27" s="2123"/>
      <c r="BR27" s="2123"/>
      <c r="BS27" s="2123"/>
      <c r="BT27" s="2123"/>
      <c r="BU27" s="2123"/>
      <c r="BV27" s="2123"/>
      <c r="BW27" s="2123"/>
      <c r="BX27" s="2123"/>
      <c r="BY27" s="2123"/>
      <c r="BZ27" s="2123"/>
      <c r="CA27" s="2123"/>
      <c r="CB27" s="2123"/>
      <c r="CC27" s="2123"/>
      <c r="CD27" s="2123"/>
      <c r="CE27" s="2123"/>
      <c r="CF27" s="2123"/>
      <c r="CG27" s="2123"/>
      <c r="CH27" s="2123"/>
      <c r="CI27" s="2123"/>
      <c r="CJ27" s="2123"/>
      <c r="CK27" s="2123"/>
      <c r="CL27" s="2123"/>
      <c r="CM27" s="2123"/>
      <c r="CN27" s="2123"/>
      <c r="CO27" s="2123"/>
      <c r="CP27" s="2123"/>
      <c r="CQ27" s="2123"/>
      <c r="CR27" s="2123"/>
      <c r="CS27" s="2123"/>
      <c r="CT27" s="2123"/>
      <c r="CU27" s="2123"/>
      <c r="CV27" s="2123"/>
      <c r="CW27" s="2123"/>
      <c r="CX27" s="2123"/>
      <c r="CY27" s="2123"/>
      <c r="CZ27" s="2123"/>
      <c r="DA27" s="2123"/>
      <c r="DB27" s="2123"/>
      <c r="DC27" s="2123"/>
      <c r="DD27" s="2123"/>
      <c r="DE27" s="2123"/>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308"/>
      <c r="AU28" s="308"/>
      <c r="AV28" s="308"/>
      <c r="AW28" s="308"/>
      <c r="AX28" s="308"/>
      <c r="AY28" s="308"/>
      <c r="AZ28" s="308"/>
      <c r="BA28" s="308"/>
      <c r="BB28" s="308"/>
      <c r="BC28" s="308"/>
      <c r="BD28" s="308"/>
      <c r="BE28" s="308"/>
      <c r="BF28" s="308"/>
      <c r="BG28" s="308"/>
      <c r="BH28" s="308"/>
      <c r="BI28" s="308"/>
      <c r="BJ28" s="308"/>
      <c r="BK28" s="308"/>
      <c r="BL28" s="308"/>
      <c r="BM28" s="308"/>
      <c r="BN28" s="308"/>
      <c r="BO28" s="308"/>
      <c r="BP28" s="308"/>
      <c r="BQ28" s="308"/>
      <c r="BR28" s="308"/>
      <c r="BS28" s="308"/>
      <c r="BT28" s="308"/>
      <c r="BU28" s="308"/>
      <c r="BV28" s="308"/>
      <c r="BW28" s="308"/>
      <c r="BX28" s="308"/>
      <c r="BY28" s="308"/>
      <c r="BZ28" s="308"/>
      <c r="CA28" s="308"/>
      <c r="CB28" s="308"/>
      <c r="CC28" s="308"/>
      <c r="CD28" s="308"/>
      <c r="CE28" s="308"/>
      <c r="CF28" s="308"/>
      <c r="CG28" s="308"/>
      <c r="CH28" s="308"/>
      <c r="CI28" s="308"/>
      <c r="CJ28" s="308"/>
      <c r="CK28" s="308"/>
      <c r="CL28" s="308"/>
      <c r="CM28" s="308"/>
      <c r="CN28" s="308"/>
      <c r="CO28" s="308"/>
      <c r="CP28" s="308"/>
      <c r="CQ28" s="308"/>
      <c r="CR28" s="308"/>
      <c r="CS28" s="308"/>
      <c r="CT28" s="308"/>
      <c r="CU28" s="308"/>
      <c r="CV28" s="308"/>
      <c r="CW28" s="308"/>
      <c r="CX28" s="308"/>
      <c r="CY28" s="308"/>
      <c r="CZ28" s="308"/>
      <c r="DA28" s="308"/>
      <c r="DB28" s="308"/>
      <c r="DC28" s="308"/>
      <c r="DD28" s="308"/>
      <c r="DE28" s="308"/>
      <c r="DF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тарифам Санкт-Петербурга</v>
      </c>
      <c r="W29" s="2082"/>
      <c r="X29" s="2082"/>
      <c r="Y29" s="2082"/>
      <c r="Z29" s="2082"/>
      <c r="AA29" s="2082"/>
      <c r="AB29" s="2082"/>
      <c r="AC29" s="314"/>
      <c r="AD29" s="2082" t="str">
        <f>IF(TITLE_NAME_OR_PR_CHANGE="",IF(TITLE_NAME_OR_PR="","",TITLE_NAME_OR_PR),TITLE_NAME_OR_PR_CHANGE)</f>
        <v>Комитет по тарифам Санкт-Петербурга</v>
      </c>
      <c r="AE29" s="2082"/>
      <c r="AF29" s="2082"/>
      <c r="AG29" s="2082"/>
      <c r="AH29" s="2082"/>
      <c r="AI29" s="2082"/>
      <c r="AJ29" s="2082"/>
      <c r="AK29" s="314"/>
      <c r="AL29" s="2082" t="str">
        <f>IF(TITLE_NAME_OR_PR_CHANGE="",IF(TITLE_NAME_OR_PR="","",TITLE_NAME_OR_PR),TITLE_NAME_OR_PR_CHANGE)</f>
        <v>Комитет по тарифам Санкт-Петербурга</v>
      </c>
      <c r="AM29" s="2082"/>
      <c r="AN29" s="2082"/>
      <c r="AO29" s="2082"/>
      <c r="AP29" s="2082"/>
      <c r="AQ29" s="2082"/>
      <c r="AR29" s="2082"/>
      <c r="AS29" s="1660"/>
      <c r="AT29" s="2082" t="str">
        <f>IF(TITLE_NAME_OR_PR_CHANGE="",IF(TITLE_NAME_OR_PR="","",TITLE_NAME_OR_PR),TITLE_NAME_OR_PR_CHANGE)</f>
        <v>Комитет по тарифам Санкт-Петербурга</v>
      </c>
      <c r="AU29" s="2082"/>
      <c r="AV29" s="2082"/>
      <c r="AW29" s="2082"/>
      <c r="AX29" s="2082"/>
      <c r="AY29" s="2082"/>
      <c r="AZ29" s="2082"/>
      <c r="BA29" s="1660"/>
      <c r="BB29" s="2082" t="str">
        <f>IF(TITLE_NAME_OR_PR_CHANGE="",IF(TITLE_NAME_OR_PR="","",TITLE_NAME_OR_PR),TITLE_NAME_OR_PR_CHANGE)</f>
        <v>Комитет по тарифам Санкт-Петербурга</v>
      </c>
      <c r="BC29" s="2082"/>
      <c r="BD29" s="2082"/>
      <c r="BE29" s="2082"/>
      <c r="BF29" s="2082"/>
      <c r="BG29" s="2082"/>
      <c r="BH29" s="2082"/>
      <c r="BI29" s="1660"/>
      <c r="BJ29" s="2082" t="str">
        <f>IF(TITLE_NAME_OR_PR_CHANGE="",IF(TITLE_NAME_OR_PR="","",TITLE_NAME_OR_PR),TITLE_NAME_OR_PR_CHANGE)</f>
        <v>Комитет по тарифам Санкт-Петербурга</v>
      </c>
      <c r="BK29" s="2082"/>
      <c r="BL29" s="2082"/>
      <c r="BM29" s="2082"/>
      <c r="BN29" s="2082"/>
      <c r="BO29" s="2082"/>
      <c r="BP29" s="2082"/>
      <c r="BQ29" s="1660"/>
      <c r="BR29" s="2082" t="str">
        <f>IF(TITLE_NAME_OR_PR_CHANGE="",IF(TITLE_NAME_OR_PR="","",TITLE_NAME_OR_PR),TITLE_NAME_OR_PR_CHANGE)</f>
        <v>Комитет по тарифам Санкт-Петербурга</v>
      </c>
      <c r="BS29" s="2082"/>
      <c r="BT29" s="2082"/>
      <c r="BU29" s="2082"/>
      <c r="BV29" s="2082"/>
      <c r="BW29" s="2082"/>
      <c r="BX29" s="2082"/>
      <c r="BY29" s="1660"/>
      <c r="BZ29" s="2082" t="str">
        <f>IF(TITLE_NAME_OR_PR_CHANGE="",IF(TITLE_NAME_OR_PR="","",TITLE_NAME_OR_PR),TITLE_NAME_OR_PR_CHANGE)</f>
        <v>Комитет по тарифам Санкт-Петербурга</v>
      </c>
      <c r="CA29" s="2082"/>
      <c r="CB29" s="2082"/>
      <c r="CC29" s="2082"/>
      <c r="CD29" s="2082"/>
      <c r="CE29" s="2082"/>
      <c r="CF29" s="2082"/>
      <c r="CG29" s="1660"/>
      <c r="CH29" s="2082" t="str">
        <f>IF(TITLE_NAME_OR_PR_CHANGE="",IF(TITLE_NAME_OR_PR="","",TITLE_NAME_OR_PR),TITLE_NAME_OR_PR_CHANGE)</f>
        <v>Комитет по тарифам Санкт-Петербурга</v>
      </c>
      <c r="CI29" s="2082"/>
      <c r="CJ29" s="2082"/>
      <c r="CK29" s="2082"/>
      <c r="CL29" s="2082"/>
      <c r="CM29" s="2082"/>
      <c r="CN29" s="2082"/>
      <c r="CO29" s="1660"/>
      <c r="CP29" s="2082" t="str">
        <f>IF(TITLE_NAME_OR_PR_CHANGE="",IF(TITLE_NAME_OR_PR="","",TITLE_NAME_OR_PR),TITLE_NAME_OR_PR_CHANGE)</f>
        <v>Комитет по тарифам Санкт-Петербурга</v>
      </c>
      <c r="CQ29" s="2082"/>
      <c r="CR29" s="2082"/>
      <c r="CS29" s="2082"/>
      <c r="CT29" s="2082"/>
      <c r="CU29" s="2082"/>
      <c r="CV29" s="2082"/>
      <c r="CW29" s="1660"/>
      <c r="CX29" s="2082" t="str">
        <f>IF(TITLE_NAME_OR_PR_CHANGE="",IF(TITLE_NAME_OR_PR="","",TITLE_NAME_OR_PR),TITLE_NAME_OR_PR_CHANGE)</f>
        <v>Комитет по тарифам Санкт-Петербурга</v>
      </c>
      <c r="CY29" s="2082"/>
      <c r="CZ29" s="2082"/>
      <c r="DA29" s="2082"/>
      <c r="DB29" s="2082"/>
      <c r="DC29" s="2082"/>
      <c r="DD29" s="2082"/>
      <c r="DE29" s="1660"/>
      <c r="DF29" s="314"/>
      <c r="DG29" s="261"/>
      <c r="DH29" s="360"/>
      <c r="DI29" s="360"/>
      <c r="DJ29" s="360"/>
      <c r="DK29" s="360"/>
      <c r="DL29" s="360"/>
    </row>
    <row s="1877" customFormat="1" customHeight="1" ht="18.75">
      <c r="A30" s="1385"/>
      <c r="B30" s="1385"/>
      <c r="C30" s="1385"/>
      <c r="D30" s="1385"/>
      <c r="E30" s="1385"/>
      <c r="F30" s="1385"/>
      <c r="G30" s="1385"/>
      <c r="H30" s="1385"/>
      <c r="I30" s="1385"/>
      <c r="J30" s="1385"/>
      <c r="K30" s="1385"/>
      <c r="L30" s="1386"/>
      <c r="M30" s="1385"/>
      <c r="N30" s="1385"/>
      <c r="O30" s="1385"/>
      <c r="S30" s="2080" t="s">
        <v>434</v>
      </c>
      <c r="T30" s="2080"/>
      <c r="U30" s="1389"/>
      <c r="V30" s="2081" t="str">
        <f>IF(TITLE_DATE_PR_CHANGE="",IF(TITLE_DATE_PR="","",TITLE_DATE_PR),TITLE_DATE_PR_CHANGE)</f>
        <v>45280.49324074074</v>
      </c>
      <c r="W30" s="2081"/>
      <c r="X30" s="2081"/>
      <c r="Y30" s="2081"/>
      <c r="Z30" s="2081"/>
      <c r="AA30" s="2081"/>
      <c r="AB30" s="2081"/>
      <c r="AC30" s="314"/>
      <c r="AD30" s="2081" t="str">
        <f>IF(TITLE_DATE_PR_CHANGE="",IF(TITLE_DATE_PR="","",TITLE_DATE_PR),TITLE_DATE_PR_CHANGE)</f>
        <v>45280.49324074074</v>
      </c>
      <c r="AE30" s="2081"/>
      <c r="AF30" s="2081"/>
      <c r="AG30" s="2081"/>
      <c r="AH30" s="2081"/>
      <c r="AI30" s="2081"/>
      <c r="AJ30" s="2081"/>
      <c r="AK30" s="314"/>
      <c r="AL30" s="2081" t="str">
        <f>IF(TITLE_DATE_PR_CHANGE="",IF(TITLE_DATE_PR="","",TITLE_DATE_PR),TITLE_DATE_PR_CHANGE)</f>
        <v>45280.49324074074</v>
      </c>
      <c r="AM30" s="2081"/>
      <c r="AN30" s="2081"/>
      <c r="AO30" s="2081"/>
      <c r="AP30" s="2081"/>
      <c r="AQ30" s="2081"/>
      <c r="AR30" s="2081"/>
      <c r="AS30" s="1660"/>
      <c r="AT30" s="2081" t="str">
        <f>IF(TITLE_DATE_PR_CHANGE="",IF(TITLE_DATE_PR="","",TITLE_DATE_PR),TITLE_DATE_PR_CHANGE)</f>
        <v>45280.49324074074</v>
      </c>
      <c r="AU30" s="2081"/>
      <c r="AV30" s="2081"/>
      <c r="AW30" s="2081"/>
      <c r="AX30" s="2081"/>
      <c r="AY30" s="2081"/>
      <c r="AZ30" s="2081"/>
      <c r="BA30" s="1660"/>
      <c r="BB30" s="2081" t="str">
        <f>IF(TITLE_DATE_PR_CHANGE="",IF(TITLE_DATE_PR="","",TITLE_DATE_PR),TITLE_DATE_PR_CHANGE)</f>
        <v>45280.49324074074</v>
      </c>
      <c r="BC30" s="2081"/>
      <c r="BD30" s="2081"/>
      <c r="BE30" s="2081"/>
      <c r="BF30" s="2081"/>
      <c r="BG30" s="2081"/>
      <c r="BH30" s="2081"/>
      <c r="BI30" s="1660"/>
      <c r="BJ30" s="2081" t="str">
        <f>IF(TITLE_DATE_PR_CHANGE="",IF(TITLE_DATE_PR="","",TITLE_DATE_PR),TITLE_DATE_PR_CHANGE)</f>
        <v>45280.49324074074</v>
      </c>
      <c r="BK30" s="2081"/>
      <c r="BL30" s="2081"/>
      <c r="BM30" s="2081"/>
      <c r="BN30" s="2081"/>
      <c r="BO30" s="2081"/>
      <c r="BP30" s="2081"/>
      <c r="BQ30" s="1660"/>
      <c r="BR30" s="2081" t="str">
        <f>IF(TITLE_DATE_PR_CHANGE="",IF(TITLE_DATE_PR="","",TITLE_DATE_PR),TITLE_DATE_PR_CHANGE)</f>
        <v>45280.49324074074</v>
      </c>
      <c r="BS30" s="2081"/>
      <c r="BT30" s="2081"/>
      <c r="BU30" s="2081"/>
      <c r="BV30" s="2081"/>
      <c r="BW30" s="2081"/>
      <c r="BX30" s="2081"/>
      <c r="BY30" s="1660"/>
      <c r="BZ30" s="2081" t="str">
        <f>IF(TITLE_DATE_PR_CHANGE="",IF(TITLE_DATE_PR="","",TITLE_DATE_PR),TITLE_DATE_PR_CHANGE)</f>
        <v>45280.49324074074</v>
      </c>
      <c r="CA30" s="2081"/>
      <c r="CB30" s="2081"/>
      <c r="CC30" s="2081"/>
      <c r="CD30" s="2081"/>
      <c r="CE30" s="2081"/>
      <c r="CF30" s="2081"/>
      <c r="CG30" s="1660"/>
      <c r="CH30" s="2081" t="str">
        <f>IF(TITLE_DATE_PR_CHANGE="",IF(TITLE_DATE_PR="","",TITLE_DATE_PR),TITLE_DATE_PR_CHANGE)</f>
        <v>45280.49324074074</v>
      </c>
      <c r="CI30" s="2081"/>
      <c r="CJ30" s="2081"/>
      <c r="CK30" s="2081"/>
      <c r="CL30" s="2081"/>
      <c r="CM30" s="2081"/>
      <c r="CN30" s="2081"/>
      <c r="CO30" s="1660"/>
      <c r="CP30" s="2081" t="str">
        <f>IF(TITLE_DATE_PR_CHANGE="",IF(TITLE_DATE_PR="","",TITLE_DATE_PR),TITLE_DATE_PR_CHANGE)</f>
        <v>45280.49324074074</v>
      </c>
      <c r="CQ30" s="2081"/>
      <c r="CR30" s="2081"/>
      <c r="CS30" s="2081"/>
      <c r="CT30" s="2081"/>
      <c r="CU30" s="2081"/>
      <c r="CV30" s="2081"/>
      <c r="CW30" s="1660"/>
      <c r="CX30" s="2081" t="str">
        <f>IF(TITLE_DATE_PR_CHANGE="",IF(TITLE_DATE_PR="","",TITLE_DATE_PR),TITLE_DATE_PR_CHANGE)</f>
        <v>45280.49324074074</v>
      </c>
      <c r="CY30" s="2081"/>
      <c r="CZ30" s="2081"/>
      <c r="DA30" s="2081"/>
      <c r="DB30" s="2081"/>
      <c r="DC30" s="2081"/>
      <c r="DD30" s="2081"/>
      <c r="DE30" s="1660"/>
      <c r="DF30" s="314"/>
      <c r="DG30" s="261"/>
      <c r="DH30" s="360"/>
      <c r="DI30" s="360"/>
      <c r="DJ30" s="360"/>
      <c r="DK30" s="360"/>
      <c r="DL30" s="360"/>
    </row>
    <row s="1877" customFormat="1" customHeight="1" ht="18.75">
      <c r="A31" s="1385"/>
      <c r="B31" s="1385"/>
      <c r="C31" s="1385"/>
      <c r="D31" s="1385"/>
      <c r="E31" s="1385"/>
      <c r="F31" s="1385"/>
      <c r="G31" s="1385"/>
      <c r="H31" s="1385"/>
      <c r="I31" s="1385"/>
      <c r="J31" s="1385"/>
      <c r="K31" s="1385"/>
      <c r="L31" s="1386"/>
      <c r="M31" s="1385"/>
      <c r="N31" s="1385"/>
      <c r="O31" s="1385"/>
      <c r="S31" s="2080" t="s">
        <v>435</v>
      </c>
      <c r="T31" s="2080"/>
      <c r="U31" s="1389"/>
      <c r="V31" s="2082" t="str">
        <f>IF(TITLE_NUMBER_PR_CHANGE="",IF(TITLE_NUMBER_PR="","",TITLE_NUMBER_PR),TITLE_NUMBER_PR_CHANGE)</f>
        <v>262-р</v>
      </c>
      <c r="W31" s="2082"/>
      <c r="X31" s="2082"/>
      <c r="Y31" s="2082"/>
      <c r="Z31" s="2082"/>
      <c r="AA31" s="2082"/>
      <c r="AB31" s="2082"/>
      <c r="AC31" s="314"/>
      <c r="AD31" s="2082" t="str">
        <f>IF(TITLE_NUMBER_PR_CHANGE="",IF(TITLE_NUMBER_PR="","",TITLE_NUMBER_PR),TITLE_NUMBER_PR_CHANGE)</f>
        <v>262-р</v>
      </c>
      <c r="AE31" s="2082"/>
      <c r="AF31" s="2082"/>
      <c r="AG31" s="2082"/>
      <c r="AH31" s="2082"/>
      <c r="AI31" s="2082"/>
      <c r="AJ31" s="2082"/>
      <c r="AK31" s="314"/>
      <c r="AL31" s="2082" t="str">
        <f>IF(TITLE_NUMBER_PR_CHANGE="",IF(TITLE_NUMBER_PR="","",TITLE_NUMBER_PR),TITLE_NUMBER_PR_CHANGE)</f>
        <v>262-р</v>
      </c>
      <c r="AM31" s="2082"/>
      <c r="AN31" s="2082"/>
      <c r="AO31" s="2082"/>
      <c r="AP31" s="2082"/>
      <c r="AQ31" s="2082"/>
      <c r="AR31" s="2082"/>
      <c r="AS31" s="1660"/>
      <c r="AT31" s="2082" t="str">
        <f>IF(TITLE_NUMBER_PR_CHANGE="",IF(TITLE_NUMBER_PR="","",TITLE_NUMBER_PR),TITLE_NUMBER_PR_CHANGE)</f>
        <v>262-р</v>
      </c>
      <c r="AU31" s="2082"/>
      <c r="AV31" s="2082"/>
      <c r="AW31" s="2082"/>
      <c r="AX31" s="2082"/>
      <c r="AY31" s="2082"/>
      <c r="AZ31" s="2082"/>
      <c r="BA31" s="1660"/>
      <c r="BB31" s="2082" t="str">
        <f>IF(TITLE_NUMBER_PR_CHANGE="",IF(TITLE_NUMBER_PR="","",TITLE_NUMBER_PR),TITLE_NUMBER_PR_CHANGE)</f>
        <v>262-р</v>
      </c>
      <c r="BC31" s="2082"/>
      <c r="BD31" s="2082"/>
      <c r="BE31" s="2082"/>
      <c r="BF31" s="2082"/>
      <c r="BG31" s="2082"/>
      <c r="BH31" s="2082"/>
      <c r="BI31" s="1660"/>
      <c r="BJ31" s="2082" t="str">
        <f>IF(TITLE_NUMBER_PR_CHANGE="",IF(TITLE_NUMBER_PR="","",TITLE_NUMBER_PR),TITLE_NUMBER_PR_CHANGE)</f>
        <v>262-р</v>
      </c>
      <c r="BK31" s="2082"/>
      <c r="BL31" s="2082"/>
      <c r="BM31" s="2082"/>
      <c r="BN31" s="2082"/>
      <c r="BO31" s="2082"/>
      <c r="BP31" s="2082"/>
      <c r="BQ31" s="1660"/>
      <c r="BR31" s="2082" t="str">
        <f>IF(TITLE_NUMBER_PR_CHANGE="",IF(TITLE_NUMBER_PR="","",TITLE_NUMBER_PR),TITLE_NUMBER_PR_CHANGE)</f>
        <v>262-р</v>
      </c>
      <c r="BS31" s="2082"/>
      <c r="BT31" s="2082"/>
      <c r="BU31" s="2082"/>
      <c r="BV31" s="2082"/>
      <c r="BW31" s="2082"/>
      <c r="BX31" s="2082"/>
      <c r="BY31" s="1660"/>
      <c r="BZ31" s="2082" t="str">
        <f>IF(TITLE_NUMBER_PR_CHANGE="",IF(TITLE_NUMBER_PR="","",TITLE_NUMBER_PR),TITLE_NUMBER_PR_CHANGE)</f>
        <v>262-р</v>
      </c>
      <c r="CA31" s="2082"/>
      <c r="CB31" s="2082"/>
      <c r="CC31" s="2082"/>
      <c r="CD31" s="2082"/>
      <c r="CE31" s="2082"/>
      <c r="CF31" s="2082"/>
      <c r="CG31" s="1660"/>
      <c r="CH31" s="2082" t="str">
        <f>IF(TITLE_NUMBER_PR_CHANGE="",IF(TITLE_NUMBER_PR="","",TITLE_NUMBER_PR),TITLE_NUMBER_PR_CHANGE)</f>
        <v>262-р</v>
      </c>
      <c r="CI31" s="2082"/>
      <c r="CJ31" s="2082"/>
      <c r="CK31" s="2082"/>
      <c r="CL31" s="2082"/>
      <c r="CM31" s="2082"/>
      <c r="CN31" s="2082"/>
      <c r="CO31" s="1660"/>
      <c r="CP31" s="2082" t="str">
        <f>IF(TITLE_NUMBER_PR_CHANGE="",IF(TITLE_NUMBER_PR="","",TITLE_NUMBER_PR),TITLE_NUMBER_PR_CHANGE)</f>
        <v>262-р</v>
      </c>
      <c r="CQ31" s="2082"/>
      <c r="CR31" s="2082"/>
      <c r="CS31" s="2082"/>
      <c r="CT31" s="2082"/>
      <c r="CU31" s="2082"/>
      <c r="CV31" s="2082"/>
      <c r="CW31" s="1660"/>
      <c r="CX31" s="2082" t="str">
        <f>IF(TITLE_NUMBER_PR_CHANGE="",IF(TITLE_NUMBER_PR="","",TITLE_NUMBER_PR),TITLE_NUMBER_PR_CHANGE)</f>
        <v>262-р</v>
      </c>
      <c r="CY31" s="2082"/>
      <c r="CZ31" s="2082"/>
      <c r="DA31" s="2082"/>
      <c r="DB31" s="2082"/>
      <c r="DC31" s="2082"/>
      <c r="DD31" s="2082"/>
      <c r="DE31" s="1660"/>
      <c r="DF31" s="314"/>
      <c r="DG31" s="261"/>
      <c r="DH31" s="360"/>
      <c r="DI31" s="360"/>
      <c r="DJ31" s="360"/>
      <c r="DK31" s="360"/>
      <c r="DL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https://www.gov.spb.ru/static/writable/documents/2023/12/22/%D0%BE%D1%82_20.12.2023__262-%D1%80.pdf</v>
      </c>
      <c r="W32" s="2082"/>
      <c r="X32" s="2082"/>
      <c r="Y32" s="2082"/>
      <c r="Z32" s="2082"/>
      <c r="AA32" s="2082"/>
      <c r="AB32" s="2082"/>
      <c r="AC32" s="314"/>
      <c r="AD32" s="2082" t="str">
        <f>IF(TITLE_IST_PUB_CHANGE="",IF(TITLE_IST_PUB="","",TITLE_IST_PUB),TITLE_IST_PUB_CHANGE)</f>
        <v>https://www.gov.spb.ru/static/writable/documents/2023/12/22/%D0%BE%D1%82_20.12.2023__262-%D1%80.pdf</v>
      </c>
      <c r="AE32" s="2082"/>
      <c r="AF32" s="2082"/>
      <c r="AG32" s="2082"/>
      <c r="AH32" s="2082"/>
      <c r="AI32" s="2082"/>
      <c r="AJ32" s="2082"/>
      <c r="AK32" s="314"/>
      <c r="AL32" s="2082" t="str">
        <f>IF(TITLE_IST_PUB_CHANGE="",IF(TITLE_IST_PUB="","",TITLE_IST_PUB),TITLE_IST_PUB_CHANGE)</f>
        <v>https://www.gov.spb.ru/static/writable/documents/2023/12/22/%D0%BE%D1%82_20.12.2023__262-%D1%80.pdf</v>
      </c>
      <c r="AM32" s="2082"/>
      <c r="AN32" s="2082"/>
      <c r="AO32" s="2082"/>
      <c r="AP32" s="2082"/>
      <c r="AQ32" s="2082"/>
      <c r="AR32" s="2082"/>
      <c r="AS32" s="1660"/>
      <c r="AT32" s="2082" t="str">
        <f>IF(TITLE_IST_PUB_CHANGE="",IF(TITLE_IST_PUB="","",TITLE_IST_PUB),TITLE_IST_PUB_CHANGE)</f>
        <v>https://www.gov.spb.ru/static/writable/documents/2023/12/22/%D0%BE%D1%82_20.12.2023__262-%D1%80.pdf</v>
      </c>
      <c r="AU32" s="2082"/>
      <c r="AV32" s="2082"/>
      <c r="AW32" s="2082"/>
      <c r="AX32" s="2082"/>
      <c r="AY32" s="2082"/>
      <c r="AZ32" s="2082"/>
      <c r="BA32" s="1660"/>
      <c r="BB32" s="2082" t="str">
        <f>IF(TITLE_IST_PUB_CHANGE="",IF(TITLE_IST_PUB="","",TITLE_IST_PUB),TITLE_IST_PUB_CHANGE)</f>
        <v>https://www.gov.spb.ru/static/writable/documents/2023/12/22/%D0%BE%D1%82_20.12.2023__262-%D1%80.pdf</v>
      </c>
      <c r="BC32" s="2082"/>
      <c r="BD32" s="2082"/>
      <c r="BE32" s="2082"/>
      <c r="BF32" s="2082"/>
      <c r="BG32" s="2082"/>
      <c r="BH32" s="2082"/>
      <c r="BI32" s="1660"/>
      <c r="BJ32" s="2082" t="str">
        <f>IF(TITLE_IST_PUB_CHANGE="",IF(TITLE_IST_PUB="","",TITLE_IST_PUB),TITLE_IST_PUB_CHANGE)</f>
        <v>https://www.gov.spb.ru/static/writable/documents/2023/12/22/%D0%BE%D1%82_20.12.2023__262-%D1%80.pdf</v>
      </c>
      <c r="BK32" s="2082"/>
      <c r="BL32" s="2082"/>
      <c r="BM32" s="2082"/>
      <c r="BN32" s="2082"/>
      <c r="BO32" s="2082"/>
      <c r="BP32" s="2082"/>
      <c r="BQ32" s="1660"/>
      <c r="BR32" s="2082" t="str">
        <f>IF(TITLE_IST_PUB_CHANGE="",IF(TITLE_IST_PUB="","",TITLE_IST_PUB),TITLE_IST_PUB_CHANGE)</f>
        <v>https://www.gov.spb.ru/static/writable/documents/2023/12/22/%D0%BE%D1%82_20.12.2023__262-%D1%80.pdf</v>
      </c>
      <c r="BS32" s="2082"/>
      <c r="BT32" s="2082"/>
      <c r="BU32" s="2082"/>
      <c r="BV32" s="2082"/>
      <c r="BW32" s="2082"/>
      <c r="BX32" s="2082"/>
      <c r="BY32" s="1660"/>
      <c r="BZ32" s="2082" t="str">
        <f>IF(TITLE_IST_PUB_CHANGE="",IF(TITLE_IST_PUB="","",TITLE_IST_PUB),TITLE_IST_PUB_CHANGE)</f>
        <v>https://www.gov.spb.ru/static/writable/documents/2023/12/22/%D0%BE%D1%82_20.12.2023__262-%D1%80.pdf</v>
      </c>
      <c r="CA32" s="2082"/>
      <c r="CB32" s="2082"/>
      <c r="CC32" s="2082"/>
      <c r="CD32" s="2082"/>
      <c r="CE32" s="2082"/>
      <c r="CF32" s="2082"/>
      <c r="CG32" s="1660"/>
      <c r="CH32" s="2082" t="str">
        <f>IF(TITLE_IST_PUB_CHANGE="",IF(TITLE_IST_PUB="","",TITLE_IST_PUB),TITLE_IST_PUB_CHANGE)</f>
        <v>https://www.gov.spb.ru/static/writable/documents/2023/12/22/%D0%BE%D1%82_20.12.2023__262-%D1%80.pdf</v>
      </c>
      <c r="CI32" s="2082"/>
      <c r="CJ32" s="2082"/>
      <c r="CK32" s="2082"/>
      <c r="CL32" s="2082"/>
      <c r="CM32" s="2082"/>
      <c r="CN32" s="2082"/>
      <c r="CO32" s="1660"/>
      <c r="CP32" s="2082" t="str">
        <f>IF(TITLE_IST_PUB_CHANGE="",IF(TITLE_IST_PUB="","",TITLE_IST_PUB),TITLE_IST_PUB_CHANGE)</f>
        <v>https://www.gov.spb.ru/static/writable/documents/2023/12/22/%D0%BE%D1%82_20.12.2023__262-%D1%80.pdf</v>
      </c>
      <c r="CQ32" s="2082"/>
      <c r="CR32" s="2082"/>
      <c r="CS32" s="2082"/>
      <c r="CT32" s="2082"/>
      <c r="CU32" s="2082"/>
      <c r="CV32" s="2082"/>
      <c r="CW32" s="1660"/>
      <c r="CX32" s="2082" t="str">
        <f>IF(TITLE_IST_PUB_CHANGE="",IF(TITLE_IST_PUB="","",TITLE_IST_PUB),TITLE_IST_PUB_CHANGE)</f>
        <v>https://www.gov.spb.ru/static/writable/documents/2023/12/22/%D0%BE%D1%82_20.12.2023__262-%D1%80.pdf</v>
      </c>
      <c r="CY32" s="2082"/>
      <c r="CZ32" s="2082"/>
      <c r="DA32" s="2082"/>
      <c r="DB32" s="2082"/>
      <c r="DC32" s="2082"/>
      <c r="DD32" s="2082"/>
      <c r="DE32" s="1660"/>
      <c r="DF32" s="314"/>
      <c r="DG32" s="261"/>
      <c r="DH32" s="360"/>
      <c r="DI32" s="360"/>
      <c r="DJ32" s="360"/>
      <c r="DK32" s="360"/>
      <c r="DL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308"/>
      <c r="AU33" s="308"/>
      <c r="AV33" s="308"/>
      <c r="AW33" s="308"/>
      <c r="AX33" s="308"/>
      <c r="AY33" s="308"/>
      <c r="AZ33" s="308"/>
      <c r="BA33" s="308"/>
      <c r="BB33" s="308"/>
      <c r="BC33" s="308"/>
      <c r="BD33" s="308"/>
      <c r="BE33" s="308"/>
      <c r="BF33" s="308"/>
      <c r="BG33" s="308"/>
      <c r="BH33" s="308"/>
      <c r="BI33" s="308"/>
      <c r="BJ33" s="308"/>
      <c r="BK33" s="308"/>
      <c r="BL33" s="308"/>
      <c r="BM33" s="308"/>
      <c r="BN33" s="308"/>
      <c r="BO33" s="308"/>
      <c r="BP33" s="308"/>
      <c r="BQ33" s="308"/>
      <c r="BR33" s="308"/>
      <c r="BS33" s="308"/>
      <c r="BT33" s="308"/>
      <c r="BU33" s="308"/>
      <c r="BV33" s="308"/>
      <c r="BW33" s="308"/>
      <c r="BX33" s="308"/>
      <c r="BY33" s="308"/>
      <c r="BZ33" s="308"/>
      <c r="CA33" s="308"/>
      <c r="CB33" s="308"/>
      <c r="CC33" s="308"/>
      <c r="CD33" s="308"/>
      <c r="CE33" s="308"/>
      <c r="CF33" s="308"/>
      <c r="CG33" s="308"/>
      <c r="CH33" s="308"/>
      <c r="CI33" s="308"/>
      <c r="CJ33" s="308"/>
      <c r="CK33" s="308"/>
      <c r="CL33" s="308"/>
      <c r="CM33" s="308"/>
      <c r="CN33" s="308"/>
      <c r="CO33" s="308"/>
      <c r="CP33" s="308"/>
      <c r="CQ33" s="308"/>
      <c r="CR33" s="308"/>
      <c r="CS33" s="308"/>
      <c r="CT33" s="308"/>
      <c r="CU33" s="308"/>
      <c r="CV33" s="308"/>
      <c r="CW33" s="308"/>
      <c r="CX33" s="308"/>
      <c r="CY33" s="308"/>
      <c r="CZ33" s="308"/>
      <c r="DA33" s="308"/>
      <c r="DB33" s="308"/>
      <c r="DC33" s="308"/>
      <c r="DD33" s="308"/>
      <c r="DE33" s="308"/>
      <c r="DF33" s="505"/>
    </row>
    <row s="1877" customFormat="1" customHeight="1" ht="18.75" hidden="1">
      <c r="A34" s="1385"/>
      <c r="B34" s="1385"/>
      <c r="C34" s="1385"/>
      <c r="D34" s="1385"/>
      <c r="E34" s="1385"/>
      <c r="F34" s="1385"/>
      <c r="G34" s="1385"/>
      <c r="H34" s="1385"/>
      <c r="I34" s="1385"/>
      <c r="J34" s="1385"/>
      <c r="K34" s="1385"/>
      <c r="L34" s="1386"/>
      <c r="M34" s="1385"/>
      <c r="N34" s="1385"/>
      <c r="O34" s="1385"/>
      <c r="S34" s="2080" t="s">
        <v>436</v>
      </c>
      <c r="T34" s="2080"/>
      <c r="U34" s="1389"/>
      <c r="V34" s="2081" t="str">
        <f>IF(TITLE_DATE_PR_CHANGE="",IF(TITLE_DATE_PR="","",TITLE_DATE_PR),TITLE_DATE_PR_CHANGE)</f>
        <v>45280.49324074074</v>
      </c>
      <c r="W34" s="2081"/>
      <c r="X34" s="2081"/>
      <c r="Y34" s="2081"/>
      <c r="Z34" s="2081"/>
      <c r="AA34" s="2081"/>
      <c r="AB34" s="2081"/>
      <c r="AC34" s="314"/>
      <c r="AD34" s="2081" t="str">
        <f>IF(TITLE_DATE_PR_CHANGE="",IF(TITLE_DATE_PR="","",TITLE_DATE_PR),TITLE_DATE_PR_CHANGE)</f>
        <v>45280.49324074074</v>
      </c>
      <c r="AE34" s="2081"/>
      <c r="AF34" s="2081"/>
      <c r="AG34" s="2081"/>
      <c r="AH34" s="2081"/>
      <c r="AI34" s="2081"/>
      <c r="AJ34" s="2081"/>
      <c r="AK34" s="314"/>
      <c r="AL34" s="2081" t="str">
        <f>IF(TITLE_DATE_PR_CHANGE="",IF(TITLE_DATE_PR="","",TITLE_DATE_PR),TITLE_DATE_PR_CHANGE)</f>
        <v>45280.49324074074</v>
      </c>
      <c r="AM34" s="2081"/>
      <c r="AN34" s="2081"/>
      <c r="AO34" s="2081"/>
      <c r="AP34" s="2081"/>
      <c r="AQ34" s="2081"/>
      <c r="AR34" s="2081"/>
      <c r="AS34" s="1660"/>
      <c r="AT34" s="2081" t="str">
        <f>IF(TITLE_DATE_PR_CHANGE="",IF(TITLE_DATE_PR="","",TITLE_DATE_PR),TITLE_DATE_PR_CHANGE)</f>
        <v>45280.49324074074</v>
      </c>
      <c r="AU34" s="2081"/>
      <c r="AV34" s="2081"/>
      <c r="AW34" s="2081"/>
      <c r="AX34" s="2081"/>
      <c r="AY34" s="2081"/>
      <c r="AZ34" s="2081"/>
      <c r="BA34" s="1660"/>
      <c r="BB34" s="2081" t="str">
        <f>IF(TITLE_DATE_PR_CHANGE="",IF(TITLE_DATE_PR="","",TITLE_DATE_PR),TITLE_DATE_PR_CHANGE)</f>
        <v>45280.49324074074</v>
      </c>
      <c r="BC34" s="2081"/>
      <c r="BD34" s="2081"/>
      <c r="BE34" s="2081"/>
      <c r="BF34" s="2081"/>
      <c r="BG34" s="2081"/>
      <c r="BH34" s="2081"/>
      <c r="BI34" s="1660"/>
      <c r="BJ34" s="2081" t="str">
        <f>IF(TITLE_DATE_PR_CHANGE="",IF(TITLE_DATE_PR="","",TITLE_DATE_PR),TITLE_DATE_PR_CHANGE)</f>
        <v>45280.49324074074</v>
      </c>
      <c r="BK34" s="2081"/>
      <c r="BL34" s="2081"/>
      <c r="BM34" s="2081"/>
      <c r="BN34" s="2081"/>
      <c r="BO34" s="2081"/>
      <c r="BP34" s="2081"/>
      <c r="BQ34" s="1660"/>
      <c r="BR34" s="2081" t="str">
        <f>IF(TITLE_DATE_PR_CHANGE="",IF(TITLE_DATE_PR="","",TITLE_DATE_PR),TITLE_DATE_PR_CHANGE)</f>
        <v>45280.49324074074</v>
      </c>
      <c r="BS34" s="2081"/>
      <c r="BT34" s="2081"/>
      <c r="BU34" s="2081"/>
      <c r="BV34" s="2081"/>
      <c r="BW34" s="2081"/>
      <c r="BX34" s="2081"/>
      <c r="BY34" s="1660"/>
      <c r="BZ34" s="2081" t="str">
        <f>IF(TITLE_DATE_PR_CHANGE="",IF(TITLE_DATE_PR="","",TITLE_DATE_PR),TITLE_DATE_PR_CHANGE)</f>
        <v>45280.49324074074</v>
      </c>
      <c r="CA34" s="2081"/>
      <c r="CB34" s="2081"/>
      <c r="CC34" s="2081"/>
      <c r="CD34" s="2081"/>
      <c r="CE34" s="2081"/>
      <c r="CF34" s="2081"/>
      <c r="CG34" s="1660"/>
      <c r="CH34" s="2081" t="str">
        <f>IF(TITLE_DATE_PR_CHANGE="",IF(TITLE_DATE_PR="","",TITLE_DATE_PR),TITLE_DATE_PR_CHANGE)</f>
        <v>45280.49324074074</v>
      </c>
      <c r="CI34" s="2081"/>
      <c r="CJ34" s="2081"/>
      <c r="CK34" s="2081"/>
      <c r="CL34" s="2081"/>
      <c r="CM34" s="2081"/>
      <c r="CN34" s="2081"/>
      <c r="CO34" s="1660"/>
      <c r="CP34" s="2081" t="str">
        <f>IF(TITLE_DATE_PR_CHANGE="",IF(TITLE_DATE_PR="","",TITLE_DATE_PR),TITLE_DATE_PR_CHANGE)</f>
        <v>45280.49324074074</v>
      </c>
      <c r="CQ34" s="2081"/>
      <c r="CR34" s="2081"/>
      <c r="CS34" s="2081"/>
      <c r="CT34" s="2081"/>
      <c r="CU34" s="2081"/>
      <c r="CV34" s="2081"/>
      <c r="CW34" s="1660"/>
      <c r="CX34" s="2081" t="str">
        <f>IF(TITLE_DATE_PR_CHANGE="",IF(TITLE_DATE_PR="","",TITLE_DATE_PR),TITLE_DATE_PR_CHANGE)</f>
        <v>45280.49324074074</v>
      </c>
      <c r="CY34" s="2081"/>
      <c r="CZ34" s="2081"/>
      <c r="DA34" s="2081"/>
      <c r="DB34" s="2081"/>
      <c r="DC34" s="2081"/>
      <c r="DD34" s="2081"/>
      <c r="DE34" s="1660"/>
      <c r="DF34" s="314"/>
      <c r="DG34" s="261"/>
      <c r="DH34" s="360"/>
      <c r="DI34" s="360"/>
      <c r="DJ34" s="360"/>
      <c r="DK34" s="360"/>
      <c r="DL34" s="360"/>
    </row>
    <row s="1877" customFormat="1" customHeight="1" ht="18.75" hidden="1">
      <c r="A35" s="1385"/>
      <c r="B35" s="1385"/>
      <c r="C35" s="1385"/>
      <c r="D35" s="1385"/>
      <c r="E35" s="1385"/>
      <c r="F35" s="1385"/>
      <c r="G35" s="1385"/>
      <c r="H35" s="1385"/>
      <c r="I35" s="1385"/>
      <c r="J35" s="1385"/>
      <c r="K35" s="1385"/>
      <c r="L35" s="1386"/>
      <c r="M35" s="1385"/>
      <c r="N35" s="1385"/>
      <c r="O35" s="1385"/>
      <c r="S35" s="2080" t="s">
        <v>437</v>
      </c>
      <c r="T35" s="2080"/>
      <c r="U35" s="1389"/>
      <c r="V35" s="2082" t="str">
        <f>IF(TITLE_NUMBER_PR_CHANGE="",IF(TITLE_NUMBER_PR="","",TITLE_NUMBER_PR),TITLE_NUMBER_PR_CHANGE)</f>
        <v>262-р</v>
      </c>
      <c r="W35" s="2082"/>
      <c r="X35" s="2082"/>
      <c r="Y35" s="2082"/>
      <c r="Z35" s="2082"/>
      <c r="AA35" s="2082"/>
      <c r="AB35" s="2082"/>
      <c r="AC35" s="314"/>
      <c r="AD35" s="2082" t="str">
        <f>IF(TITLE_NUMBER_PR_CHANGE="",IF(TITLE_NUMBER_PR="","",TITLE_NUMBER_PR),TITLE_NUMBER_PR_CHANGE)</f>
        <v>262-р</v>
      </c>
      <c r="AE35" s="2082"/>
      <c r="AF35" s="2082"/>
      <c r="AG35" s="2082"/>
      <c r="AH35" s="2082"/>
      <c r="AI35" s="2082"/>
      <c r="AJ35" s="2082"/>
      <c r="AK35" s="314"/>
      <c r="AL35" s="2082" t="str">
        <f>IF(TITLE_NUMBER_PR_CHANGE="",IF(TITLE_NUMBER_PR="","",TITLE_NUMBER_PR),TITLE_NUMBER_PR_CHANGE)</f>
        <v>262-р</v>
      </c>
      <c r="AM35" s="2082"/>
      <c r="AN35" s="2082"/>
      <c r="AO35" s="2082"/>
      <c r="AP35" s="2082"/>
      <c r="AQ35" s="2082"/>
      <c r="AR35" s="2082"/>
      <c r="AS35" s="1660"/>
      <c r="AT35" s="2082" t="str">
        <f>IF(TITLE_NUMBER_PR_CHANGE="",IF(TITLE_NUMBER_PR="","",TITLE_NUMBER_PR),TITLE_NUMBER_PR_CHANGE)</f>
        <v>262-р</v>
      </c>
      <c r="AU35" s="2082"/>
      <c r="AV35" s="2082"/>
      <c r="AW35" s="2082"/>
      <c r="AX35" s="2082"/>
      <c r="AY35" s="2082"/>
      <c r="AZ35" s="2082"/>
      <c r="BA35" s="1660"/>
      <c r="BB35" s="2082" t="str">
        <f>IF(TITLE_NUMBER_PR_CHANGE="",IF(TITLE_NUMBER_PR="","",TITLE_NUMBER_PR),TITLE_NUMBER_PR_CHANGE)</f>
        <v>262-р</v>
      </c>
      <c r="BC35" s="2082"/>
      <c r="BD35" s="2082"/>
      <c r="BE35" s="2082"/>
      <c r="BF35" s="2082"/>
      <c r="BG35" s="2082"/>
      <c r="BH35" s="2082"/>
      <c r="BI35" s="1660"/>
      <c r="BJ35" s="2082" t="str">
        <f>IF(TITLE_NUMBER_PR_CHANGE="",IF(TITLE_NUMBER_PR="","",TITLE_NUMBER_PR),TITLE_NUMBER_PR_CHANGE)</f>
        <v>262-р</v>
      </c>
      <c r="BK35" s="2082"/>
      <c r="BL35" s="2082"/>
      <c r="BM35" s="2082"/>
      <c r="BN35" s="2082"/>
      <c r="BO35" s="2082"/>
      <c r="BP35" s="2082"/>
      <c r="BQ35" s="1660"/>
      <c r="BR35" s="2082" t="str">
        <f>IF(TITLE_NUMBER_PR_CHANGE="",IF(TITLE_NUMBER_PR="","",TITLE_NUMBER_PR),TITLE_NUMBER_PR_CHANGE)</f>
        <v>262-р</v>
      </c>
      <c r="BS35" s="2082"/>
      <c r="BT35" s="2082"/>
      <c r="BU35" s="2082"/>
      <c r="BV35" s="2082"/>
      <c r="BW35" s="2082"/>
      <c r="BX35" s="2082"/>
      <c r="BY35" s="1660"/>
      <c r="BZ35" s="2082" t="str">
        <f>IF(TITLE_NUMBER_PR_CHANGE="",IF(TITLE_NUMBER_PR="","",TITLE_NUMBER_PR),TITLE_NUMBER_PR_CHANGE)</f>
        <v>262-р</v>
      </c>
      <c r="CA35" s="2082"/>
      <c r="CB35" s="2082"/>
      <c r="CC35" s="2082"/>
      <c r="CD35" s="2082"/>
      <c r="CE35" s="2082"/>
      <c r="CF35" s="2082"/>
      <c r="CG35" s="1660"/>
      <c r="CH35" s="2082" t="str">
        <f>IF(TITLE_NUMBER_PR_CHANGE="",IF(TITLE_NUMBER_PR="","",TITLE_NUMBER_PR),TITLE_NUMBER_PR_CHANGE)</f>
        <v>262-р</v>
      </c>
      <c r="CI35" s="2082"/>
      <c r="CJ35" s="2082"/>
      <c r="CK35" s="2082"/>
      <c r="CL35" s="2082"/>
      <c r="CM35" s="2082"/>
      <c r="CN35" s="2082"/>
      <c r="CO35" s="1660"/>
      <c r="CP35" s="2082" t="str">
        <f>IF(TITLE_NUMBER_PR_CHANGE="",IF(TITLE_NUMBER_PR="","",TITLE_NUMBER_PR),TITLE_NUMBER_PR_CHANGE)</f>
        <v>262-р</v>
      </c>
      <c r="CQ35" s="2082"/>
      <c r="CR35" s="2082"/>
      <c r="CS35" s="2082"/>
      <c r="CT35" s="2082"/>
      <c r="CU35" s="2082"/>
      <c r="CV35" s="2082"/>
      <c r="CW35" s="1660"/>
      <c r="CX35" s="2082" t="str">
        <f>IF(TITLE_NUMBER_PR_CHANGE="",IF(TITLE_NUMBER_PR="","",TITLE_NUMBER_PR),TITLE_NUMBER_PR_CHANGE)</f>
        <v>262-р</v>
      </c>
      <c r="CY35" s="2082"/>
      <c r="CZ35" s="2082"/>
      <c r="DA35" s="2082"/>
      <c r="DB35" s="2082"/>
      <c r="DC35" s="2082"/>
      <c r="DD35" s="2082"/>
      <c r="DE35" s="1660"/>
      <c r="DF35" s="314"/>
      <c r="DG35" s="261"/>
      <c r="DH35" s="360"/>
      <c r="DI35" s="360"/>
      <c r="DJ35" s="360"/>
      <c r="DK35" s="360"/>
      <c r="DL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438</v>
      </c>
      <c r="AD36" s="314"/>
      <c r="AE36" s="314"/>
      <c r="AF36" s="314"/>
      <c r="AG36" s="314"/>
      <c r="AH36" s="314"/>
      <c r="AI36" s="314"/>
      <c r="AJ36" s="314"/>
      <c r="AK36" s="259" t="s">
        <v>438</v>
      </c>
      <c r="AL36" s="1660"/>
      <c r="AM36" s="1660"/>
      <c r="AN36" s="1660"/>
      <c r="AO36" s="1660"/>
      <c r="AP36" s="1660"/>
      <c r="AQ36" s="1660"/>
      <c r="AR36" s="1660"/>
      <c r="AS36" s="1667" t="s">
        <v>438</v>
      </c>
      <c r="AT36" s="1660"/>
      <c r="AU36" s="1660"/>
      <c r="AV36" s="1660"/>
      <c r="AW36" s="1660"/>
      <c r="AX36" s="1660"/>
      <c r="AY36" s="1660"/>
      <c r="AZ36" s="1660"/>
      <c r="BA36" s="1667" t="s">
        <v>438</v>
      </c>
      <c r="BB36" s="1660"/>
      <c r="BC36" s="1660"/>
      <c r="BD36" s="1660"/>
      <c r="BE36" s="1660"/>
      <c r="BF36" s="1660"/>
      <c r="BG36" s="1660"/>
      <c r="BH36" s="1660"/>
      <c r="BI36" s="1667" t="s">
        <v>438</v>
      </c>
      <c r="BJ36" s="1660"/>
      <c r="BK36" s="1660"/>
      <c r="BL36" s="1660"/>
      <c r="BM36" s="1660"/>
      <c r="BN36" s="1660"/>
      <c r="BO36" s="1660"/>
      <c r="BP36" s="1660"/>
      <c r="BQ36" s="1667" t="s">
        <v>438</v>
      </c>
      <c r="BR36" s="1660"/>
      <c r="BS36" s="1660"/>
      <c r="BT36" s="1660"/>
      <c r="BU36" s="1660"/>
      <c r="BV36" s="1660"/>
      <c r="BW36" s="1660"/>
      <c r="BX36" s="1660"/>
      <c r="BY36" s="1667" t="s">
        <v>438</v>
      </c>
      <c r="BZ36" s="1660"/>
      <c r="CA36" s="1660"/>
      <c r="CB36" s="1660"/>
      <c r="CC36" s="1660"/>
      <c r="CD36" s="1660"/>
      <c r="CE36" s="1660"/>
      <c r="CF36" s="1660"/>
      <c r="CG36" s="1667" t="s">
        <v>438</v>
      </c>
      <c r="CH36" s="1660"/>
      <c r="CI36" s="1660"/>
      <c r="CJ36" s="1660"/>
      <c r="CK36" s="1660"/>
      <c r="CL36" s="1660"/>
      <c r="CM36" s="1660"/>
      <c r="CN36" s="1660"/>
      <c r="CO36" s="1667" t="s">
        <v>438</v>
      </c>
      <c r="CP36" s="1660"/>
      <c r="CQ36" s="1660"/>
      <c r="CR36" s="1660"/>
      <c r="CS36" s="1660"/>
      <c r="CT36" s="1660"/>
      <c r="CU36" s="1660"/>
      <c r="CV36" s="1660"/>
      <c r="CW36" s="1667" t="s">
        <v>438</v>
      </c>
      <c r="CX36" s="1660"/>
      <c r="CY36" s="1660"/>
      <c r="CZ36" s="1660"/>
      <c r="DA36" s="1660"/>
      <c r="DB36" s="1660"/>
      <c r="DC36" s="1660"/>
      <c r="DD36" s="1660"/>
      <c r="DE36" s="1667" t="s">
        <v>438</v>
      </c>
      <c r="DH36" s="360"/>
      <c r="DI36" s="360"/>
      <c r="DJ36" s="360"/>
      <c r="DK36" s="360"/>
      <c r="DL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c r="AL37" s="2106" t="s">
        <v>163</v>
      </c>
      <c r="AM37" s="2106"/>
      <c r="AN37" s="2106"/>
      <c r="AO37" s="2106"/>
      <c r="AP37" s="2106"/>
      <c r="AQ37" s="2106"/>
      <c r="AR37" s="2106"/>
      <c r="AS37" s="2106"/>
      <c r="AT37" s="2106" t="s">
        <v>163</v>
      </c>
      <c r="AU37" s="2106"/>
      <c r="AV37" s="2106"/>
      <c r="AW37" s="2106"/>
      <c r="AX37" s="2106"/>
      <c r="AY37" s="2106"/>
      <c r="AZ37" s="2106"/>
      <c r="BA37" s="2106"/>
      <c r="BB37" s="2106" t="s">
        <v>163</v>
      </c>
      <c r="BC37" s="2106"/>
      <c r="BD37" s="2106"/>
      <c r="BE37" s="2106"/>
      <c r="BF37" s="2106"/>
      <c r="BG37" s="2106"/>
      <c r="BH37" s="2106"/>
      <c r="BI37" s="2106"/>
      <c r="BJ37" s="2106" t="s">
        <v>163</v>
      </c>
      <c r="BK37" s="2106"/>
      <c r="BL37" s="2106"/>
      <c r="BM37" s="2106"/>
      <c r="BN37" s="2106"/>
      <c r="BO37" s="2106"/>
      <c r="BP37" s="2106"/>
      <c r="BQ37" s="2106"/>
      <c r="BR37" s="2106" t="s">
        <v>163</v>
      </c>
      <c r="BS37" s="2106"/>
      <c r="BT37" s="2106"/>
      <c r="BU37" s="2106"/>
      <c r="BV37" s="2106"/>
      <c r="BW37" s="2106"/>
      <c r="BX37" s="2106"/>
      <c r="BY37" s="2106"/>
      <c r="BZ37" s="2106" t="s">
        <v>163</v>
      </c>
      <c r="CA37" s="2106"/>
      <c r="CB37" s="2106"/>
      <c r="CC37" s="2106"/>
      <c r="CD37" s="2106"/>
      <c r="CE37" s="2106"/>
      <c r="CF37" s="2106"/>
      <c r="CG37" s="2106"/>
      <c r="CH37" s="2106" t="s">
        <v>163</v>
      </c>
      <c r="CI37" s="2106"/>
      <c r="CJ37" s="2106"/>
      <c r="CK37" s="2106"/>
      <c r="CL37" s="2106"/>
      <c r="CM37" s="2106"/>
      <c r="CN37" s="2106"/>
      <c r="CO37" s="2106"/>
      <c r="CP37" s="2106" t="s">
        <v>163</v>
      </c>
      <c r="CQ37" s="2106"/>
      <c r="CR37" s="2106"/>
      <c r="CS37" s="2106"/>
      <c r="CT37" s="2106"/>
      <c r="CU37" s="2106"/>
      <c r="CV37" s="2106"/>
      <c r="CW37" s="2106"/>
      <c r="CX37" s="2106" t="s">
        <v>163</v>
      </c>
      <c r="CY37" s="2106"/>
      <c r="CZ37" s="2106"/>
      <c r="DA37" s="2106"/>
      <c r="DB37" s="2106"/>
      <c r="DC37" s="2106"/>
      <c r="DD37" s="2106"/>
      <c r="DE37" s="2106"/>
    </row>
    <row customHeight="1" ht="14.25">
      <c r="Q38" s="368"/>
      <c r="R38" s="368"/>
      <c r="S38" s="1953" t="s">
        <v>312</v>
      </c>
      <c r="T38" s="1953"/>
      <c r="U38" s="1953"/>
      <c r="V38" s="1953"/>
      <c r="W38" s="1953"/>
      <c r="X38" s="1953"/>
      <c r="Y38" s="1953"/>
      <c r="Z38" s="1953"/>
      <c r="AA38" s="1953"/>
      <c r="AB38" s="1953"/>
      <c r="AC38" s="1953"/>
      <c r="AD38" s="1953"/>
      <c r="AE38" s="1953"/>
      <c r="AF38" s="1953"/>
      <c r="AG38" s="1953"/>
      <c r="AH38" s="1953"/>
      <c r="AI38" s="1953"/>
      <c r="AJ38" s="1953"/>
      <c r="AK38" s="1953"/>
      <c r="AL38" s="2017" t="s">
        <v>312</v>
      </c>
      <c r="AM38" s="2017"/>
      <c r="AN38" s="2017"/>
      <c r="AO38" s="2017"/>
      <c r="AP38" s="2017"/>
      <c r="AQ38" s="2017"/>
      <c r="AR38" s="2017"/>
      <c r="AS38" s="2017"/>
      <c r="AT38" s="2017" t="s">
        <v>312</v>
      </c>
      <c r="AU38" s="2017"/>
      <c r="AV38" s="2017"/>
      <c r="AW38" s="2017"/>
      <c r="AX38" s="2017"/>
      <c r="AY38" s="2017"/>
      <c r="AZ38" s="2017"/>
      <c r="BA38" s="2017"/>
      <c r="BB38" s="2017" t="s">
        <v>312</v>
      </c>
      <c r="BC38" s="2017"/>
      <c r="BD38" s="2017"/>
      <c r="BE38" s="2017"/>
      <c r="BF38" s="2017"/>
      <c r="BG38" s="2017"/>
      <c r="BH38" s="2017"/>
      <c r="BI38" s="2017"/>
      <c r="BJ38" s="2017" t="s">
        <v>312</v>
      </c>
      <c r="BK38" s="2017"/>
      <c r="BL38" s="2017"/>
      <c r="BM38" s="2017"/>
      <c r="BN38" s="2017"/>
      <c r="BO38" s="2017"/>
      <c r="BP38" s="2017"/>
      <c r="BQ38" s="2017"/>
      <c r="BR38" s="2017" t="s">
        <v>312</v>
      </c>
      <c r="BS38" s="2017"/>
      <c r="BT38" s="2017"/>
      <c r="BU38" s="2017"/>
      <c r="BV38" s="2017"/>
      <c r="BW38" s="2017"/>
      <c r="BX38" s="2017"/>
      <c r="BY38" s="2017"/>
      <c r="BZ38" s="2017" t="s">
        <v>312</v>
      </c>
      <c r="CA38" s="2017"/>
      <c r="CB38" s="2017"/>
      <c r="CC38" s="2017"/>
      <c r="CD38" s="2017"/>
      <c r="CE38" s="2017"/>
      <c r="CF38" s="2017"/>
      <c r="CG38" s="2017"/>
      <c r="CH38" s="2017" t="s">
        <v>312</v>
      </c>
      <c r="CI38" s="2017"/>
      <c r="CJ38" s="2017"/>
      <c r="CK38" s="2017"/>
      <c r="CL38" s="2017"/>
      <c r="CM38" s="2017"/>
      <c r="CN38" s="2017"/>
      <c r="CO38" s="2017"/>
      <c r="CP38" s="2017" t="s">
        <v>312</v>
      </c>
      <c r="CQ38" s="2017"/>
      <c r="CR38" s="2017"/>
      <c r="CS38" s="2017"/>
      <c r="CT38" s="2017"/>
      <c r="CU38" s="2017"/>
      <c r="CV38" s="2017"/>
      <c r="CW38" s="2017"/>
      <c r="CX38" s="2017" t="s">
        <v>312</v>
      </c>
      <c r="CY38" s="2017"/>
      <c r="CZ38" s="2017"/>
      <c r="DA38" s="2017"/>
      <c r="DB38" s="2017"/>
      <c r="DC38" s="2017"/>
      <c r="DD38" s="2017"/>
      <c r="DE38" s="2017"/>
      <c r="DF38" s="1953"/>
      <c r="DG38" s="1953"/>
    </row>
    <row customHeight="1" ht="14.25">
      <c r="Q39" s="368"/>
      <c r="R39" s="368"/>
      <c r="S39" s="2107" t="s">
        <v>87</v>
      </c>
      <c r="T39" s="2044" t="s">
        <v>439</v>
      </c>
      <c r="U39" s="281"/>
      <c r="V39" s="2108" t="s">
        <v>440</v>
      </c>
      <c r="W39" s="2109"/>
      <c r="X39" s="2128"/>
      <c r="Y39" s="2128"/>
      <c r="Z39" s="2109"/>
      <c r="AA39" s="2109"/>
      <c r="AB39" s="2110"/>
      <c r="AC39" s="2111" t="s">
        <v>441</v>
      </c>
      <c r="AD39" s="2108" t="s">
        <v>440</v>
      </c>
      <c r="AE39" s="2109"/>
      <c r="AF39" s="2128"/>
      <c r="AG39" s="2128"/>
      <c r="AH39" s="2109"/>
      <c r="AI39" s="2109"/>
      <c r="AJ39" s="2110"/>
      <c r="AK39" s="2111" t="s">
        <v>442</v>
      </c>
      <c r="AL39" s="2224" t="s">
        <v>440</v>
      </c>
      <c r="AM39" s="2225"/>
      <c r="AN39" s="2128"/>
      <c r="AO39" s="2128"/>
      <c r="AP39" s="2225"/>
      <c r="AQ39" s="2225"/>
      <c r="AR39" s="2226"/>
      <c r="AS39" s="2111" t="s">
        <v>441</v>
      </c>
      <c r="AT39" s="2224" t="s">
        <v>440</v>
      </c>
      <c r="AU39" s="2225"/>
      <c r="AV39" s="2128"/>
      <c r="AW39" s="2128"/>
      <c r="AX39" s="2225"/>
      <c r="AY39" s="2225"/>
      <c r="AZ39" s="2226"/>
      <c r="BA39" s="2111" t="s">
        <v>441</v>
      </c>
      <c r="BB39" s="2224" t="s">
        <v>440</v>
      </c>
      <c r="BC39" s="2225"/>
      <c r="BD39" s="2128"/>
      <c r="BE39" s="2128"/>
      <c r="BF39" s="2225"/>
      <c r="BG39" s="2225"/>
      <c r="BH39" s="2226"/>
      <c r="BI39" s="2111" t="s">
        <v>441</v>
      </c>
      <c r="BJ39" s="2224" t="s">
        <v>440</v>
      </c>
      <c r="BK39" s="2225"/>
      <c r="BL39" s="2128"/>
      <c r="BM39" s="2128"/>
      <c r="BN39" s="2225"/>
      <c r="BO39" s="2225"/>
      <c r="BP39" s="2226"/>
      <c r="BQ39" s="2111" t="s">
        <v>441</v>
      </c>
      <c r="BR39" s="2224" t="s">
        <v>440</v>
      </c>
      <c r="BS39" s="2225"/>
      <c r="BT39" s="2128"/>
      <c r="BU39" s="2128"/>
      <c r="BV39" s="2225"/>
      <c r="BW39" s="2225"/>
      <c r="BX39" s="2226"/>
      <c r="BY39" s="2111" t="s">
        <v>441</v>
      </c>
      <c r="BZ39" s="2224" t="s">
        <v>440</v>
      </c>
      <c r="CA39" s="2225"/>
      <c r="CB39" s="2128"/>
      <c r="CC39" s="2128"/>
      <c r="CD39" s="2225"/>
      <c r="CE39" s="2225"/>
      <c r="CF39" s="2226"/>
      <c r="CG39" s="2111" t="s">
        <v>441</v>
      </c>
      <c r="CH39" s="2224" t="s">
        <v>440</v>
      </c>
      <c r="CI39" s="2225"/>
      <c r="CJ39" s="2128"/>
      <c r="CK39" s="2128"/>
      <c r="CL39" s="2225"/>
      <c r="CM39" s="2225"/>
      <c r="CN39" s="2226"/>
      <c r="CO39" s="2111" t="s">
        <v>441</v>
      </c>
      <c r="CP39" s="2224" t="s">
        <v>440</v>
      </c>
      <c r="CQ39" s="2225"/>
      <c r="CR39" s="2128"/>
      <c r="CS39" s="2128"/>
      <c r="CT39" s="2225"/>
      <c r="CU39" s="2225"/>
      <c r="CV39" s="2226"/>
      <c r="CW39" s="2111" t="s">
        <v>441</v>
      </c>
      <c r="CX39" s="2224" t="s">
        <v>440</v>
      </c>
      <c r="CY39" s="2225"/>
      <c r="CZ39" s="2128"/>
      <c r="DA39" s="2128"/>
      <c r="DB39" s="2225"/>
      <c r="DC39" s="2225"/>
      <c r="DD39" s="2226"/>
      <c r="DE39" s="2111" t="s">
        <v>441</v>
      </c>
      <c r="DF39" s="2114" t="s">
        <v>443</v>
      </c>
      <c r="DG39" s="1953"/>
    </row>
    <row customHeight="1" ht="23.25">
      <c r="Q40" s="368"/>
      <c r="R40" s="368"/>
      <c r="S40" s="2107"/>
      <c r="T40" s="2044"/>
      <c r="U40" s="1026"/>
      <c r="V40" s="2124" t="s">
        <v>444</v>
      </c>
      <c r="W40" s="2126" t="s">
        <v>445</v>
      </c>
      <c r="X40" s="1393" t="s">
        <v>446</v>
      </c>
      <c r="Y40" s="1393"/>
      <c r="Z40" s="2101" t="s">
        <v>447</v>
      </c>
      <c r="AA40" s="2101"/>
      <c r="AB40" s="2102"/>
      <c r="AC40" s="2112"/>
      <c r="AD40" s="2124" t="s">
        <v>444</v>
      </c>
      <c r="AE40" s="2126" t="s">
        <v>445</v>
      </c>
      <c r="AF40" s="1393" t="s">
        <v>446</v>
      </c>
      <c r="AG40" s="1393"/>
      <c r="AH40" s="2101" t="s">
        <v>447</v>
      </c>
      <c r="AI40" s="2101"/>
      <c r="AJ40" s="2102"/>
      <c r="AK40" s="2112"/>
      <c r="AL40" s="1676" t="s">
        <v>444</v>
      </c>
      <c r="AM40" s="2011" t="s">
        <v>445</v>
      </c>
      <c r="AN40" s="1007" t="s">
        <v>446</v>
      </c>
      <c r="AO40" s="1007"/>
      <c r="AP40" s="2016" t="s">
        <v>447</v>
      </c>
      <c r="AQ40" s="2016"/>
      <c r="AR40" s="1939"/>
      <c r="AS40" s="2112"/>
      <c r="AT40" s="1676" t="s">
        <v>444</v>
      </c>
      <c r="AU40" s="2011" t="s">
        <v>445</v>
      </c>
      <c r="AV40" s="1007" t="s">
        <v>446</v>
      </c>
      <c r="AW40" s="1007"/>
      <c r="AX40" s="2016" t="s">
        <v>447</v>
      </c>
      <c r="AY40" s="2016"/>
      <c r="AZ40" s="1939"/>
      <c r="BA40" s="2112"/>
      <c r="BB40" s="1676" t="s">
        <v>444</v>
      </c>
      <c r="BC40" s="2011" t="s">
        <v>445</v>
      </c>
      <c r="BD40" s="1007" t="s">
        <v>446</v>
      </c>
      <c r="BE40" s="1007"/>
      <c r="BF40" s="2016" t="s">
        <v>447</v>
      </c>
      <c r="BG40" s="2016"/>
      <c r="BH40" s="1939"/>
      <c r="BI40" s="2112"/>
      <c r="BJ40" s="1676" t="s">
        <v>444</v>
      </c>
      <c r="BK40" s="2011" t="s">
        <v>445</v>
      </c>
      <c r="BL40" s="1007" t="s">
        <v>446</v>
      </c>
      <c r="BM40" s="1007"/>
      <c r="BN40" s="2016" t="s">
        <v>447</v>
      </c>
      <c r="BO40" s="2016"/>
      <c r="BP40" s="1939"/>
      <c r="BQ40" s="2112"/>
      <c r="BR40" s="1676" t="s">
        <v>444</v>
      </c>
      <c r="BS40" s="2011" t="s">
        <v>445</v>
      </c>
      <c r="BT40" s="1007" t="s">
        <v>446</v>
      </c>
      <c r="BU40" s="1007"/>
      <c r="BV40" s="2016" t="s">
        <v>447</v>
      </c>
      <c r="BW40" s="2016"/>
      <c r="BX40" s="1939"/>
      <c r="BY40" s="2112"/>
      <c r="BZ40" s="1676" t="s">
        <v>444</v>
      </c>
      <c r="CA40" s="2011" t="s">
        <v>445</v>
      </c>
      <c r="CB40" s="1007" t="s">
        <v>446</v>
      </c>
      <c r="CC40" s="1007"/>
      <c r="CD40" s="2016" t="s">
        <v>447</v>
      </c>
      <c r="CE40" s="2016"/>
      <c r="CF40" s="1939"/>
      <c r="CG40" s="2112"/>
      <c r="CH40" s="1676" t="s">
        <v>444</v>
      </c>
      <c r="CI40" s="2011" t="s">
        <v>445</v>
      </c>
      <c r="CJ40" s="1007" t="s">
        <v>446</v>
      </c>
      <c r="CK40" s="1007"/>
      <c r="CL40" s="2016" t="s">
        <v>447</v>
      </c>
      <c r="CM40" s="2016"/>
      <c r="CN40" s="1939"/>
      <c r="CO40" s="2112"/>
      <c r="CP40" s="1676" t="s">
        <v>444</v>
      </c>
      <c r="CQ40" s="2011" t="s">
        <v>445</v>
      </c>
      <c r="CR40" s="1007" t="s">
        <v>446</v>
      </c>
      <c r="CS40" s="1007"/>
      <c r="CT40" s="2016" t="s">
        <v>447</v>
      </c>
      <c r="CU40" s="2016"/>
      <c r="CV40" s="1939"/>
      <c r="CW40" s="2112"/>
      <c r="CX40" s="1676" t="s">
        <v>444</v>
      </c>
      <c r="CY40" s="2011" t="s">
        <v>445</v>
      </c>
      <c r="CZ40" s="1007" t="s">
        <v>446</v>
      </c>
      <c r="DA40" s="1007"/>
      <c r="DB40" s="2016" t="s">
        <v>447</v>
      </c>
      <c r="DC40" s="2016"/>
      <c r="DD40" s="1939"/>
      <c r="DE40" s="2112"/>
      <c r="DF40" s="2115"/>
      <c r="DG40" s="1953"/>
    </row>
    <row s="1282" customFormat="1" customHeight="1" ht="23.25">
      <c r="A41" s="1387"/>
      <c r="B41" s="1387" t="s">
        <v>134</v>
      </c>
      <c r="C41" s="1387" t="s">
        <v>135</v>
      </c>
      <c r="D41" s="1387" t="s">
        <v>136</v>
      </c>
      <c r="E41" s="1381" t="s">
        <v>448</v>
      </c>
      <c r="F41" s="1381" t="s">
        <v>449</v>
      </c>
      <c r="G41" s="1381" t="s">
        <v>450</v>
      </c>
      <c r="H41" s="1381" t="s">
        <v>451</v>
      </c>
      <c r="I41" s="1381" t="s">
        <v>452</v>
      </c>
      <c r="J41" s="1381" t="s">
        <v>453</v>
      </c>
      <c r="K41" s="1381" t="s">
        <v>454</v>
      </c>
      <c r="L41" s="1381" t="s">
        <v>429</v>
      </c>
      <c r="M41" s="1379"/>
      <c r="N41" s="1379"/>
      <c r="O41" s="1379"/>
      <c r="P41" s="1345"/>
      <c r="Q41" s="368"/>
      <c r="R41" s="368"/>
      <c r="S41" s="2107"/>
      <c r="T41" s="2044"/>
      <c r="U41" s="282"/>
      <c r="V41" s="2125"/>
      <c r="W41" s="2127"/>
      <c r="X41" s="1390" t="s">
        <v>455</v>
      </c>
      <c r="Y41" s="1390" t="s">
        <v>456</v>
      </c>
      <c r="Z41" s="1351" t="s">
        <v>457</v>
      </c>
      <c r="AA41" s="2103" t="s">
        <v>458</v>
      </c>
      <c r="AB41" s="2104"/>
      <c r="AC41" s="2113"/>
      <c r="AD41" s="2125"/>
      <c r="AE41" s="2127"/>
      <c r="AF41" s="1390" t="s">
        <v>455</v>
      </c>
      <c r="AG41" s="1390" t="s">
        <v>456</v>
      </c>
      <c r="AH41" s="1351" t="s">
        <v>457</v>
      </c>
      <c r="AI41" s="2103" t="s">
        <v>458</v>
      </c>
      <c r="AJ41" s="2104"/>
      <c r="AK41" s="2113"/>
      <c r="AL41" s="789"/>
      <c r="AM41" s="2019"/>
      <c r="AN41" s="1008" t="s">
        <v>455</v>
      </c>
      <c r="AO41" s="1008" t="s">
        <v>456</v>
      </c>
      <c r="AP41" s="2066" t="s">
        <v>457</v>
      </c>
      <c r="AQ41" s="2050" t="s">
        <v>458</v>
      </c>
      <c r="AR41" s="2066"/>
      <c r="AS41" s="2113"/>
      <c r="AT41" s="789"/>
      <c r="AU41" s="2019"/>
      <c r="AV41" s="1008" t="s">
        <v>455</v>
      </c>
      <c r="AW41" s="1008" t="s">
        <v>456</v>
      </c>
      <c r="AX41" s="2066" t="s">
        <v>457</v>
      </c>
      <c r="AY41" s="2050" t="s">
        <v>458</v>
      </c>
      <c r="AZ41" s="2066"/>
      <c r="BA41" s="2113"/>
      <c r="BB41" s="789"/>
      <c r="BC41" s="2019"/>
      <c r="BD41" s="1008" t="s">
        <v>455</v>
      </c>
      <c r="BE41" s="1008" t="s">
        <v>456</v>
      </c>
      <c r="BF41" s="2066" t="s">
        <v>457</v>
      </c>
      <c r="BG41" s="2050" t="s">
        <v>458</v>
      </c>
      <c r="BH41" s="2066"/>
      <c r="BI41" s="2113"/>
      <c r="BJ41" s="789"/>
      <c r="BK41" s="2019"/>
      <c r="BL41" s="1008" t="s">
        <v>455</v>
      </c>
      <c r="BM41" s="1008" t="s">
        <v>456</v>
      </c>
      <c r="BN41" s="2066" t="s">
        <v>457</v>
      </c>
      <c r="BO41" s="2050" t="s">
        <v>458</v>
      </c>
      <c r="BP41" s="2066"/>
      <c r="BQ41" s="2113"/>
      <c r="BR41" s="789"/>
      <c r="BS41" s="2019"/>
      <c r="BT41" s="1008" t="s">
        <v>455</v>
      </c>
      <c r="BU41" s="1008" t="s">
        <v>456</v>
      </c>
      <c r="BV41" s="2066" t="s">
        <v>457</v>
      </c>
      <c r="BW41" s="2050" t="s">
        <v>458</v>
      </c>
      <c r="BX41" s="2066"/>
      <c r="BY41" s="2113"/>
      <c r="BZ41" s="789"/>
      <c r="CA41" s="2019"/>
      <c r="CB41" s="1008" t="s">
        <v>455</v>
      </c>
      <c r="CC41" s="1008" t="s">
        <v>456</v>
      </c>
      <c r="CD41" s="2066" t="s">
        <v>457</v>
      </c>
      <c r="CE41" s="2050" t="s">
        <v>458</v>
      </c>
      <c r="CF41" s="2066"/>
      <c r="CG41" s="2113"/>
      <c r="CH41" s="789"/>
      <c r="CI41" s="2019"/>
      <c r="CJ41" s="1008" t="s">
        <v>455</v>
      </c>
      <c r="CK41" s="1008" t="s">
        <v>456</v>
      </c>
      <c r="CL41" s="2066" t="s">
        <v>457</v>
      </c>
      <c r="CM41" s="2050" t="s">
        <v>458</v>
      </c>
      <c r="CN41" s="2066"/>
      <c r="CO41" s="2113"/>
      <c r="CP41" s="789"/>
      <c r="CQ41" s="2019"/>
      <c r="CR41" s="1008" t="s">
        <v>455</v>
      </c>
      <c r="CS41" s="1008" t="s">
        <v>456</v>
      </c>
      <c r="CT41" s="2066" t="s">
        <v>457</v>
      </c>
      <c r="CU41" s="2050" t="s">
        <v>458</v>
      </c>
      <c r="CV41" s="2066"/>
      <c r="CW41" s="2113"/>
      <c r="CX41" s="789"/>
      <c r="CY41" s="2019"/>
      <c r="CZ41" s="1008" t="s">
        <v>455</v>
      </c>
      <c r="DA41" s="1008" t="s">
        <v>456</v>
      </c>
      <c r="DB41" s="2066" t="s">
        <v>457</v>
      </c>
      <c r="DC41" s="2050" t="s">
        <v>458</v>
      </c>
      <c r="DD41" s="2066"/>
      <c r="DE41" s="2113"/>
      <c r="DF41" s="2116"/>
      <c r="DG41" s="1953"/>
      <c r="DH41" s="507"/>
      <c r="DI41" s="496"/>
      <c r="DJ41" s="496"/>
      <c r="DK41" s="496"/>
      <c r="DL41" s="496"/>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8">
        <f>OFFSET(X42,0,-1)+1</f>
        <v>1</v>
      </c>
      <c r="Y42" s="1358">
        <f>OFFSET(Y42,0,-1)+1</f>
        <v>2</v>
      </c>
      <c r="Z42" s="1352">
        <f>OFFSET(Z42,0,-1)+1</f>
        <v>3</v>
      </c>
      <c r="AA42" s="2105">
        <f>OFFSET(AA42,0,-1)+1</f>
        <v>4</v>
      </c>
      <c r="AB42" s="2105"/>
      <c r="AC42" s="1352">
        <f>OFFSET(AC42,0,-2)+1</f>
        <v>5</v>
      </c>
      <c r="AD42" s="1352">
        <f>OFFSET(AD42,0,-1)+1</f>
        <v>6</v>
      </c>
      <c r="AE42" s="1352"/>
      <c r="AF42" s="1358">
        <f>OFFSET(AF42,0,-1)+1</f>
        <v>1</v>
      </c>
      <c r="AG42" s="1358">
        <f>OFFSET(AG42,0,-1)+1</f>
        <v>2</v>
      </c>
      <c r="AH42" s="1352">
        <f>OFFSET(AH42,0,-1)+1</f>
        <v>3</v>
      </c>
      <c r="AI42" s="2105">
        <f>OFFSET(AI42,0,-1)+1</f>
        <v>4</v>
      </c>
      <c r="AJ42" s="2105"/>
      <c r="AK42" s="1352">
        <f>OFFSET(AK42,0,-2)+1</f>
        <v>5</v>
      </c>
      <c r="AL42" s="2105">
        <f>OFFSET(AL42,0,-1)+1</f>
        <v>3</v>
      </c>
      <c r="AM42" s="2105"/>
      <c r="AN42" s="1358">
        <f>OFFSET(AN42,0,-1)+1</f>
        <v>1</v>
      </c>
      <c r="AO42" s="1358">
        <f>OFFSET(AO42,0,-1)+1</f>
        <v>2</v>
      </c>
      <c r="AP42" s="2105">
        <f>OFFSET(AP42,0,-1)+1</f>
        <v>3</v>
      </c>
      <c r="AQ42" s="2105">
        <f>OFFSET(AQ42,0,-1)+1</f>
        <v>4</v>
      </c>
      <c r="AR42" s="2105"/>
      <c r="AS42" s="2105">
        <f>OFFSET(AS42,0,-2)+1</f>
        <v>5</v>
      </c>
      <c r="AT42" s="2105">
        <f>OFFSET(AT42,0,-1)+1</f>
        <v>3</v>
      </c>
      <c r="AU42" s="2105"/>
      <c r="AV42" s="1358">
        <f>OFFSET(AV42,0,-1)+1</f>
        <v>1</v>
      </c>
      <c r="AW42" s="1358">
        <f>OFFSET(AW42,0,-1)+1</f>
        <v>2</v>
      </c>
      <c r="AX42" s="2105">
        <f>OFFSET(AX42,0,-1)+1</f>
        <v>3</v>
      </c>
      <c r="AY42" s="2105">
        <f>OFFSET(AY42,0,-1)+1</f>
        <v>4</v>
      </c>
      <c r="AZ42" s="2105"/>
      <c r="BA42" s="2105">
        <f>OFFSET(BA42,0,-2)+1</f>
        <v>5</v>
      </c>
      <c r="BB42" s="2105">
        <f>OFFSET(BB42,0,-1)+1</f>
        <v>3</v>
      </c>
      <c r="BC42" s="2105"/>
      <c r="BD42" s="1358">
        <f>OFFSET(BD42,0,-1)+1</f>
        <v>1</v>
      </c>
      <c r="BE42" s="1358">
        <f>OFFSET(BE42,0,-1)+1</f>
        <v>2</v>
      </c>
      <c r="BF42" s="2105">
        <f>OFFSET(BF42,0,-1)+1</f>
        <v>3</v>
      </c>
      <c r="BG42" s="2105">
        <f>OFFSET(BG42,0,-1)+1</f>
        <v>4</v>
      </c>
      <c r="BH42" s="2105"/>
      <c r="BI42" s="2105">
        <f>OFFSET(BI42,0,-2)+1</f>
        <v>5</v>
      </c>
      <c r="BJ42" s="2105">
        <f>OFFSET(BJ42,0,-1)+1</f>
        <v>3</v>
      </c>
      <c r="BK42" s="2105"/>
      <c r="BL42" s="1358">
        <f>OFFSET(BL42,0,-1)+1</f>
        <v>1</v>
      </c>
      <c r="BM42" s="1358">
        <f>OFFSET(BM42,0,-1)+1</f>
        <v>2</v>
      </c>
      <c r="BN42" s="2105">
        <f>OFFSET(BN42,0,-1)+1</f>
        <v>3</v>
      </c>
      <c r="BO42" s="2105">
        <f>OFFSET(BO42,0,-1)+1</f>
        <v>4</v>
      </c>
      <c r="BP42" s="2105"/>
      <c r="BQ42" s="2105">
        <f>OFFSET(BQ42,0,-2)+1</f>
        <v>5</v>
      </c>
      <c r="BR42" s="2105">
        <f>OFFSET(BR42,0,-1)+1</f>
        <v>3</v>
      </c>
      <c r="BS42" s="2105"/>
      <c r="BT42" s="1358">
        <f>OFFSET(BT42,0,-1)+1</f>
        <v>1</v>
      </c>
      <c r="BU42" s="1358">
        <f>OFFSET(BU42,0,-1)+1</f>
        <v>2</v>
      </c>
      <c r="BV42" s="2105">
        <f>OFFSET(BV42,0,-1)+1</f>
        <v>3</v>
      </c>
      <c r="BW42" s="2105">
        <f>OFFSET(BW42,0,-1)+1</f>
        <v>4</v>
      </c>
      <c r="BX42" s="2105"/>
      <c r="BY42" s="2105">
        <f>OFFSET(BY42,0,-2)+1</f>
        <v>5</v>
      </c>
      <c r="BZ42" s="2105">
        <f>OFFSET(BZ42,0,-1)+1</f>
        <v>3</v>
      </c>
      <c r="CA42" s="2105"/>
      <c r="CB42" s="1358">
        <f>OFFSET(CB42,0,-1)+1</f>
        <v>1</v>
      </c>
      <c r="CC42" s="1358">
        <f>OFFSET(CC42,0,-1)+1</f>
        <v>2</v>
      </c>
      <c r="CD42" s="2105">
        <f>OFFSET(CD42,0,-1)+1</f>
        <v>3</v>
      </c>
      <c r="CE42" s="2105">
        <f>OFFSET(CE42,0,-1)+1</f>
        <v>4</v>
      </c>
      <c r="CF42" s="2105"/>
      <c r="CG42" s="2105">
        <f>OFFSET(CG42,0,-2)+1</f>
        <v>5</v>
      </c>
      <c r="CH42" s="2105">
        <f>OFFSET(CH42,0,-1)+1</f>
        <v>3</v>
      </c>
      <c r="CI42" s="2105"/>
      <c r="CJ42" s="1358">
        <f>OFFSET(CJ42,0,-1)+1</f>
        <v>1</v>
      </c>
      <c r="CK42" s="1358">
        <f>OFFSET(CK42,0,-1)+1</f>
        <v>2</v>
      </c>
      <c r="CL42" s="2105">
        <f>OFFSET(CL42,0,-1)+1</f>
        <v>3</v>
      </c>
      <c r="CM42" s="2105">
        <f>OFFSET(CM42,0,-1)+1</f>
        <v>4</v>
      </c>
      <c r="CN42" s="2105"/>
      <c r="CO42" s="2105">
        <f>OFFSET(CO42,0,-2)+1</f>
        <v>5</v>
      </c>
      <c r="CP42" s="2105">
        <f>OFFSET(CP42,0,-1)+1</f>
        <v>3</v>
      </c>
      <c r="CQ42" s="2105"/>
      <c r="CR42" s="1358">
        <f>OFFSET(CR42,0,-1)+1</f>
        <v>1</v>
      </c>
      <c r="CS42" s="1358">
        <f>OFFSET(CS42,0,-1)+1</f>
        <v>2</v>
      </c>
      <c r="CT42" s="2105">
        <f>OFFSET(CT42,0,-1)+1</f>
        <v>3</v>
      </c>
      <c r="CU42" s="2105">
        <f>OFFSET(CU42,0,-1)+1</f>
        <v>4</v>
      </c>
      <c r="CV42" s="2105"/>
      <c r="CW42" s="2105">
        <f>OFFSET(CW42,0,-2)+1</f>
        <v>5</v>
      </c>
      <c r="CX42" s="2105">
        <f>OFFSET(CX42,0,-1)+1</f>
        <v>3</v>
      </c>
      <c r="CY42" s="2105"/>
      <c r="CZ42" s="1358">
        <f>OFFSET(CZ42,0,-1)+1</f>
        <v>1</v>
      </c>
      <c r="DA42" s="1358">
        <f>OFFSET(DA42,0,-1)+1</f>
        <v>2</v>
      </c>
      <c r="DB42" s="2105">
        <f>OFFSET(DB42,0,-1)+1</f>
        <v>3</v>
      </c>
      <c r="DC42" s="2105">
        <f>OFFSET(DC42,0,-1)+1</f>
        <v>4</v>
      </c>
      <c r="DD42" s="2105"/>
      <c r="DE42" s="2105">
        <f>OFFSET(DE42,0,-2)+1</f>
        <v>5</v>
      </c>
      <c r="DF42" s="1250">
        <f>OFFSET(DF42,0,-1)</f>
        <v>5</v>
      </c>
      <c r="DG42" s="1352">
        <f>OFFSET(DG42,0,-1)+1</f>
        <v>6</v>
      </c>
      <c r="DH42" s="507"/>
      <c r="DI42" s="507"/>
      <c r="DJ42" s="507"/>
      <c r="DK42" s="507"/>
      <c r="DL42" s="507"/>
    </row>
    <row customHeight="1" ht="21">
      <c r="A43" s="1380" t="s">
        <v>218</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1</v>
      </c>
      <c r="T43" s="278" t="s">
        <v>122</v>
      </c>
      <c r="U43" s="280"/>
      <c r="V43" s="2083"/>
      <c r="W43" s="2084"/>
      <c r="X43" s="2084"/>
      <c r="Y43" s="2084"/>
      <c r="Z43" s="2084"/>
      <c r="AA43" s="2084"/>
      <c r="AB43" s="2084"/>
      <c r="AC43" s="2085"/>
      <c r="AD43" s="2083" t="str">
        <f>INDEX(PT_DIFFERENTIATION_NTAR,MATCH(A43,PT_DIFFERENTIATION_NTAR_ID,0))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AE43" s="2084"/>
      <c r="AF43" s="2084"/>
      <c r="AG43" s="2084"/>
      <c r="AH43" s="2084"/>
      <c r="AI43" s="2084"/>
      <c r="AJ43" s="2084"/>
      <c r="AK43" s="2084"/>
      <c r="AL43" s="2083"/>
      <c r="AM43" s="2084"/>
      <c r="AN43" s="2084"/>
      <c r="AO43" s="2084"/>
      <c r="AP43" s="2084"/>
      <c r="AQ43" s="2084"/>
      <c r="AR43" s="2084"/>
      <c r="AS43" s="2085"/>
      <c r="AT43" s="2083"/>
      <c r="AU43" s="2084"/>
      <c r="AV43" s="2084"/>
      <c r="AW43" s="2084"/>
      <c r="AX43" s="2084"/>
      <c r="AY43" s="2084"/>
      <c r="AZ43" s="2084"/>
      <c r="BA43" s="2085"/>
      <c r="BB43" s="2083"/>
      <c r="BC43" s="2084"/>
      <c r="BD43" s="2084"/>
      <c r="BE43" s="2084"/>
      <c r="BF43" s="2084"/>
      <c r="BG43" s="2084"/>
      <c r="BH43" s="2084"/>
      <c r="BI43" s="2085"/>
      <c r="BJ43" s="2083"/>
      <c r="BK43" s="2084"/>
      <c r="BL43" s="2084"/>
      <c r="BM43" s="2084"/>
      <c r="BN43" s="2084"/>
      <c r="BO43" s="2084"/>
      <c r="BP43" s="2084"/>
      <c r="BQ43" s="2085"/>
      <c r="BR43" s="2083"/>
      <c r="BS43" s="2084"/>
      <c r="BT43" s="2084"/>
      <c r="BU43" s="2084"/>
      <c r="BV43" s="2084"/>
      <c r="BW43" s="2084"/>
      <c r="BX43" s="2084"/>
      <c r="BY43" s="2085"/>
      <c r="BZ43" s="2083"/>
      <c r="CA43" s="2084"/>
      <c r="CB43" s="2084"/>
      <c r="CC43" s="2084"/>
      <c r="CD43" s="2084"/>
      <c r="CE43" s="2084"/>
      <c r="CF43" s="2084"/>
      <c r="CG43" s="2085"/>
      <c r="CH43" s="2083"/>
      <c r="CI43" s="2084"/>
      <c r="CJ43" s="2084"/>
      <c r="CK43" s="2084"/>
      <c r="CL43" s="2084"/>
      <c r="CM43" s="2084"/>
      <c r="CN43" s="2084"/>
      <c r="CO43" s="2085"/>
      <c r="CP43" s="2083"/>
      <c r="CQ43" s="2084"/>
      <c r="CR43" s="2084"/>
      <c r="CS43" s="2084"/>
      <c r="CT43" s="2084"/>
      <c r="CU43" s="2084"/>
      <c r="CV43" s="2084"/>
      <c r="CW43" s="2085"/>
      <c r="CX43" s="2083"/>
      <c r="CY43" s="2084"/>
      <c r="CZ43" s="2084"/>
      <c r="DA43" s="2084"/>
      <c r="DB43" s="2084"/>
      <c r="DC43" s="2084"/>
      <c r="DD43" s="2084"/>
      <c r="DE43" s="2085"/>
      <c r="DF43" s="2085"/>
      <c r="DG43" s="1273"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I43" s="496"/>
      <c r="DJ43" s="496" t="str">
        <f>IF(T43="","",T43)</f>
        <v>Наименование тарифа</v>
      </c>
      <c r="DK43" s="496"/>
      <c r="DL43" s="496"/>
    </row>
    <row customHeight="1" ht="21">
      <c r="A44" s="1380" t="s">
        <v>218</v>
      </c>
      <c r="B44" s="1380" t="s">
        <v>219</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1.1</v>
      </c>
      <c r="T44" s="290" t="s">
        <v>411</v>
      </c>
      <c r="U44" s="280"/>
      <c r="V44" s="2083"/>
      <c r="W44" s="2084"/>
      <c r="X44" s="2084"/>
      <c r="Y44" s="2084"/>
      <c r="Z44" s="2084"/>
      <c r="AA44" s="2084"/>
      <c r="AB44" s="2084"/>
      <c r="AC44" s="2085"/>
      <c r="AD44" s="2083" t="str">
        <f>INDEX(PT_DIFFERENTIATION_TER,MATCH(B44,PT_DIFFERENTIATION_TER_ID,0))</f>
        <v>без дифференциации</v>
      </c>
      <c r="AE44" s="2084"/>
      <c r="AF44" s="2084"/>
      <c r="AG44" s="2084"/>
      <c r="AH44" s="2084"/>
      <c r="AI44" s="2084"/>
      <c r="AJ44" s="2084"/>
      <c r="AK44" s="2084"/>
      <c r="AL44" s="2083"/>
      <c r="AM44" s="2084"/>
      <c r="AN44" s="2084"/>
      <c r="AO44" s="2084"/>
      <c r="AP44" s="2084"/>
      <c r="AQ44" s="2084"/>
      <c r="AR44" s="2084"/>
      <c r="AS44" s="2085"/>
      <c r="AT44" s="2083"/>
      <c r="AU44" s="2084"/>
      <c r="AV44" s="2084"/>
      <c r="AW44" s="2084"/>
      <c r="AX44" s="2084"/>
      <c r="AY44" s="2084"/>
      <c r="AZ44" s="2084"/>
      <c r="BA44" s="2085"/>
      <c r="BB44" s="2083"/>
      <c r="BC44" s="2084"/>
      <c r="BD44" s="2084"/>
      <c r="BE44" s="2084"/>
      <c r="BF44" s="2084"/>
      <c r="BG44" s="2084"/>
      <c r="BH44" s="2084"/>
      <c r="BI44" s="2085"/>
      <c r="BJ44" s="2083"/>
      <c r="BK44" s="2084"/>
      <c r="BL44" s="2084"/>
      <c r="BM44" s="2084"/>
      <c r="BN44" s="2084"/>
      <c r="BO44" s="2084"/>
      <c r="BP44" s="2084"/>
      <c r="BQ44" s="2085"/>
      <c r="BR44" s="2083"/>
      <c r="BS44" s="2084"/>
      <c r="BT44" s="2084"/>
      <c r="BU44" s="2084"/>
      <c r="BV44" s="2084"/>
      <c r="BW44" s="2084"/>
      <c r="BX44" s="2084"/>
      <c r="BY44" s="2085"/>
      <c r="BZ44" s="2083"/>
      <c r="CA44" s="2084"/>
      <c r="CB44" s="2084"/>
      <c r="CC44" s="2084"/>
      <c r="CD44" s="2084"/>
      <c r="CE44" s="2084"/>
      <c r="CF44" s="2084"/>
      <c r="CG44" s="2085"/>
      <c r="CH44" s="2083"/>
      <c r="CI44" s="2084"/>
      <c r="CJ44" s="2084"/>
      <c r="CK44" s="2084"/>
      <c r="CL44" s="2084"/>
      <c r="CM44" s="2084"/>
      <c r="CN44" s="2084"/>
      <c r="CO44" s="2085"/>
      <c r="CP44" s="2083"/>
      <c r="CQ44" s="2084"/>
      <c r="CR44" s="2084"/>
      <c r="CS44" s="2084"/>
      <c r="CT44" s="2084"/>
      <c r="CU44" s="2084"/>
      <c r="CV44" s="2084"/>
      <c r="CW44" s="2085"/>
      <c r="CX44" s="2083"/>
      <c r="CY44" s="2084"/>
      <c r="CZ44" s="2084"/>
      <c r="DA44" s="2084"/>
      <c r="DB44" s="2084"/>
      <c r="DC44" s="2084"/>
      <c r="DD44" s="2084"/>
      <c r="DE44" s="2085"/>
      <c r="DF44" s="2085"/>
      <c r="DG44" s="1273" t="s">
        <v>412</v>
      </c>
      <c r="DI44" s="496"/>
      <c r="DJ44" s="496" t="str">
        <f>IF(T44="","",T44)</f>
        <v>Территория действия тарифа</v>
      </c>
      <c r="DK44" s="496"/>
      <c r="DL44" s="496"/>
    </row>
    <row customHeight="1" ht="23.25">
      <c r="A45" s="1380" t="s">
        <v>218</v>
      </c>
      <c r="B45" s="1380" t="s">
        <v>219</v>
      </c>
      <c r="C45" s="1380" t="s">
        <v>220</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1.1.1</v>
      </c>
      <c r="T45" s="291" t="s">
        <v>413</v>
      </c>
      <c r="U45" s="280"/>
      <c r="V45" s="2083"/>
      <c r="W45" s="2084"/>
      <c r="X45" s="2084"/>
      <c r="Y45" s="2084"/>
      <c r="Z45" s="2084"/>
      <c r="AA45" s="2084"/>
      <c r="AB45" s="2084"/>
      <c r="AC45" s="2085"/>
      <c r="AD45" s="2083" t="str">
        <f>INDEX(PT_DIFFERENTIATION_CS,MATCH(C45,PT_DIFFERENTIATION_CS_ID,0))</f>
        <v>без дифференциации</v>
      </c>
      <c r="AE45" s="2084"/>
      <c r="AF45" s="2084"/>
      <c r="AG45" s="2084"/>
      <c r="AH45" s="2084"/>
      <c r="AI45" s="2084"/>
      <c r="AJ45" s="2084"/>
      <c r="AK45" s="2084"/>
      <c r="AL45" s="2083"/>
      <c r="AM45" s="2084"/>
      <c r="AN45" s="2084"/>
      <c r="AO45" s="2084"/>
      <c r="AP45" s="2084"/>
      <c r="AQ45" s="2084"/>
      <c r="AR45" s="2084"/>
      <c r="AS45" s="2085"/>
      <c r="AT45" s="2083"/>
      <c r="AU45" s="2084"/>
      <c r="AV45" s="2084"/>
      <c r="AW45" s="2084"/>
      <c r="AX45" s="2084"/>
      <c r="AY45" s="2084"/>
      <c r="AZ45" s="2084"/>
      <c r="BA45" s="2085"/>
      <c r="BB45" s="2083"/>
      <c r="BC45" s="2084"/>
      <c r="BD45" s="2084"/>
      <c r="BE45" s="2084"/>
      <c r="BF45" s="2084"/>
      <c r="BG45" s="2084"/>
      <c r="BH45" s="2084"/>
      <c r="BI45" s="2085"/>
      <c r="BJ45" s="2083"/>
      <c r="BK45" s="2084"/>
      <c r="BL45" s="2084"/>
      <c r="BM45" s="2084"/>
      <c r="BN45" s="2084"/>
      <c r="BO45" s="2084"/>
      <c r="BP45" s="2084"/>
      <c r="BQ45" s="2085"/>
      <c r="BR45" s="2083"/>
      <c r="BS45" s="2084"/>
      <c r="BT45" s="2084"/>
      <c r="BU45" s="2084"/>
      <c r="BV45" s="2084"/>
      <c r="BW45" s="2084"/>
      <c r="BX45" s="2084"/>
      <c r="BY45" s="2085"/>
      <c r="BZ45" s="2083"/>
      <c r="CA45" s="2084"/>
      <c r="CB45" s="2084"/>
      <c r="CC45" s="2084"/>
      <c r="CD45" s="2084"/>
      <c r="CE45" s="2084"/>
      <c r="CF45" s="2084"/>
      <c r="CG45" s="2085"/>
      <c r="CH45" s="2083"/>
      <c r="CI45" s="2084"/>
      <c r="CJ45" s="2084"/>
      <c r="CK45" s="2084"/>
      <c r="CL45" s="2084"/>
      <c r="CM45" s="2084"/>
      <c r="CN45" s="2084"/>
      <c r="CO45" s="2085"/>
      <c r="CP45" s="2083"/>
      <c r="CQ45" s="2084"/>
      <c r="CR45" s="2084"/>
      <c r="CS45" s="2084"/>
      <c r="CT45" s="2084"/>
      <c r="CU45" s="2084"/>
      <c r="CV45" s="2084"/>
      <c r="CW45" s="2085"/>
      <c r="CX45" s="2083"/>
      <c r="CY45" s="2084"/>
      <c r="CZ45" s="2084"/>
      <c r="DA45" s="2084"/>
      <c r="DB45" s="2084"/>
      <c r="DC45" s="2084"/>
      <c r="DD45" s="2084"/>
      <c r="DE45" s="2085"/>
      <c r="DF45" s="2085"/>
      <c r="DG45" s="1273" t="s">
        <v>414</v>
      </c>
      <c r="DI45" s="496"/>
      <c r="DJ45" s="496" t="str">
        <f>IF(T45="","",T45)</f>
        <v>Наименование системы теплоснабжения </v>
      </c>
      <c r="DK45" s="496"/>
      <c r="DL45" s="496"/>
    </row>
    <row customHeight="1" ht="21">
      <c r="A46" s="1380" t="s">
        <v>218</v>
      </c>
      <c r="B46" s="1380" t="s">
        <v>219</v>
      </c>
      <c r="C46" s="1380" t="s">
        <v>220</v>
      </c>
      <c r="D46" s="1380" t="s">
        <v>221</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1.1.1.1</v>
      </c>
      <c r="T46" s="292" t="s">
        <v>415</v>
      </c>
      <c r="U46" s="280"/>
      <c r="V46" s="2083"/>
      <c r="W46" s="2084"/>
      <c r="X46" s="2084"/>
      <c r="Y46" s="2084"/>
      <c r="Z46" s="2084"/>
      <c r="AA46" s="2084"/>
      <c r="AB46" s="2084"/>
      <c r="AC46" s="2085"/>
      <c r="AD46" s="2083" t="str">
        <f>INDEX(PT_DIFFERENTIATION_IST_TE,MATCH(D46,PT_DIFFERENTIATION_IST_TE_ID,0))</f>
        <v>без дифференциации</v>
      </c>
      <c r="AE46" s="2084"/>
      <c r="AF46" s="2084"/>
      <c r="AG46" s="2084"/>
      <c r="AH46" s="2084"/>
      <c r="AI46" s="2084"/>
      <c r="AJ46" s="2084"/>
      <c r="AK46" s="2084"/>
      <c r="AL46" s="2083"/>
      <c r="AM46" s="2084"/>
      <c r="AN46" s="2084"/>
      <c r="AO46" s="2084"/>
      <c r="AP46" s="2084"/>
      <c r="AQ46" s="2084"/>
      <c r="AR46" s="2084"/>
      <c r="AS46" s="2085"/>
      <c r="AT46" s="2083"/>
      <c r="AU46" s="2084"/>
      <c r="AV46" s="2084"/>
      <c r="AW46" s="2084"/>
      <c r="AX46" s="2084"/>
      <c r="AY46" s="2084"/>
      <c r="AZ46" s="2084"/>
      <c r="BA46" s="2085"/>
      <c r="BB46" s="2083"/>
      <c r="BC46" s="2084"/>
      <c r="BD46" s="2084"/>
      <c r="BE46" s="2084"/>
      <c r="BF46" s="2084"/>
      <c r="BG46" s="2084"/>
      <c r="BH46" s="2084"/>
      <c r="BI46" s="2085"/>
      <c r="BJ46" s="2083"/>
      <c r="BK46" s="2084"/>
      <c r="BL46" s="2084"/>
      <c r="BM46" s="2084"/>
      <c r="BN46" s="2084"/>
      <c r="BO46" s="2084"/>
      <c r="BP46" s="2084"/>
      <c r="BQ46" s="2085"/>
      <c r="BR46" s="2083"/>
      <c r="BS46" s="2084"/>
      <c r="BT46" s="2084"/>
      <c r="BU46" s="2084"/>
      <c r="BV46" s="2084"/>
      <c r="BW46" s="2084"/>
      <c r="BX46" s="2084"/>
      <c r="BY46" s="2085"/>
      <c r="BZ46" s="2083"/>
      <c r="CA46" s="2084"/>
      <c r="CB46" s="2084"/>
      <c r="CC46" s="2084"/>
      <c r="CD46" s="2084"/>
      <c r="CE46" s="2084"/>
      <c r="CF46" s="2084"/>
      <c r="CG46" s="2085"/>
      <c r="CH46" s="2083"/>
      <c r="CI46" s="2084"/>
      <c r="CJ46" s="2084"/>
      <c r="CK46" s="2084"/>
      <c r="CL46" s="2084"/>
      <c r="CM46" s="2084"/>
      <c r="CN46" s="2084"/>
      <c r="CO46" s="2085"/>
      <c r="CP46" s="2083"/>
      <c r="CQ46" s="2084"/>
      <c r="CR46" s="2084"/>
      <c r="CS46" s="2084"/>
      <c r="CT46" s="2084"/>
      <c r="CU46" s="2084"/>
      <c r="CV46" s="2084"/>
      <c r="CW46" s="2085"/>
      <c r="CX46" s="2083"/>
      <c r="CY46" s="2084"/>
      <c r="CZ46" s="2084"/>
      <c r="DA46" s="2084"/>
      <c r="DB46" s="2084"/>
      <c r="DC46" s="2084"/>
      <c r="DD46" s="2084"/>
      <c r="DE46" s="2085"/>
      <c r="DF46" s="2085"/>
      <c r="DG46" s="1273" t="s">
        <v>416</v>
      </c>
      <c r="DI46" s="496"/>
      <c r="DJ46" s="496" t="str">
        <f>IF(T46="","",T46)</f>
        <v>Источник тепловой энергии  </v>
      </c>
      <c r="DK46" s="496"/>
      <c r="DL46" s="496"/>
    </row>
    <row customHeight="1" ht="47.25">
      <c r="A47" s="1380" t="s">
        <v>218</v>
      </c>
      <c r="B47" s="1380" t="s">
        <v>219</v>
      </c>
      <c r="C47" s="1380" t="s">
        <v>220</v>
      </c>
      <c r="D47" s="1380" t="s">
        <v>221</v>
      </c>
      <c r="E47" s="2090"/>
      <c r="F47" s="2090"/>
      <c r="G47" s="2090"/>
      <c r="H47" s="2090"/>
      <c r="I47" s="2091" t="str">
        <f>S46&amp;".1"</f>
        <v>1.1.1.1.1</v>
      </c>
      <c r="J47" s="1380"/>
      <c r="K47" s="1380"/>
      <c r="L47" s="1381" t="s">
        <v>417</v>
      </c>
      <c r="P47" s="2093">
        <v>1</v>
      </c>
      <c r="Q47" s="1348"/>
      <c r="R47" s="344"/>
      <c r="S47" s="1353" t="str">
        <f>$I47</f>
        <v>1.1.1.1.1</v>
      </c>
      <c r="T47" s="266" t="s">
        <v>418</v>
      </c>
      <c r="U47" s="280"/>
      <c r="V47" s="2077"/>
      <c r="W47" s="2078"/>
      <c r="X47" s="2078"/>
      <c r="Y47" s="2078"/>
      <c r="Z47" s="2078"/>
      <c r="AA47" s="2078"/>
      <c r="AB47" s="2078"/>
      <c r="AC47" s="2079"/>
      <c r="AD47" s="2077" t="s">
        <v>459</v>
      </c>
      <c r="AE47" s="2078"/>
      <c r="AF47" s="2078"/>
      <c r="AG47" s="2078"/>
      <c r="AH47" s="2078"/>
      <c r="AI47" s="2078"/>
      <c r="AJ47" s="2078"/>
      <c r="AK47" s="2078"/>
      <c r="AL47" s="2077"/>
      <c r="AM47" s="2078"/>
      <c r="AN47" s="2078"/>
      <c r="AO47" s="2078"/>
      <c r="AP47" s="2078"/>
      <c r="AQ47" s="2078"/>
      <c r="AR47" s="2078"/>
      <c r="AS47" s="2079"/>
      <c r="AT47" s="2077"/>
      <c r="AU47" s="2078"/>
      <c r="AV47" s="2078"/>
      <c r="AW47" s="2078"/>
      <c r="AX47" s="2078"/>
      <c r="AY47" s="2078"/>
      <c r="AZ47" s="2078"/>
      <c r="BA47" s="2079"/>
      <c r="BB47" s="2077"/>
      <c r="BC47" s="2078"/>
      <c r="BD47" s="2078"/>
      <c r="BE47" s="2078"/>
      <c r="BF47" s="2078"/>
      <c r="BG47" s="2078"/>
      <c r="BH47" s="2078"/>
      <c r="BI47" s="2079"/>
      <c r="BJ47" s="2077"/>
      <c r="BK47" s="2078"/>
      <c r="BL47" s="2078"/>
      <c r="BM47" s="2078"/>
      <c r="BN47" s="2078"/>
      <c r="BO47" s="2078"/>
      <c r="BP47" s="2078"/>
      <c r="BQ47" s="2079"/>
      <c r="BR47" s="2077"/>
      <c r="BS47" s="2078"/>
      <c r="BT47" s="2078"/>
      <c r="BU47" s="2078"/>
      <c r="BV47" s="2078"/>
      <c r="BW47" s="2078"/>
      <c r="BX47" s="2078"/>
      <c r="BY47" s="2079"/>
      <c r="BZ47" s="2077"/>
      <c r="CA47" s="2078"/>
      <c r="CB47" s="2078"/>
      <c r="CC47" s="2078"/>
      <c r="CD47" s="2078"/>
      <c r="CE47" s="2078"/>
      <c r="CF47" s="2078"/>
      <c r="CG47" s="2079"/>
      <c r="CH47" s="2077"/>
      <c r="CI47" s="2078"/>
      <c r="CJ47" s="2078"/>
      <c r="CK47" s="2078"/>
      <c r="CL47" s="2078"/>
      <c r="CM47" s="2078"/>
      <c r="CN47" s="2078"/>
      <c r="CO47" s="2079"/>
      <c r="CP47" s="2077"/>
      <c r="CQ47" s="2078"/>
      <c r="CR47" s="2078"/>
      <c r="CS47" s="2078"/>
      <c r="CT47" s="2078"/>
      <c r="CU47" s="2078"/>
      <c r="CV47" s="2078"/>
      <c r="CW47" s="2079"/>
      <c r="CX47" s="2077"/>
      <c r="CY47" s="2078"/>
      <c r="CZ47" s="2078"/>
      <c r="DA47" s="2078"/>
      <c r="DB47" s="2078"/>
      <c r="DC47" s="2078"/>
      <c r="DD47" s="2078"/>
      <c r="DE47" s="2079"/>
      <c r="DF47" s="2079"/>
      <c r="DG47" s="1273" t="s">
        <v>419</v>
      </c>
      <c r="DI47" s="496"/>
      <c r="DJ47" s="496" t="str">
        <f>IF(T47="","",T47)</f>
        <v>Схема подключения теплопотребляющей установки к коллектору источника тепловой энергии</v>
      </c>
      <c r="DK47" s="496"/>
      <c r="DL47" s="496"/>
    </row>
    <row customHeight="1" ht="21">
      <c r="A48" s="1380" t="s">
        <v>218</v>
      </c>
      <c r="B48" s="1380" t="s">
        <v>219</v>
      </c>
      <c r="C48" s="1380" t="s">
        <v>220</v>
      </c>
      <c r="D48" s="1380" t="s">
        <v>221</v>
      </c>
      <c r="E48" s="2090"/>
      <c r="F48" s="2090"/>
      <c r="G48" s="2090"/>
      <c r="H48" s="2090"/>
      <c r="I48" s="2092"/>
      <c r="J48" s="2091" t="str">
        <f>I47&amp;".1"</f>
        <v>1.1.1.1.1.1</v>
      </c>
      <c r="K48" s="1380"/>
      <c r="L48" s="1381" t="s">
        <v>420</v>
      </c>
      <c r="P48" s="2093"/>
      <c r="Q48" s="2093">
        <v>1</v>
      </c>
      <c r="R48" s="345"/>
      <c r="S48" s="1353" t="str">
        <f>$J48</f>
        <v>1.1.1.1.1.1</v>
      </c>
      <c r="T48" s="267" t="s">
        <v>421</v>
      </c>
      <c r="U48" s="280"/>
      <c r="V48" s="2077"/>
      <c r="W48" s="2078"/>
      <c r="X48" s="2078"/>
      <c r="Y48" s="2078"/>
      <c r="Z48" s="2078"/>
      <c r="AA48" s="2078"/>
      <c r="AB48" s="2078"/>
      <c r="AC48" s="2079"/>
      <c r="AD48" s="2077" t="s">
        <v>459</v>
      </c>
      <c r="AE48" s="2078"/>
      <c r="AF48" s="2078"/>
      <c r="AG48" s="2078"/>
      <c r="AH48" s="2078"/>
      <c r="AI48" s="2078"/>
      <c r="AJ48" s="2078"/>
      <c r="AK48" s="2078"/>
      <c r="AL48" s="2077"/>
      <c r="AM48" s="2078"/>
      <c r="AN48" s="2078"/>
      <c r="AO48" s="2078"/>
      <c r="AP48" s="2078"/>
      <c r="AQ48" s="2078"/>
      <c r="AR48" s="2078"/>
      <c r="AS48" s="2079"/>
      <c r="AT48" s="2077"/>
      <c r="AU48" s="2078"/>
      <c r="AV48" s="2078"/>
      <c r="AW48" s="2078"/>
      <c r="AX48" s="2078"/>
      <c r="AY48" s="2078"/>
      <c r="AZ48" s="2078"/>
      <c r="BA48" s="2079"/>
      <c r="BB48" s="2077"/>
      <c r="BC48" s="2078"/>
      <c r="BD48" s="2078"/>
      <c r="BE48" s="2078"/>
      <c r="BF48" s="2078"/>
      <c r="BG48" s="2078"/>
      <c r="BH48" s="2078"/>
      <c r="BI48" s="2079"/>
      <c r="BJ48" s="2077"/>
      <c r="BK48" s="2078"/>
      <c r="BL48" s="2078"/>
      <c r="BM48" s="2078"/>
      <c r="BN48" s="2078"/>
      <c r="BO48" s="2078"/>
      <c r="BP48" s="2078"/>
      <c r="BQ48" s="2079"/>
      <c r="BR48" s="2077"/>
      <c r="BS48" s="2078"/>
      <c r="BT48" s="2078"/>
      <c r="BU48" s="2078"/>
      <c r="BV48" s="2078"/>
      <c r="BW48" s="2078"/>
      <c r="BX48" s="2078"/>
      <c r="BY48" s="2079"/>
      <c r="BZ48" s="2077"/>
      <c r="CA48" s="2078"/>
      <c r="CB48" s="2078"/>
      <c r="CC48" s="2078"/>
      <c r="CD48" s="2078"/>
      <c r="CE48" s="2078"/>
      <c r="CF48" s="2078"/>
      <c r="CG48" s="2079"/>
      <c r="CH48" s="2077"/>
      <c r="CI48" s="2078"/>
      <c r="CJ48" s="2078"/>
      <c r="CK48" s="2078"/>
      <c r="CL48" s="2078"/>
      <c r="CM48" s="2078"/>
      <c r="CN48" s="2078"/>
      <c r="CO48" s="2079"/>
      <c r="CP48" s="2077"/>
      <c r="CQ48" s="2078"/>
      <c r="CR48" s="2078"/>
      <c r="CS48" s="2078"/>
      <c r="CT48" s="2078"/>
      <c r="CU48" s="2078"/>
      <c r="CV48" s="2078"/>
      <c r="CW48" s="2079"/>
      <c r="CX48" s="2077"/>
      <c r="CY48" s="2078"/>
      <c r="CZ48" s="2078"/>
      <c r="DA48" s="2078"/>
      <c r="DB48" s="2078"/>
      <c r="DC48" s="2078"/>
      <c r="DD48" s="2078"/>
      <c r="DE48" s="2079"/>
      <c r="DF48" s="2079"/>
      <c r="DG48" s="1273" t="s">
        <v>422</v>
      </c>
      <c r="DI48" s="496"/>
      <c r="DJ48" s="496" t="str">
        <f>IF(T48="","",T48)</f>
        <v>Группа потребителей</v>
      </c>
      <c r="DK48" s="496"/>
      <c r="DL48" s="496"/>
    </row>
    <row customHeight="1" ht="21">
      <c r="A49" s="1380" t="s">
        <v>218</v>
      </c>
      <c r="B49" s="1380" t="s">
        <v>219</v>
      </c>
      <c r="C49" s="1380" t="s">
        <v>220</v>
      </c>
      <c r="D49" s="1380" t="s">
        <v>221</v>
      </c>
      <c r="E49" s="2090"/>
      <c r="F49" s="2090"/>
      <c r="G49" s="2090"/>
      <c r="H49" s="2090"/>
      <c r="I49" s="2092"/>
      <c r="J49" s="2092"/>
      <c r="K49" s="2091" t="str">
        <f>J48&amp;".1"</f>
        <v>1.1.1.1.1.1.1</v>
      </c>
      <c r="L49" s="1381" t="s">
        <v>423</v>
      </c>
      <c r="P49" s="2093"/>
      <c r="Q49" s="2093"/>
      <c r="R49" s="345">
        <v>1</v>
      </c>
      <c r="S49" s="1353" t="str">
        <f>$K49</f>
        <v>1.1.1.1.1.1.1</v>
      </c>
      <c r="T49" s="1364" t="s">
        <v>460</v>
      </c>
      <c r="U49" s="280"/>
      <c r="V49" s="312"/>
      <c r="W49" s="746"/>
      <c r="X49" s="312"/>
      <c r="Y49" s="381"/>
      <c r="Z49" s="2094"/>
      <c r="AA49" s="1963" t="s">
        <v>61</v>
      </c>
      <c r="AB49" s="2094"/>
      <c r="AC49" s="1963" t="s">
        <v>61</v>
      </c>
      <c r="AD49" s="312"/>
      <c r="AE49" s="746">
        <v>145.86795</v>
      </c>
      <c r="AF49" s="312"/>
      <c r="AG49" s="381"/>
      <c r="AH49" s="2425">
        <v>45292.654016203705</v>
      </c>
      <c r="AI49" s="1963" t="s">
        <v>61</v>
      </c>
      <c r="AJ49" s="2096">
        <v>45473.65408564815</v>
      </c>
      <c r="AK49" s="1963" t="s">
        <v>61</v>
      </c>
      <c r="AL49" s="312"/>
      <c r="AM49" s="746">
        <v>179.33431</v>
      </c>
      <c r="AN49" s="312"/>
      <c r="AO49" s="381"/>
      <c r="AP49" s="2425">
        <v>45474.65418981481</v>
      </c>
      <c r="AQ49" s="1963" t="s">
        <v>61</v>
      </c>
      <c r="AR49" s="2425">
        <v>45657.65424768518</v>
      </c>
      <c r="AS49" s="1963" t="s">
        <v>61</v>
      </c>
      <c r="AT49" s="312"/>
      <c r="AU49" s="746">
        <v>170.85208</v>
      </c>
      <c r="AV49" s="312"/>
      <c r="AW49" s="381"/>
      <c r="AX49" s="2425">
        <v>45658.65457175926</v>
      </c>
      <c r="AY49" s="1963" t="s">
        <v>61</v>
      </c>
      <c r="AZ49" s="2425">
        <v>45838.6546875</v>
      </c>
      <c r="BA49" s="1963" t="s">
        <v>61</v>
      </c>
      <c r="BB49" s="312"/>
      <c r="BC49" s="746">
        <v>170.85208</v>
      </c>
      <c r="BD49" s="312"/>
      <c r="BE49" s="381"/>
      <c r="BF49" s="2425">
        <v>45839.65530092592</v>
      </c>
      <c r="BG49" s="1963" t="s">
        <v>61</v>
      </c>
      <c r="BH49" s="2425">
        <v>46022.65542824074</v>
      </c>
      <c r="BI49" s="1963" t="s">
        <v>61</v>
      </c>
      <c r="BJ49" s="312"/>
      <c r="BK49" s="746">
        <v>170.85208</v>
      </c>
      <c r="BL49" s="312"/>
      <c r="BM49" s="381"/>
      <c r="BN49" s="2425">
        <v>46023.65572916667</v>
      </c>
      <c r="BO49" s="1963" t="s">
        <v>61</v>
      </c>
      <c r="BP49" s="2425">
        <v>46203.65582175926</v>
      </c>
      <c r="BQ49" s="1963" t="s">
        <v>61</v>
      </c>
      <c r="BR49" s="312"/>
      <c r="BS49" s="746">
        <v>180.91339</v>
      </c>
      <c r="BT49" s="312"/>
      <c r="BU49" s="381"/>
      <c r="BV49" s="2425">
        <v>46204.65611111111</v>
      </c>
      <c r="BW49" s="1963" t="s">
        <v>61</v>
      </c>
      <c r="BX49" s="2425">
        <v>46387.656226851854</v>
      </c>
      <c r="BY49" s="1963" t="s">
        <v>61</v>
      </c>
      <c r="BZ49" s="312"/>
      <c r="CA49" s="746">
        <v>180.64108</v>
      </c>
      <c r="CB49" s="312"/>
      <c r="CC49" s="381"/>
      <c r="CD49" s="2425">
        <v>46388.65666666667</v>
      </c>
      <c r="CE49" s="1963" t="s">
        <v>61</v>
      </c>
      <c r="CF49" s="2425">
        <v>46568.65675925926</v>
      </c>
      <c r="CG49" s="1963" t="s">
        <v>61</v>
      </c>
      <c r="CH49" s="312"/>
      <c r="CI49" s="746">
        <v>180.64108</v>
      </c>
      <c r="CJ49" s="312"/>
      <c r="CK49" s="381"/>
      <c r="CL49" s="2425">
        <v>46569.65708333333</v>
      </c>
      <c r="CM49" s="1963" t="s">
        <v>61</v>
      </c>
      <c r="CN49" s="2425">
        <v>46752.65723379629</v>
      </c>
      <c r="CO49" s="1963" t="s">
        <v>61</v>
      </c>
      <c r="CP49" s="312"/>
      <c r="CQ49" s="746">
        <v>180.64108</v>
      </c>
      <c r="CR49" s="312"/>
      <c r="CS49" s="381"/>
      <c r="CT49" s="2425">
        <v>46753.657800925925</v>
      </c>
      <c r="CU49" s="1963" t="s">
        <v>61</v>
      </c>
      <c r="CV49" s="2425">
        <v>46934.65795138889</v>
      </c>
      <c r="CW49" s="1963" t="s">
        <v>61</v>
      </c>
      <c r="CX49" s="312"/>
      <c r="CY49" s="746">
        <v>189.10802</v>
      </c>
      <c r="CZ49" s="312"/>
      <c r="DA49" s="381"/>
      <c r="DB49" s="2425">
        <v>46935.65829861111</v>
      </c>
      <c r="DC49" s="1963" t="s">
        <v>61</v>
      </c>
      <c r="DD49" s="2425">
        <v>47118.658425925925</v>
      </c>
      <c r="DE49" s="1963" t="s">
        <v>61</v>
      </c>
      <c r="DF49" s="1365"/>
      <c r="DG49" s="2119" t="s">
        <v>424</v>
      </c>
      <c r="DH49" s="507">
        <f>STRCHECKDATE(V50:DF50)</f>
      </c>
      <c r="DI49" s="496"/>
      <c r="DJ49" s="496" t="str">
        <f>IF(T49="","",T49)</f>
        <v>вода</v>
      </c>
      <c r="DK49" s="496"/>
      <c r="DL49" s="496"/>
    </row>
    <row customHeight="1" ht="0.75">
      <c r="A50" s="1380" t="s">
        <v>218</v>
      </c>
      <c r="B50" s="1380" t="s">
        <v>219</v>
      </c>
      <c r="C50" s="1380" t="s">
        <v>220</v>
      </c>
      <c r="D50" s="1380" t="s">
        <v>221</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45292.654016203705-45473.65408564815</v>
      </c>
      <c r="AH50" s="2095"/>
      <c r="AI50" s="1963"/>
      <c r="AJ50" s="2097"/>
      <c r="AK50" s="1963"/>
      <c r="AL50" s="312"/>
      <c r="AM50" s="312"/>
      <c r="AN50" s="312"/>
      <c r="AO50" s="316" t="str">
        <f>AP49&amp;"-"&amp;AR49</f>
        <v>45474.65418981481-45657.65424768518</v>
      </c>
      <c r="AP50" s="2134"/>
      <c r="AQ50" s="1963"/>
      <c r="AR50" s="2134"/>
      <c r="AS50" s="1963"/>
      <c r="AT50" s="312"/>
      <c r="AU50" s="312"/>
      <c r="AV50" s="312"/>
      <c r="AW50" s="316" t="str">
        <f>AX49&amp;"-"&amp;AZ49</f>
        <v>45658.65457175926-45838.6546875</v>
      </c>
      <c r="AX50" s="2134"/>
      <c r="AY50" s="1963"/>
      <c r="AZ50" s="2134"/>
      <c r="BA50" s="1963"/>
      <c r="BB50" s="312"/>
      <c r="BC50" s="312"/>
      <c r="BD50" s="312"/>
      <c r="BE50" s="316" t="str">
        <f>BF49&amp;"-"&amp;BH49</f>
        <v>45839.65530092592-46022.65542824074</v>
      </c>
      <c r="BF50" s="2134"/>
      <c r="BG50" s="1963"/>
      <c r="BH50" s="2134"/>
      <c r="BI50" s="1963"/>
      <c r="BJ50" s="312"/>
      <c r="BK50" s="312"/>
      <c r="BL50" s="312"/>
      <c r="BM50" s="316" t="str">
        <f>BN49&amp;"-"&amp;BP49</f>
        <v>46023.65572916667-46203.65582175926</v>
      </c>
      <c r="BN50" s="2134"/>
      <c r="BO50" s="1963"/>
      <c r="BP50" s="2134"/>
      <c r="BQ50" s="1963"/>
      <c r="BR50" s="312"/>
      <c r="BS50" s="312"/>
      <c r="BT50" s="312"/>
      <c r="BU50" s="316" t="str">
        <f>BV49&amp;"-"&amp;BX49</f>
        <v>46204.65611111111-46387.656226851854</v>
      </c>
      <c r="BV50" s="2134"/>
      <c r="BW50" s="1963"/>
      <c r="BX50" s="2134"/>
      <c r="BY50" s="1963"/>
      <c r="BZ50" s="312"/>
      <c r="CA50" s="312"/>
      <c r="CB50" s="312"/>
      <c r="CC50" s="316" t="str">
        <f>CD49&amp;"-"&amp;CF49</f>
        <v>46388.65666666667-46568.65675925926</v>
      </c>
      <c r="CD50" s="2134"/>
      <c r="CE50" s="1963"/>
      <c r="CF50" s="2134"/>
      <c r="CG50" s="1963"/>
      <c r="CH50" s="312"/>
      <c r="CI50" s="312"/>
      <c r="CJ50" s="312"/>
      <c r="CK50" s="316" t="str">
        <f>CL49&amp;"-"&amp;CN49</f>
        <v>46569.65708333333-46752.65723379629</v>
      </c>
      <c r="CL50" s="2134"/>
      <c r="CM50" s="1963"/>
      <c r="CN50" s="2134"/>
      <c r="CO50" s="1963"/>
      <c r="CP50" s="312"/>
      <c r="CQ50" s="312"/>
      <c r="CR50" s="312"/>
      <c r="CS50" s="316" t="str">
        <f>CT49&amp;"-"&amp;CV49</f>
        <v>46753.657800925925-46934.65795138889</v>
      </c>
      <c r="CT50" s="2134"/>
      <c r="CU50" s="1963"/>
      <c r="CV50" s="2134"/>
      <c r="CW50" s="1963"/>
      <c r="CX50" s="312"/>
      <c r="CY50" s="312"/>
      <c r="CZ50" s="312"/>
      <c r="DA50" s="316" t="str">
        <f>DB49&amp;"-"&amp;DD49</f>
        <v>46935.65829861111-47118.658425925925</v>
      </c>
      <c r="DB50" s="2134"/>
      <c r="DC50" s="1963"/>
      <c r="DD50" s="2134"/>
      <c r="DE50" s="1963"/>
      <c r="DF50" s="1366"/>
      <c r="DG50" s="2120"/>
      <c r="DI50" s="496"/>
      <c r="DJ50" s="496" t="str">
        <f>IF(T50="","",T50)</f>
        <v/>
      </c>
      <c r="DK50" s="496"/>
      <c r="DL50" s="496"/>
    </row>
    <row customHeight="1" ht="11.25">
      <c r="A51" s="1380" t="s">
        <v>218</v>
      </c>
      <c r="B51" s="1380" t="s">
        <v>219</v>
      </c>
      <c r="C51" s="1380" t="s">
        <v>220</v>
      </c>
      <c r="D51" s="1380" t="s">
        <v>221</v>
      </c>
      <c r="E51" s="2090"/>
      <c r="F51" s="2090"/>
      <c r="G51" s="2090"/>
      <c r="H51" s="2090"/>
      <c r="I51" s="2092"/>
      <c r="J51" s="2091"/>
      <c r="K51" s="1380"/>
      <c r="L51" s="1381"/>
      <c r="P51" s="2093"/>
      <c r="Q51" s="2093"/>
      <c r="R51" s="344"/>
      <c r="S51" s="1295"/>
      <c r="T51" s="269" t="s">
        <v>425</v>
      </c>
      <c r="U51" s="359"/>
      <c r="V51" s="359"/>
      <c r="W51" s="359"/>
      <c r="X51" s="359"/>
      <c r="Y51" s="359"/>
      <c r="Z51" s="359"/>
      <c r="AA51" s="359"/>
      <c r="AB51" s="359"/>
      <c r="AC51" s="359"/>
      <c r="AD51" s="359"/>
      <c r="AE51" s="359"/>
      <c r="AF51" s="359"/>
      <c r="AG51" s="359"/>
      <c r="AH51" s="359"/>
      <c r="AI51" s="359"/>
      <c r="AJ51" s="359"/>
      <c r="AK51" s="359"/>
      <c r="AL51" s="4281"/>
      <c r="AM51" s="4282"/>
      <c r="AN51" s="4283"/>
      <c r="AO51" s="4284"/>
      <c r="AP51" s="4285"/>
      <c r="AQ51" s="4286"/>
      <c r="AR51" s="4287"/>
      <c r="AS51" s="4288"/>
      <c r="AT51" s="4289"/>
      <c r="AU51" s="4290"/>
      <c r="AV51" s="4291"/>
      <c r="AW51" s="4292"/>
      <c r="AX51" s="4293"/>
      <c r="AY51" s="4294"/>
      <c r="AZ51" s="4295"/>
      <c r="BA51" s="4296"/>
      <c r="BB51" s="4297"/>
      <c r="BC51" s="4298"/>
      <c r="BD51" s="4299"/>
      <c r="BE51" s="4300"/>
      <c r="BF51" s="4301"/>
      <c r="BG51" s="4302"/>
      <c r="BH51" s="4303"/>
      <c r="BI51" s="4304"/>
      <c r="BJ51" s="4305"/>
      <c r="BK51" s="4306"/>
      <c r="BL51" s="4307"/>
      <c r="BM51" s="4308"/>
      <c r="BN51" s="4309"/>
      <c r="BO51" s="4310"/>
      <c r="BP51" s="4311"/>
      <c r="BQ51" s="4312"/>
      <c r="BR51" s="4313"/>
      <c r="BS51" s="4314"/>
      <c r="BT51" s="4315"/>
      <c r="BU51" s="4316"/>
      <c r="BV51" s="4317"/>
      <c r="BW51" s="4318"/>
      <c r="BX51" s="4319"/>
      <c r="BY51" s="4320"/>
      <c r="BZ51" s="4321"/>
      <c r="CA51" s="4322"/>
      <c r="CB51" s="4323"/>
      <c r="CC51" s="4324"/>
      <c r="CD51" s="4325"/>
      <c r="CE51" s="4326"/>
      <c r="CF51" s="4327"/>
      <c r="CG51" s="4328"/>
      <c r="CH51" s="4329"/>
      <c r="CI51" s="4330"/>
      <c r="CJ51" s="4331"/>
      <c r="CK51" s="4332"/>
      <c r="CL51" s="4333"/>
      <c r="CM51" s="4334"/>
      <c r="CN51" s="4335"/>
      <c r="CO51" s="4336"/>
      <c r="CP51" s="4337"/>
      <c r="CQ51" s="4338"/>
      <c r="CR51" s="4339"/>
      <c r="CS51" s="4340"/>
      <c r="CT51" s="4341"/>
      <c r="CU51" s="4342"/>
      <c r="CV51" s="4343"/>
      <c r="CW51" s="4344"/>
      <c r="CX51" s="4345"/>
      <c r="CY51" s="4346"/>
      <c r="CZ51" s="4347"/>
      <c r="DA51" s="4348"/>
      <c r="DB51" s="4349"/>
      <c r="DC51" s="4350"/>
      <c r="DD51" s="4351"/>
      <c r="DE51" s="4352"/>
      <c r="DF51" s="311"/>
      <c r="DG51" s="2121"/>
      <c r="DI51" s="496"/>
      <c r="DJ51" s="496" t="str">
        <f>IF(T51="","",T51)</f>
        <v>Добавить вид теплоносителя (параметры теплоносителя)</v>
      </c>
      <c r="DK51" s="496"/>
      <c r="DL51" s="496"/>
    </row>
    <row customHeight="1" ht="11.25">
      <c r="A52" s="1380" t="s">
        <v>218</v>
      </c>
      <c r="B52" s="1380" t="s">
        <v>219</v>
      </c>
      <c r="C52" s="1380" t="s">
        <v>220</v>
      </c>
      <c r="D52" s="1380" t="s">
        <v>221</v>
      </c>
      <c r="E52" s="2090"/>
      <c r="F52" s="2090"/>
      <c r="G52" s="2090"/>
      <c r="H52" s="2090"/>
      <c r="I52" s="2091"/>
      <c r="J52" s="1380"/>
      <c r="K52" s="1380"/>
      <c r="L52" s="1381"/>
      <c r="P52" s="2093"/>
      <c r="Q52" s="1348"/>
      <c r="R52" s="344"/>
      <c r="S52" s="1295"/>
      <c r="T52" s="268" t="s">
        <v>426</v>
      </c>
      <c r="U52" s="359"/>
      <c r="V52" s="359"/>
      <c r="W52" s="359"/>
      <c r="X52" s="359"/>
      <c r="Y52" s="359"/>
      <c r="Z52" s="359"/>
      <c r="AA52" s="359"/>
      <c r="AB52" s="359"/>
      <c r="AC52" s="358"/>
      <c r="AD52" s="359"/>
      <c r="AE52" s="359"/>
      <c r="AF52" s="359"/>
      <c r="AG52" s="359"/>
      <c r="AH52" s="359"/>
      <c r="AI52" s="359"/>
      <c r="AJ52" s="359"/>
      <c r="AK52" s="358"/>
      <c r="AL52" s="4353"/>
      <c r="AM52" s="4354"/>
      <c r="AN52" s="4355"/>
      <c r="AO52" s="4356"/>
      <c r="AP52" s="4357"/>
      <c r="AQ52" s="4358"/>
      <c r="AR52" s="4359"/>
      <c r="AS52" s="4360"/>
      <c r="AT52" s="4361"/>
      <c r="AU52" s="4362"/>
      <c r="AV52" s="4363"/>
      <c r="AW52" s="4364"/>
      <c r="AX52" s="4365"/>
      <c r="AY52" s="4366"/>
      <c r="AZ52" s="4367"/>
      <c r="BA52" s="4368"/>
      <c r="BB52" s="4369"/>
      <c r="BC52" s="4370"/>
      <c r="BD52" s="4371"/>
      <c r="BE52" s="4372"/>
      <c r="BF52" s="4373"/>
      <c r="BG52" s="4374"/>
      <c r="BH52" s="4375"/>
      <c r="BI52" s="4376"/>
      <c r="BJ52" s="4377"/>
      <c r="BK52" s="4378"/>
      <c r="BL52" s="4379"/>
      <c r="BM52" s="4380"/>
      <c r="BN52" s="4381"/>
      <c r="BO52" s="4382"/>
      <c r="BP52" s="4383"/>
      <c r="BQ52" s="4384"/>
      <c r="BR52" s="4385"/>
      <c r="BS52" s="4386"/>
      <c r="BT52" s="4387"/>
      <c r="BU52" s="4388"/>
      <c r="BV52" s="4389"/>
      <c r="BW52" s="4390"/>
      <c r="BX52" s="4391"/>
      <c r="BY52" s="4392"/>
      <c r="BZ52" s="4393"/>
      <c r="CA52" s="4394"/>
      <c r="CB52" s="4395"/>
      <c r="CC52" s="4396"/>
      <c r="CD52" s="4397"/>
      <c r="CE52" s="4398"/>
      <c r="CF52" s="4399"/>
      <c r="CG52" s="4400"/>
      <c r="CH52" s="4401"/>
      <c r="CI52" s="4402"/>
      <c r="CJ52" s="4403"/>
      <c r="CK52" s="4404"/>
      <c r="CL52" s="4405"/>
      <c r="CM52" s="4406"/>
      <c r="CN52" s="4407"/>
      <c r="CO52" s="4408"/>
      <c r="CP52" s="4409"/>
      <c r="CQ52" s="4410"/>
      <c r="CR52" s="4411"/>
      <c r="CS52" s="4412"/>
      <c r="CT52" s="4413"/>
      <c r="CU52" s="4414"/>
      <c r="CV52" s="4415"/>
      <c r="CW52" s="4416"/>
      <c r="CX52" s="4417"/>
      <c r="CY52" s="4418"/>
      <c r="CZ52" s="4419"/>
      <c r="DA52" s="4420"/>
      <c r="DB52" s="4421"/>
      <c r="DC52" s="4422"/>
      <c r="DD52" s="4423"/>
      <c r="DE52" s="4424"/>
      <c r="DF52" s="359"/>
      <c r="DG52" s="283"/>
      <c r="DI52" s="496"/>
      <c r="DJ52" s="496" t="str">
        <f>IF(T52="","",T52)</f>
        <v>Добавить группу потребителей</v>
      </c>
      <c r="DK52" s="496"/>
      <c r="DL52" s="496"/>
    </row>
    <row customHeight="1" ht="14.25">
      <c r="A53" s="1380" t="s">
        <v>218</v>
      </c>
      <c r="B53" s="1380" t="s">
        <v>219</v>
      </c>
      <c r="C53" s="1380" t="s">
        <v>220</v>
      </c>
      <c r="D53" s="1380" t="s">
        <v>221</v>
      </c>
      <c r="E53" s="2090"/>
      <c r="F53" s="2090"/>
      <c r="G53" s="2090"/>
      <c r="H53" s="2089"/>
      <c r="I53" s="1380"/>
      <c r="J53" s="1380"/>
      <c r="K53" s="1380"/>
      <c r="L53" s="1381"/>
      <c r="M53" s="1382"/>
      <c r="N53" s="1382"/>
      <c r="O53" s="533"/>
      <c r="P53" s="348"/>
      <c r="Q53" s="367"/>
      <c r="R53" s="343"/>
      <c r="S53" s="1295"/>
      <c r="T53" s="356" t="s">
        <v>427</v>
      </c>
      <c r="U53" s="359"/>
      <c r="V53" s="359"/>
      <c r="W53" s="359"/>
      <c r="X53" s="359"/>
      <c r="Y53" s="359"/>
      <c r="Z53" s="359"/>
      <c r="AA53" s="359"/>
      <c r="AB53" s="359"/>
      <c r="AC53" s="358"/>
      <c r="AD53" s="359"/>
      <c r="AE53" s="359"/>
      <c r="AF53" s="359"/>
      <c r="AG53" s="359"/>
      <c r="AH53" s="359"/>
      <c r="AI53" s="359"/>
      <c r="AJ53" s="359"/>
      <c r="AK53" s="358"/>
      <c r="AL53" s="4425"/>
      <c r="AM53" s="4426"/>
      <c r="AN53" s="4427"/>
      <c r="AO53" s="4428"/>
      <c r="AP53" s="4429"/>
      <c r="AQ53" s="4430"/>
      <c r="AR53" s="4431"/>
      <c r="AS53" s="4432"/>
      <c r="AT53" s="4433"/>
      <c r="AU53" s="4434"/>
      <c r="AV53" s="4435"/>
      <c r="AW53" s="4436"/>
      <c r="AX53" s="4437"/>
      <c r="AY53" s="4438"/>
      <c r="AZ53" s="4439"/>
      <c r="BA53" s="4440"/>
      <c r="BB53" s="4441"/>
      <c r="BC53" s="4442"/>
      <c r="BD53" s="4443"/>
      <c r="BE53" s="4444"/>
      <c r="BF53" s="4445"/>
      <c r="BG53" s="4446"/>
      <c r="BH53" s="4447"/>
      <c r="BI53" s="4448"/>
      <c r="BJ53" s="4449"/>
      <c r="BK53" s="4450"/>
      <c r="BL53" s="4451"/>
      <c r="BM53" s="4452"/>
      <c r="BN53" s="4453"/>
      <c r="BO53" s="4454"/>
      <c r="BP53" s="4455"/>
      <c r="BQ53" s="4456"/>
      <c r="BR53" s="4457"/>
      <c r="BS53" s="4458"/>
      <c r="BT53" s="4459"/>
      <c r="BU53" s="4460"/>
      <c r="BV53" s="4461"/>
      <c r="BW53" s="4462"/>
      <c r="BX53" s="4463"/>
      <c r="BY53" s="4464"/>
      <c r="BZ53" s="4465"/>
      <c r="CA53" s="4466"/>
      <c r="CB53" s="4467"/>
      <c r="CC53" s="4468"/>
      <c r="CD53" s="4469"/>
      <c r="CE53" s="4470"/>
      <c r="CF53" s="4471"/>
      <c r="CG53" s="4472"/>
      <c r="CH53" s="4473"/>
      <c r="CI53" s="4474"/>
      <c r="CJ53" s="4475"/>
      <c r="CK53" s="4476"/>
      <c r="CL53" s="4477"/>
      <c r="CM53" s="4478"/>
      <c r="CN53" s="4479"/>
      <c r="CO53" s="4480"/>
      <c r="CP53" s="4481"/>
      <c r="CQ53" s="4482"/>
      <c r="CR53" s="4483"/>
      <c r="CS53" s="4484"/>
      <c r="CT53" s="4485"/>
      <c r="CU53" s="4486"/>
      <c r="CV53" s="4487"/>
      <c r="CW53" s="4488"/>
      <c r="CX53" s="4489"/>
      <c r="CY53" s="4490"/>
      <c r="CZ53" s="4491"/>
      <c r="DA53" s="4492"/>
      <c r="DB53" s="4493"/>
      <c r="DC53" s="4494"/>
      <c r="DD53" s="4495"/>
      <c r="DE53" s="4496"/>
      <c r="DF53" s="359"/>
      <c r="DG53" s="283"/>
      <c r="DI53" s="496"/>
      <c r="DJ53" s="496" t="str">
        <f>IF(T53="","",T53)</f>
        <v>Добавить схему подключения</v>
      </c>
      <c r="DK53" s="496"/>
      <c r="DL53" s="496"/>
    </row>
    <row s="1667" customFormat="1" customHeight="1" ht="0.75">
      <c r="A54" s="1360" t="s">
        <v>218</v>
      </c>
      <c r="B54" s="1360" t="s">
        <v>219</v>
      </c>
      <c r="C54" s="1360" t="s">
        <v>220</v>
      </c>
      <c r="D54" s="1331"/>
      <c r="E54" s="2090"/>
      <c r="F54" s="2090"/>
      <c r="G54" s="2089"/>
      <c r="H54" s="1331"/>
      <c r="I54" s="1331"/>
      <c r="J54" s="1331"/>
      <c r="K54" s="1331"/>
      <c r="L54" s="1356"/>
      <c r="M54" s="1332"/>
      <c r="N54" s="1332"/>
      <c r="P54" s="1333"/>
      <c r="Q54" s="1334"/>
      <c r="R54" s="1333"/>
      <c r="S54" s="1339"/>
      <c r="T54" s="1342" t="s">
        <v>160</v>
      </c>
      <c r="U54" s="1341"/>
      <c r="V54" s="1341"/>
      <c r="W54" s="1341"/>
      <c r="X54" s="1341"/>
      <c r="Y54" s="1341"/>
      <c r="Z54" s="1341"/>
      <c r="AA54" s="1341"/>
      <c r="AB54" s="1341"/>
      <c r="AC54" s="1341"/>
      <c r="AD54" s="1341"/>
      <c r="AE54" s="1341"/>
      <c r="AF54" s="1341"/>
      <c r="AG54" s="1341"/>
      <c r="AH54" s="1341"/>
      <c r="AI54" s="1341"/>
      <c r="AJ54" s="1341"/>
      <c r="AK54" s="1341"/>
      <c r="AL54" s="1341"/>
      <c r="AM54" s="1341"/>
      <c r="AN54" s="1341"/>
      <c r="AO54" s="1341"/>
      <c r="AP54" s="1341"/>
      <c r="AQ54" s="1341"/>
      <c r="AR54" s="1341"/>
      <c r="AS54" s="1341"/>
      <c r="AT54" s="1341"/>
      <c r="AU54" s="1341"/>
      <c r="AV54" s="1341"/>
      <c r="AW54" s="1341"/>
      <c r="AX54" s="1341"/>
      <c r="AY54" s="1341"/>
      <c r="AZ54" s="1341"/>
      <c r="BA54" s="1341"/>
      <c r="BB54" s="1341"/>
      <c r="BC54" s="1341"/>
      <c r="BD54" s="1341"/>
      <c r="BE54" s="1341"/>
      <c r="BF54" s="1341"/>
      <c r="BG54" s="1341"/>
      <c r="BH54" s="1341"/>
      <c r="BI54" s="1341"/>
      <c r="BJ54" s="1341"/>
      <c r="BK54" s="1341"/>
      <c r="BL54" s="1341"/>
      <c r="BM54" s="1341"/>
      <c r="BN54" s="1341"/>
      <c r="BO54" s="1341"/>
      <c r="BP54" s="1341"/>
      <c r="BQ54" s="1341"/>
      <c r="BR54" s="1341"/>
      <c r="BS54" s="1341"/>
      <c r="BT54" s="1341"/>
      <c r="BU54" s="1341"/>
      <c r="BV54" s="1341"/>
      <c r="BW54" s="1341"/>
      <c r="BX54" s="1341"/>
      <c r="BY54" s="1341"/>
      <c r="BZ54" s="1341"/>
      <c r="CA54" s="1341"/>
      <c r="CB54" s="1341"/>
      <c r="CC54" s="1341"/>
      <c r="CD54" s="1341"/>
      <c r="CE54" s="1341"/>
      <c r="CF54" s="1341"/>
      <c r="CG54" s="1341"/>
      <c r="CH54" s="1341"/>
      <c r="CI54" s="1341"/>
      <c r="CJ54" s="1341"/>
      <c r="CK54" s="1341"/>
      <c r="CL54" s="1341"/>
      <c r="CM54" s="1341"/>
      <c r="CN54" s="1341"/>
      <c r="CO54" s="1341"/>
      <c r="CP54" s="1341"/>
      <c r="CQ54" s="1341"/>
      <c r="CR54" s="1341"/>
      <c r="CS54" s="1341"/>
      <c r="CT54" s="1341"/>
      <c r="CU54" s="1341"/>
      <c r="CV54" s="1341"/>
      <c r="CW54" s="1341"/>
      <c r="CX54" s="1341"/>
      <c r="CY54" s="1341"/>
      <c r="CZ54" s="1341"/>
      <c r="DA54" s="1341"/>
      <c r="DB54" s="1341"/>
      <c r="DC54" s="1341"/>
      <c r="DD54" s="1341"/>
      <c r="DE54" s="1341"/>
      <c r="DF54" s="1341"/>
      <c r="DG54" s="1341"/>
      <c r="DI54" s="783"/>
      <c r="DJ54" s="783" t="str">
        <f>IF(T54="","",T54)</f>
        <v>Добавить источник для дифференциации</v>
      </c>
      <c r="DK54" s="783"/>
      <c r="DL54" s="783"/>
    </row>
    <row s="1667" customFormat="1" customHeight="1" ht="0.75">
      <c r="A55" s="1360" t="s">
        <v>218</v>
      </c>
      <c r="B55" s="1360" t="s">
        <v>219</v>
      </c>
      <c r="C55" s="1331"/>
      <c r="D55" s="1331"/>
      <c r="E55" s="2090"/>
      <c r="F55" s="2089"/>
      <c r="G55" s="1331"/>
      <c r="H55" s="1331"/>
      <c r="I55" s="1331"/>
      <c r="J55" s="1331"/>
      <c r="K55" s="1331"/>
      <c r="L55" s="1356"/>
      <c r="M55" s="1338"/>
      <c r="N55" s="1338"/>
      <c r="P55" s="1333"/>
      <c r="Q55" s="1334"/>
      <c r="R55" s="1333"/>
      <c r="S55" s="1339"/>
      <c r="T55" s="1342" t="s">
        <v>161</v>
      </c>
      <c r="U55" s="1341"/>
      <c r="V55" s="1341"/>
      <c r="W55" s="1341"/>
      <c r="X55" s="1341"/>
      <c r="Y55" s="1341"/>
      <c r="Z55" s="1341"/>
      <c r="AA55" s="1341"/>
      <c r="AB55" s="1341"/>
      <c r="AC55" s="1341"/>
      <c r="AD55" s="1341"/>
      <c r="AE55" s="1341"/>
      <c r="AF55" s="1341"/>
      <c r="AG55" s="1341"/>
      <c r="AH55" s="1341"/>
      <c r="AI55" s="1341"/>
      <c r="AJ55" s="1341"/>
      <c r="AK55" s="1341"/>
      <c r="AL55" s="1341"/>
      <c r="AM55" s="1341"/>
      <c r="AN55" s="1341"/>
      <c r="AO55" s="1341"/>
      <c r="AP55" s="1341"/>
      <c r="AQ55" s="1341"/>
      <c r="AR55" s="1341"/>
      <c r="AS55" s="1341"/>
      <c r="AT55" s="1341"/>
      <c r="AU55" s="1341"/>
      <c r="AV55" s="1341"/>
      <c r="AW55" s="1341"/>
      <c r="AX55" s="1341"/>
      <c r="AY55" s="1341"/>
      <c r="AZ55" s="1341"/>
      <c r="BA55" s="1341"/>
      <c r="BB55" s="1341"/>
      <c r="BC55" s="1341"/>
      <c r="BD55" s="1341"/>
      <c r="BE55" s="1341"/>
      <c r="BF55" s="1341"/>
      <c r="BG55" s="1341"/>
      <c r="BH55" s="1341"/>
      <c r="BI55" s="1341"/>
      <c r="BJ55" s="1341"/>
      <c r="BK55" s="1341"/>
      <c r="BL55" s="1341"/>
      <c r="BM55" s="1341"/>
      <c r="BN55" s="1341"/>
      <c r="BO55" s="1341"/>
      <c r="BP55" s="1341"/>
      <c r="BQ55" s="1341"/>
      <c r="BR55" s="1341"/>
      <c r="BS55" s="1341"/>
      <c r="BT55" s="1341"/>
      <c r="BU55" s="1341"/>
      <c r="BV55" s="1341"/>
      <c r="BW55" s="1341"/>
      <c r="BX55" s="1341"/>
      <c r="BY55" s="1341"/>
      <c r="BZ55" s="1341"/>
      <c r="CA55" s="1341"/>
      <c r="CB55" s="1341"/>
      <c r="CC55" s="1341"/>
      <c r="CD55" s="1341"/>
      <c r="CE55" s="1341"/>
      <c r="CF55" s="1341"/>
      <c r="CG55" s="1341"/>
      <c r="CH55" s="1341"/>
      <c r="CI55" s="1341"/>
      <c r="CJ55" s="1341"/>
      <c r="CK55" s="1341"/>
      <c r="CL55" s="1341"/>
      <c r="CM55" s="1341"/>
      <c r="CN55" s="1341"/>
      <c r="CO55" s="1341"/>
      <c r="CP55" s="1341"/>
      <c r="CQ55" s="1341"/>
      <c r="CR55" s="1341"/>
      <c r="CS55" s="1341"/>
      <c r="CT55" s="1341"/>
      <c r="CU55" s="1341"/>
      <c r="CV55" s="1341"/>
      <c r="CW55" s="1341"/>
      <c r="CX55" s="1341"/>
      <c r="CY55" s="1341"/>
      <c r="CZ55" s="1341"/>
      <c r="DA55" s="1341"/>
      <c r="DB55" s="1341"/>
      <c r="DC55" s="1341"/>
      <c r="DD55" s="1341"/>
      <c r="DE55" s="1341"/>
      <c r="DF55" s="1341"/>
      <c r="DG55" s="1341"/>
      <c r="DI55" s="783"/>
      <c r="DJ55" s="783" t="str">
        <f>IF(T55="","",T55)</f>
        <v>Добавить централизованную систему для дифференциации</v>
      </c>
      <c r="DK55" s="783"/>
      <c r="DL55" s="783"/>
    </row>
    <row s="1667" customFormat="1" customHeight="1" ht="0.75">
      <c r="A56" s="1360" t="s">
        <v>218</v>
      </c>
      <c r="B56" s="1360"/>
      <c r="C56" s="1360"/>
      <c r="D56" s="1360"/>
      <c r="E56" s="2089"/>
      <c r="F56" s="1360"/>
      <c r="G56" s="1360"/>
      <c r="H56" s="1360"/>
      <c r="I56" s="1360"/>
      <c r="J56" s="1360"/>
      <c r="K56" s="1360"/>
      <c r="L56" s="1363"/>
      <c r="M56" s="1338"/>
      <c r="N56" s="1338"/>
      <c r="O56" s="514"/>
      <c r="P56" s="376"/>
      <c r="Q56" s="1361"/>
      <c r="R56" s="376"/>
      <c r="S56" s="1339"/>
      <c r="T56" s="1342" t="s">
        <v>162</v>
      </c>
      <c r="U56" s="1341"/>
      <c r="V56" s="1341"/>
      <c r="W56" s="1341"/>
      <c r="X56" s="1341"/>
      <c r="Y56" s="1341"/>
      <c r="Z56" s="1341"/>
      <c r="AA56" s="1341"/>
      <c r="AB56" s="1341"/>
      <c r="AC56" s="1341"/>
      <c r="AD56" s="1341"/>
      <c r="AE56" s="1341"/>
      <c r="AF56" s="1341"/>
      <c r="AG56" s="1341"/>
      <c r="AH56" s="1341"/>
      <c r="AI56" s="1341"/>
      <c r="AJ56" s="1341"/>
      <c r="AK56" s="1341"/>
      <c r="AL56" s="1341"/>
      <c r="AM56" s="1341"/>
      <c r="AN56" s="1341"/>
      <c r="AO56" s="1341"/>
      <c r="AP56" s="1341"/>
      <c r="AQ56" s="1341"/>
      <c r="AR56" s="1341"/>
      <c r="AS56" s="1341"/>
      <c r="AT56" s="1341"/>
      <c r="AU56" s="1341"/>
      <c r="AV56" s="1341"/>
      <c r="AW56" s="1341"/>
      <c r="AX56" s="1341"/>
      <c r="AY56" s="1341"/>
      <c r="AZ56" s="1341"/>
      <c r="BA56" s="1341"/>
      <c r="BB56" s="1341"/>
      <c r="BC56" s="1341"/>
      <c r="BD56" s="1341"/>
      <c r="BE56" s="1341"/>
      <c r="BF56" s="1341"/>
      <c r="BG56" s="1341"/>
      <c r="BH56" s="1341"/>
      <c r="BI56" s="1341"/>
      <c r="BJ56" s="1341"/>
      <c r="BK56" s="1341"/>
      <c r="BL56" s="1341"/>
      <c r="BM56" s="1341"/>
      <c r="BN56" s="1341"/>
      <c r="BO56" s="1341"/>
      <c r="BP56" s="1341"/>
      <c r="BQ56" s="1341"/>
      <c r="BR56" s="1341"/>
      <c r="BS56" s="1341"/>
      <c r="BT56" s="1341"/>
      <c r="BU56" s="1341"/>
      <c r="BV56" s="1341"/>
      <c r="BW56" s="1341"/>
      <c r="BX56" s="1341"/>
      <c r="BY56" s="1341"/>
      <c r="BZ56" s="1341"/>
      <c r="CA56" s="1341"/>
      <c r="CB56" s="1341"/>
      <c r="CC56" s="1341"/>
      <c r="CD56" s="1341"/>
      <c r="CE56" s="1341"/>
      <c r="CF56" s="1341"/>
      <c r="CG56" s="1341"/>
      <c r="CH56" s="1341"/>
      <c r="CI56" s="1341"/>
      <c r="CJ56" s="1341"/>
      <c r="CK56" s="1341"/>
      <c r="CL56" s="1341"/>
      <c r="CM56" s="1341"/>
      <c r="CN56" s="1341"/>
      <c r="CO56" s="1341"/>
      <c r="CP56" s="1341"/>
      <c r="CQ56" s="1341"/>
      <c r="CR56" s="1341"/>
      <c r="CS56" s="1341"/>
      <c r="CT56" s="1341"/>
      <c r="CU56" s="1341"/>
      <c r="CV56" s="1341"/>
      <c r="CW56" s="1341"/>
      <c r="CX56" s="1341"/>
      <c r="CY56" s="1341"/>
      <c r="CZ56" s="1341"/>
      <c r="DA56" s="1341"/>
      <c r="DB56" s="1341"/>
      <c r="DC56" s="1341"/>
      <c r="DD56" s="1341"/>
      <c r="DE56" s="1341"/>
      <c r="DF56" s="1341"/>
      <c r="DG56" s="1341"/>
      <c r="DI56" s="496"/>
      <c r="DJ56" s="496" t="str">
        <f>IF(T56="","",T56)</f>
        <v>Добавить территорию для дифференциации</v>
      </c>
      <c r="DK56" s="496"/>
      <c r="DL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179</v>
      </c>
      <c r="U57" s="1341"/>
      <c r="V57" s="1341"/>
      <c r="W57" s="1341"/>
      <c r="X57" s="1341"/>
      <c r="Y57" s="1341"/>
      <c r="Z57" s="1341"/>
      <c r="AA57" s="1341"/>
      <c r="AB57" s="1341"/>
      <c r="AC57" s="1341"/>
      <c r="AD57" s="1341"/>
      <c r="AE57" s="1341"/>
      <c r="AF57" s="1341"/>
      <c r="AG57" s="1341"/>
      <c r="AH57" s="1341"/>
      <c r="AI57" s="1341"/>
      <c r="AJ57" s="1341"/>
      <c r="AK57" s="1341"/>
      <c r="AL57" s="1341"/>
      <c r="AM57" s="1341"/>
      <c r="AN57" s="1341"/>
      <c r="AO57" s="1341"/>
      <c r="AP57" s="1341"/>
      <c r="AQ57" s="1341"/>
      <c r="AR57" s="1341"/>
      <c r="AS57" s="1341"/>
      <c r="AT57" s="1341"/>
      <c r="AU57" s="1341"/>
      <c r="AV57" s="1341"/>
      <c r="AW57" s="1341"/>
      <c r="AX57" s="1341"/>
      <c r="AY57" s="1341"/>
      <c r="AZ57" s="1341"/>
      <c r="BA57" s="1341"/>
      <c r="BB57" s="1341"/>
      <c r="BC57" s="1341"/>
      <c r="BD57" s="1341"/>
      <c r="BE57" s="1341"/>
      <c r="BF57" s="1341"/>
      <c r="BG57" s="1341"/>
      <c r="BH57" s="1341"/>
      <c r="BI57" s="1341"/>
      <c r="BJ57" s="1341"/>
      <c r="BK57" s="1341"/>
      <c r="BL57" s="1341"/>
      <c r="BM57" s="1341"/>
      <c r="BN57" s="1341"/>
      <c r="BO57" s="1341"/>
      <c r="BP57" s="1341"/>
      <c r="BQ57" s="1341"/>
      <c r="BR57" s="1341"/>
      <c r="BS57" s="1341"/>
      <c r="BT57" s="1341"/>
      <c r="BU57" s="1341"/>
      <c r="BV57" s="1341"/>
      <c r="BW57" s="1341"/>
      <c r="BX57" s="1341"/>
      <c r="BY57" s="1341"/>
      <c r="BZ57" s="1341"/>
      <c r="CA57" s="1341"/>
      <c r="CB57" s="1341"/>
      <c r="CC57" s="1341"/>
      <c r="CD57" s="1341"/>
      <c r="CE57" s="1341"/>
      <c r="CF57" s="1341"/>
      <c r="CG57" s="1341"/>
      <c r="CH57" s="1341"/>
      <c r="CI57" s="1341"/>
      <c r="CJ57" s="1341"/>
      <c r="CK57" s="1341"/>
      <c r="CL57" s="1341"/>
      <c r="CM57" s="1341"/>
      <c r="CN57" s="1341"/>
      <c r="CO57" s="1341"/>
      <c r="CP57" s="1341"/>
      <c r="CQ57" s="1341"/>
      <c r="CR57" s="1341"/>
      <c r="CS57" s="1341"/>
      <c r="CT57" s="1341"/>
      <c r="CU57" s="1341"/>
      <c r="CV57" s="1341"/>
      <c r="CW57" s="1341"/>
      <c r="CX57" s="1341"/>
      <c r="CY57" s="1341"/>
      <c r="CZ57" s="1341"/>
      <c r="DA57" s="1341"/>
      <c r="DB57" s="1341"/>
      <c r="DC57" s="1341"/>
      <c r="DD57" s="1341"/>
      <c r="DE57" s="1341"/>
      <c r="DF57" s="1341"/>
      <c r="DG57" s="1341"/>
      <c r="DI57" s="783"/>
      <c r="DJ57" s="783" t="str">
        <f>IF(T57="","",T57)</f>
        <v>Добавить наименование тарифа</v>
      </c>
      <c r="DK57" s="783"/>
      <c r="DL57" s="783"/>
    </row>
    <row customHeight="1" ht="11.25">
      <c r="M58" s="1155"/>
      <c r="N58" s="1155"/>
      <c r="O58" s="533"/>
      <c r="P58" s="1150"/>
      <c r="Q58" s="1150"/>
      <c r="R58" s="1150"/>
      <c r="S58" s="1150"/>
      <c r="AL58" s="1660"/>
      <c r="AM58" s="1660"/>
      <c r="AN58" s="1660"/>
      <c r="AO58" s="1660"/>
      <c r="AP58" s="1660"/>
      <c r="AQ58" s="1660"/>
      <c r="AR58" s="1660"/>
      <c r="AS58" s="1660"/>
      <c r="AT58" s="1660"/>
      <c r="AU58" s="1660"/>
      <c r="AV58" s="1660"/>
      <c r="AW58" s="1660"/>
      <c r="AX58" s="1660"/>
      <c r="AY58" s="1660"/>
      <c r="AZ58" s="1660"/>
      <c r="BA58" s="1660"/>
      <c r="BB58" s="1660"/>
      <c r="BC58" s="1660"/>
      <c r="BD58" s="1660"/>
      <c r="BE58" s="1660"/>
      <c r="BF58" s="1660"/>
      <c r="BG58" s="1660"/>
      <c r="BH58" s="1660"/>
      <c r="BI58" s="1660"/>
      <c r="BJ58" s="1660"/>
      <c r="BK58" s="1660"/>
      <c r="BL58" s="1660"/>
      <c r="BM58" s="1660"/>
      <c r="BN58" s="1660"/>
      <c r="BO58" s="1660"/>
      <c r="BP58" s="1660"/>
      <c r="BQ58" s="1660"/>
      <c r="BR58" s="1660"/>
      <c r="BS58" s="1660"/>
      <c r="BT58" s="1660"/>
      <c r="BU58" s="1660"/>
      <c r="BV58" s="1660"/>
      <c r="BW58" s="1660"/>
      <c r="BX58" s="1660"/>
      <c r="BY58" s="1660"/>
      <c r="BZ58" s="1660"/>
      <c r="CA58" s="1660"/>
      <c r="CB58" s="1660"/>
      <c r="CC58" s="1660"/>
      <c r="CD58" s="1660"/>
      <c r="CE58" s="1660"/>
      <c r="CF58" s="1660"/>
      <c r="CG58" s="1660"/>
      <c r="CH58" s="1660"/>
      <c r="CI58" s="1660"/>
      <c r="CJ58" s="1660"/>
      <c r="CK58" s="1660"/>
      <c r="CL58" s="1660"/>
      <c r="CM58" s="1660"/>
      <c r="CN58" s="1660"/>
      <c r="CO58" s="1660"/>
      <c r="CP58" s="1660"/>
      <c r="CQ58" s="1660"/>
      <c r="CR58" s="1660"/>
      <c r="CS58" s="1660"/>
      <c r="CT58" s="1660"/>
      <c r="CU58" s="1660"/>
      <c r="CV58" s="1660"/>
      <c r="CW58" s="1660"/>
      <c r="CX58" s="1660"/>
      <c r="CY58" s="1660"/>
      <c r="CZ58" s="1660"/>
      <c r="DA58" s="1660"/>
      <c r="DB58" s="1660"/>
      <c r="DC58" s="1660"/>
      <c r="DD58" s="1660"/>
      <c r="DE58" s="1660"/>
      <c r="DH58" s="1150"/>
      <c r="DI58" s="1150"/>
      <c r="DJ58" s="1150"/>
      <c r="DK58" s="1150"/>
      <c r="DL58" s="1150"/>
    </row>
    <row customHeight="1" ht="27">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215"/>
      <c r="AM59" s="2215"/>
      <c r="AN59" s="2215"/>
      <c r="AO59" s="2215"/>
      <c r="AP59" s="2215"/>
      <c r="AQ59" s="2215"/>
      <c r="AR59" s="2215"/>
      <c r="AS59" s="2215"/>
      <c r="AT59" s="2215"/>
      <c r="AU59" s="2215"/>
      <c r="AV59" s="2215"/>
      <c r="AW59" s="2215"/>
      <c r="AX59" s="2215"/>
      <c r="AY59" s="2215"/>
      <c r="AZ59" s="2215"/>
      <c r="BA59" s="2215"/>
      <c r="BB59" s="2215"/>
      <c r="BC59" s="2215"/>
      <c r="BD59" s="2215"/>
      <c r="BE59" s="2215"/>
      <c r="BF59" s="2215"/>
      <c r="BG59" s="2215"/>
      <c r="BH59" s="2215"/>
      <c r="BI59" s="2215"/>
      <c r="BJ59" s="2215"/>
      <c r="BK59" s="2215"/>
      <c r="BL59" s="2215"/>
      <c r="BM59" s="2215"/>
      <c r="BN59" s="2215"/>
      <c r="BO59" s="2215"/>
      <c r="BP59" s="2215"/>
      <c r="BQ59" s="2215"/>
      <c r="BR59" s="2215"/>
      <c r="BS59" s="2215"/>
      <c r="BT59" s="2215"/>
      <c r="BU59" s="2215"/>
      <c r="BV59" s="2215"/>
      <c r="BW59" s="2215"/>
      <c r="BX59" s="2215"/>
      <c r="BY59" s="2215"/>
      <c r="BZ59" s="2215"/>
      <c r="CA59" s="2215"/>
      <c r="CB59" s="2215"/>
      <c r="CC59" s="2215"/>
      <c r="CD59" s="2215"/>
      <c r="CE59" s="2215"/>
      <c r="CF59" s="2215"/>
      <c r="CG59" s="2215"/>
      <c r="CH59" s="2215"/>
      <c r="CI59" s="2215"/>
      <c r="CJ59" s="2215"/>
      <c r="CK59" s="2215"/>
      <c r="CL59" s="2215"/>
      <c r="CM59" s="2215"/>
      <c r="CN59" s="2215"/>
      <c r="CO59" s="2215"/>
      <c r="CP59" s="2215"/>
      <c r="CQ59" s="2215"/>
      <c r="CR59" s="2215"/>
      <c r="CS59" s="2215"/>
      <c r="CT59" s="2215"/>
      <c r="CU59" s="2215"/>
      <c r="CV59" s="2215"/>
      <c r="CW59" s="2215"/>
      <c r="CX59" s="2215"/>
      <c r="CY59" s="2215"/>
      <c r="CZ59" s="2215"/>
      <c r="DA59" s="2215"/>
      <c r="DB59" s="2215"/>
      <c r="DC59" s="2215"/>
      <c r="DD59" s="2215"/>
      <c r="DE59" s="2215"/>
      <c r="DF59" s="2088"/>
      <c r="DG59" s="2088"/>
    </row>
    <row customHeight="1" ht="75">
      <c r="O60" s="533"/>
      <c r="T60" s="2088"/>
      <c r="U60" s="2088"/>
      <c r="V60" s="2088"/>
      <c r="W60" s="2088"/>
      <c r="X60" s="2088"/>
      <c r="Y60" s="2088"/>
      <c r="Z60" s="2088"/>
      <c r="AA60" s="2088"/>
      <c r="AB60" s="2088"/>
      <c r="AC60" s="2088"/>
      <c r="AD60" s="2088"/>
      <c r="AE60" s="2088"/>
      <c r="AF60" s="2088"/>
      <c r="AG60" s="2088"/>
      <c r="AH60" s="2088"/>
      <c r="AI60" s="2088"/>
      <c r="AJ60" s="2088"/>
      <c r="AK60" s="2088"/>
      <c r="AL60" s="2215"/>
      <c r="AM60" s="2215"/>
      <c r="AN60" s="2215"/>
      <c r="AO60" s="2215"/>
      <c r="AP60" s="2215"/>
      <c r="AQ60" s="2215"/>
      <c r="AR60" s="2215"/>
      <c r="AS60" s="2215"/>
      <c r="AT60" s="2215"/>
      <c r="AU60" s="2215"/>
      <c r="AV60" s="2215"/>
      <c r="AW60" s="2215"/>
      <c r="AX60" s="2215"/>
      <c r="AY60" s="2215"/>
      <c r="AZ60" s="2215"/>
      <c r="BA60" s="2215"/>
      <c r="BB60" s="2215"/>
      <c r="BC60" s="2215"/>
      <c r="BD60" s="2215"/>
      <c r="BE60" s="2215"/>
      <c r="BF60" s="2215"/>
      <c r="BG60" s="2215"/>
      <c r="BH60" s="2215"/>
      <c r="BI60" s="2215"/>
      <c r="BJ60" s="2215"/>
      <c r="BK60" s="2215"/>
      <c r="BL60" s="2215"/>
      <c r="BM60" s="2215"/>
      <c r="BN60" s="2215"/>
      <c r="BO60" s="2215"/>
      <c r="BP60" s="2215"/>
      <c r="BQ60" s="2215"/>
      <c r="BR60" s="2215"/>
      <c r="BS60" s="2215"/>
      <c r="BT60" s="2215"/>
      <c r="BU60" s="2215"/>
      <c r="BV60" s="2215"/>
      <c r="BW60" s="2215"/>
      <c r="BX60" s="2215"/>
      <c r="BY60" s="2215"/>
      <c r="BZ60" s="2215"/>
      <c r="CA60" s="2215"/>
      <c r="CB60" s="2215"/>
      <c r="CC60" s="2215"/>
      <c r="CD60" s="2215"/>
      <c r="CE60" s="2215"/>
      <c r="CF60" s="2215"/>
      <c r="CG60" s="2215"/>
      <c r="CH60" s="2215"/>
      <c r="CI60" s="2215"/>
      <c r="CJ60" s="2215"/>
      <c r="CK60" s="2215"/>
      <c r="CL60" s="2215"/>
      <c r="CM60" s="2215"/>
      <c r="CN60" s="2215"/>
      <c r="CO60" s="2215"/>
      <c r="CP60" s="2215"/>
      <c r="CQ60" s="2215"/>
      <c r="CR60" s="2215"/>
      <c r="CS60" s="2215"/>
      <c r="CT60" s="2215"/>
      <c r="CU60" s="2215"/>
      <c r="CV60" s="2215"/>
      <c r="CW60" s="2215"/>
      <c r="CX60" s="2215"/>
      <c r="CY60" s="2215"/>
      <c r="CZ60" s="2215"/>
      <c r="DA60" s="2215"/>
      <c r="DB60" s="2215"/>
      <c r="DC60" s="2215"/>
      <c r="DD60" s="2215"/>
      <c r="DE60" s="2215"/>
      <c r="DF60" s="2088"/>
      <c r="DG60" s="2088"/>
    </row>
    <row customHeight="1" ht="14.25">
      <c r="O61" s="533"/>
      <c r="AL61" s="1660"/>
      <c r="AM61" s="1660"/>
      <c r="AN61" s="1660"/>
      <c r="AO61" s="1660"/>
      <c r="AP61" s="1660"/>
      <c r="AQ61" s="1660"/>
      <c r="AR61" s="1660"/>
      <c r="AS61" s="1660"/>
      <c r="AT61" s="1660"/>
      <c r="AU61" s="1660"/>
      <c r="AV61" s="1660"/>
      <c r="AW61" s="1660"/>
      <c r="AX61" s="1660"/>
      <c r="AY61" s="1660"/>
      <c r="AZ61" s="1660"/>
      <c r="BA61" s="1660"/>
      <c r="BB61" s="1660"/>
      <c r="BC61" s="1660"/>
      <c r="BD61" s="1660"/>
      <c r="BE61" s="1660"/>
      <c r="BF61" s="1660"/>
      <c r="BG61" s="1660"/>
      <c r="BH61" s="1660"/>
      <c r="BI61" s="1660"/>
      <c r="BJ61" s="1660"/>
      <c r="BK61" s="1660"/>
      <c r="BL61" s="1660"/>
      <c r="BM61" s="1660"/>
      <c r="BN61" s="1660"/>
      <c r="BO61" s="1660"/>
      <c r="BP61" s="1660"/>
      <c r="BQ61" s="1660"/>
      <c r="BR61" s="1660"/>
      <c r="BS61" s="1660"/>
      <c r="BT61" s="1660"/>
      <c r="BU61" s="1660"/>
      <c r="BV61" s="1660"/>
      <c r="BW61" s="1660"/>
      <c r="BX61" s="1660"/>
      <c r="BY61" s="1660"/>
      <c r="BZ61" s="1660"/>
      <c r="CA61" s="1660"/>
      <c r="CB61" s="1660"/>
      <c r="CC61" s="1660"/>
      <c r="CD61" s="1660"/>
      <c r="CE61" s="1660"/>
      <c r="CF61" s="1660"/>
      <c r="CG61" s="1660"/>
      <c r="CH61" s="1660"/>
      <c r="CI61" s="1660"/>
      <c r="CJ61" s="1660"/>
      <c r="CK61" s="1660"/>
      <c r="CL61" s="1660"/>
      <c r="CM61" s="1660"/>
      <c r="CN61" s="1660"/>
      <c r="CO61" s="1660"/>
      <c r="CP61" s="1660"/>
      <c r="CQ61" s="1660"/>
      <c r="CR61" s="1660"/>
      <c r="CS61" s="1660"/>
      <c r="CT61" s="1660"/>
      <c r="CU61" s="1660"/>
      <c r="CV61" s="1660"/>
      <c r="CW61" s="1660"/>
      <c r="CX61" s="1660"/>
      <c r="CY61" s="1660"/>
      <c r="CZ61" s="1660"/>
      <c r="DA61" s="1660"/>
      <c r="DB61" s="1660"/>
      <c r="DC61" s="1660"/>
      <c r="DD61" s="1660"/>
      <c r="DE61" s="1660"/>
    </row>
    <row customHeight="1" ht="18">
      <c r="O62" s="533"/>
      <c r="S62" s="1260"/>
      <c r="T62" s="2088"/>
      <c r="U62" s="2088"/>
      <c r="V62" s="2088"/>
      <c r="W62" s="2088"/>
      <c r="X62" s="2088"/>
      <c r="Y62" s="2088"/>
      <c r="Z62" s="2088"/>
      <c r="AA62" s="2088"/>
      <c r="AB62" s="2088"/>
      <c r="AC62" s="2088"/>
      <c r="AD62" s="2088"/>
      <c r="AE62" s="2088"/>
      <c r="AF62" s="2088"/>
      <c r="AG62" s="2088"/>
      <c r="AH62" s="2088"/>
      <c r="AI62" s="2088"/>
      <c r="AJ62" s="2088"/>
      <c r="AK62" s="2088"/>
      <c r="AL62" s="2215"/>
      <c r="AM62" s="2215"/>
      <c r="AN62" s="2215"/>
      <c r="AO62" s="2215"/>
      <c r="AP62" s="2215"/>
      <c r="AQ62" s="2215"/>
      <c r="AR62" s="2215"/>
      <c r="AS62" s="2215"/>
      <c r="AT62" s="2215"/>
      <c r="AU62" s="2215"/>
      <c r="AV62" s="2215"/>
      <c r="AW62" s="2215"/>
      <c r="AX62" s="2215"/>
      <c r="AY62" s="2215"/>
      <c r="AZ62" s="2215"/>
      <c r="BA62" s="2215"/>
      <c r="BB62" s="2215"/>
      <c r="BC62" s="2215"/>
      <c r="BD62" s="2215"/>
      <c r="BE62" s="2215"/>
      <c r="BF62" s="2215"/>
      <c r="BG62" s="2215"/>
      <c r="BH62" s="2215"/>
      <c r="BI62" s="2215"/>
      <c r="BJ62" s="2215"/>
      <c r="BK62" s="2215"/>
      <c r="BL62" s="2215"/>
      <c r="BM62" s="2215"/>
      <c r="BN62" s="2215"/>
      <c r="BO62" s="2215"/>
      <c r="BP62" s="2215"/>
      <c r="BQ62" s="2215"/>
      <c r="BR62" s="2215"/>
      <c r="BS62" s="2215"/>
      <c r="BT62" s="2215"/>
      <c r="BU62" s="2215"/>
      <c r="BV62" s="2215"/>
      <c r="BW62" s="2215"/>
      <c r="BX62" s="2215"/>
      <c r="BY62" s="2215"/>
      <c r="BZ62" s="2215"/>
      <c r="CA62" s="2215"/>
      <c r="CB62" s="2215"/>
      <c r="CC62" s="2215"/>
      <c r="CD62" s="2215"/>
      <c r="CE62" s="2215"/>
      <c r="CF62" s="2215"/>
      <c r="CG62" s="2215"/>
      <c r="CH62" s="2215"/>
      <c r="CI62" s="2215"/>
      <c r="CJ62" s="2215"/>
      <c r="CK62" s="2215"/>
      <c r="CL62" s="2215"/>
      <c r="CM62" s="2215"/>
      <c r="CN62" s="2215"/>
      <c r="CO62" s="2215"/>
      <c r="CP62" s="2215"/>
      <c r="CQ62" s="2215"/>
      <c r="CR62" s="2215"/>
      <c r="CS62" s="2215"/>
      <c r="CT62" s="2215"/>
      <c r="CU62" s="2215"/>
      <c r="CV62" s="2215"/>
      <c r="CW62" s="2215"/>
      <c r="CX62" s="2215"/>
      <c r="CY62" s="2215"/>
      <c r="CZ62" s="2215"/>
      <c r="DA62" s="2215"/>
      <c r="DB62" s="2215"/>
      <c r="DC62" s="2215"/>
      <c r="DD62" s="2215"/>
      <c r="DE62" s="2215"/>
      <c r="DF62" s="2088"/>
      <c r="DG62" s="2088"/>
    </row>
    <row customHeight="1" ht="18">
      <c r="O63" s="533"/>
      <c r="T63" s="2088"/>
      <c r="U63" s="2088"/>
      <c r="V63" s="2088"/>
      <c r="W63" s="2088"/>
      <c r="X63" s="2088"/>
      <c r="Y63" s="2088"/>
      <c r="Z63" s="2088"/>
      <c r="AA63" s="2088"/>
      <c r="AB63" s="2088"/>
      <c r="AC63" s="2088"/>
      <c r="AD63" s="2088"/>
      <c r="AE63" s="2088"/>
      <c r="AF63" s="2088"/>
      <c r="AG63" s="2088"/>
      <c r="AH63" s="2088"/>
      <c r="AI63" s="2088"/>
      <c r="AJ63" s="2088"/>
      <c r="AK63" s="2088"/>
      <c r="AL63" s="2215"/>
      <c r="AM63" s="2215"/>
      <c r="AN63" s="2215"/>
      <c r="AO63" s="2215"/>
      <c r="AP63" s="2215"/>
      <c r="AQ63" s="2215"/>
      <c r="AR63" s="2215"/>
      <c r="AS63" s="2215"/>
      <c r="AT63" s="2215"/>
      <c r="AU63" s="2215"/>
      <c r="AV63" s="2215"/>
      <c r="AW63" s="2215"/>
      <c r="AX63" s="2215"/>
      <c r="AY63" s="2215"/>
      <c r="AZ63" s="2215"/>
      <c r="BA63" s="2215"/>
      <c r="BB63" s="2215"/>
      <c r="BC63" s="2215"/>
      <c r="BD63" s="2215"/>
      <c r="BE63" s="2215"/>
      <c r="BF63" s="2215"/>
      <c r="BG63" s="2215"/>
      <c r="BH63" s="2215"/>
      <c r="BI63" s="2215"/>
      <c r="BJ63" s="2215"/>
      <c r="BK63" s="2215"/>
      <c r="BL63" s="2215"/>
      <c r="BM63" s="2215"/>
      <c r="BN63" s="2215"/>
      <c r="BO63" s="2215"/>
      <c r="BP63" s="2215"/>
      <c r="BQ63" s="2215"/>
      <c r="BR63" s="2215"/>
      <c r="BS63" s="2215"/>
      <c r="BT63" s="2215"/>
      <c r="BU63" s="2215"/>
      <c r="BV63" s="2215"/>
      <c r="BW63" s="2215"/>
      <c r="BX63" s="2215"/>
      <c r="BY63" s="2215"/>
      <c r="BZ63" s="2215"/>
      <c r="CA63" s="2215"/>
      <c r="CB63" s="2215"/>
      <c r="CC63" s="2215"/>
      <c r="CD63" s="2215"/>
      <c r="CE63" s="2215"/>
      <c r="CF63" s="2215"/>
      <c r="CG63" s="2215"/>
      <c r="CH63" s="2215"/>
      <c r="CI63" s="2215"/>
      <c r="CJ63" s="2215"/>
      <c r="CK63" s="2215"/>
      <c r="CL63" s="2215"/>
      <c r="CM63" s="2215"/>
      <c r="CN63" s="2215"/>
      <c r="CO63" s="2215"/>
      <c r="CP63" s="2215"/>
      <c r="CQ63" s="2215"/>
      <c r="CR63" s="2215"/>
      <c r="CS63" s="2215"/>
      <c r="CT63" s="2215"/>
      <c r="CU63" s="2215"/>
      <c r="CV63" s="2215"/>
      <c r="CW63" s="2215"/>
      <c r="CX63" s="2215"/>
      <c r="CY63" s="2215"/>
      <c r="CZ63" s="2215"/>
      <c r="DA63" s="2215"/>
      <c r="DB63" s="2215"/>
      <c r="DC63" s="2215"/>
      <c r="DD63" s="2215"/>
      <c r="DE63" s="2215"/>
      <c r="DF63" s="2088"/>
      <c r="DG63" s="2088"/>
    </row>
    <row customHeight="1" ht="38.2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215"/>
      <c r="AM64" s="2215"/>
      <c r="AN64" s="2215"/>
      <c r="AO64" s="2215"/>
      <c r="AP64" s="2215"/>
      <c r="AQ64" s="2215"/>
      <c r="AR64" s="2215"/>
      <c r="AS64" s="2215"/>
      <c r="AT64" s="2215"/>
      <c r="AU64" s="2215"/>
      <c r="AV64" s="2215"/>
      <c r="AW64" s="2215"/>
      <c r="AX64" s="2215"/>
      <c r="AY64" s="2215"/>
      <c r="AZ64" s="2215"/>
      <c r="BA64" s="2215"/>
      <c r="BB64" s="2215"/>
      <c r="BC64" s="2215"/>
      <c r="BD64" s="2215"/>
      <c r="BE64" s="2215"/>
      <c r="BF64" s="2215"/>
      <c r="BG64" s="2215"/>
      <c r="BH64" s="2215"/>
      <c r="BI64" s="2215"/>
      <c r="BJ64" s="2215"/>
      <c r="BK64" s="2215"/>
      <c r="BL64" s="2215"/>
      <c r="BM64" s="2215"/>
      <c r="BN64" s="2215"/>
      <c r="BO64" s="2215"/>
      <c r="BP64" s="2215"/>
      <c r="BQ64" s="2215"/>
      <c r="BR64" s="2215"/>
      <c r="BS64" s="2215"/>
      <c r="BT64" s="2215"/>
      <c r="BU64" s="2215"/>
      <c r="BV64" s="2215"/>
      <c r="BW64" s="2215"/>
      <c r="BX64" s="2215"/>
      <c r="BY64" s="2215"/>
      <c r="BZ64" s="2215"/>
      <c r="CA64" s="2215"/>
      <c r="CB64" s="2215"/>
      <c r="CC64" s="2215"/>
      <c r="CD64" s="2215"/>
      <c r="CE64" s="2215"/>
      <c r="CF64" s="2215"/>
      <c r="CG64" s="2215"/>
      <c r="CH64" s="2215"/>
      <c r="CI64" s="2215"/>
      <c r="CJ64" s="2215"/>
      <c r="CK64" s="2215"/>
      <c r="CL64" s="2215"/>
      <c r="CM64" s="2215"/>
      <c r="CN64" s="2215"/>
      <c r="CO64" s="2215"/>
      <c r="CP64" s="2215"/>
      <c r="CQ64" s="2215"/>
      <c r="CR64" s="2215"/>
      <c r="CS64" s="2215"/>
      <c r="CT64" s="2215"/>
      <c r="CU64" s="2215"/>
      <c r="CV64" s="2215"/>
      <c r="CW64" s="2215"/>
      <c r="CX64" s="2215"/>
      <c r="CY64" s="2215"/>
      <c r="CZ64" s="2215"/>
      <c r="DA64" s="2215"/>
      <c r="DB64" s="2215"/>
      <c r="DC64" s="2215"/>
      <c r="DD64" s="2215"/>
      <c r="DE64" s="2215"/>
      <c r="DF64" s="2088"/>
      <c r="DG64" s="2088"/>
    </row>
  </sheetData>
  <sheetProtection formatColumns="0" formatRows="0" autoFilter="0" sort="0" insertRows="0" insertColumns="1" deleteRows="0" deleteColumns="0"/>
  <mergeCells count="308">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DG8:DG10"/>
    <mergeCell ref="AH17:AH18"/>
    <mergeCell ref="AI17:AI18"/>
    <mergeCell ref="AJ17:AJ18"/>
    <mergeCell ref="AK17:AK18"/>
    <mergeCell ref="AA8:AA9"/>
    <mergeCell ref="AB8:AB9"/>
    <mergeCell ref="AC8:AC9"/>
    <mergeCell ref="AH8:AH9"/>
    <mergeCell ref="AI8:AI9"/>
    <mergeCell ref="DG38:DG41"/>
    <mergeCell ref="S39:S41"/>
    <mergeCell ref="T39:T41"/>
    <mergeCell ref="V39:AB39"/>
    <mergeCell ref="AC39:AC41"/>
    <mergeCell ref="AD39:AJ39"/>
    <mergeCell ref="AK39:AK41"/>
    <mergeCell ref="DF39:DF41"/>
    <mergeCell ref="V40:V41"/>
    <mergeCell ref="W40:W41"/>
    <mergeCell ref="Z40:AB40"/>
    <mergeCell ref="E43:E56"/>
    <mergeCell ref="V43:AC43"/>
    <mergeCell ref="AD43:DF43"/>
    <mergeCell ref="F44:F55"/>
    <mergeCell ref="V44:AC44"/>
    <mergeCell ref="AD44:DF44"/>
    <mergeCell ref="G45:G54"/>
    <mergeCell ref="V45:AC45"/>
    <mergeCell ref="AD45:DF45"/>
    <mergeCell ref="H46:H53"/>
    <mergeCell ref="V46:AC46"/>
    <mergeCell ref="AD46:DF46"/>
    <mergeCell ref="I47:I52"/>
    <mergeCell ref="P47:P52"/>
    <mergeCell ref="J48:J51"/>
    <mergeCell ref="Q48:Q51"/>
    <mergeCell ref="V48:AC48"/>
    <mergeCell ref="AD48:DF48"/>
    <mergeCell ref="K49:K50"/>
    <mergeCell ref="Z49:Z50"/>
    <mergeCell ref="AA49:AA50"/>
    <mergeCell ref="AB49:AB50"/>
    <mergeCell ref="AC49:AC50"/>
    <mergeCell ref="AH49:AH50"/>
    <mergeCell ref="AI49:AI50"/>
    <mergeCell ref="AJ49:AJ50"/>
    <mergeCell ref="AK49:AK50"/>
    <mergeCell ref="V5:AC5"/>
    <mergeCell ref="AD5:DF5"/>
    <mergeCell ref="V6:AC6"/>
    <mergeCell ref="AD6:DF6"/>
    <mergeCell ref="V7:AC7"/>
    <mergeCell ref="AD7:DF7"/>
    <mergeCell ref="AH40:AJ40"/>
    <mergeCell ref="AA41:AB41"/>
    <mergeCell ref="AI41:AJ41"/>
    <mergeCell ref="AD32:AJ32"/>
    <mergeCell ref="V37:AC37"/>
    <mergeCell ref="AD37:AK37"/>
    <mergeCell ref="S38:DF38"/>
    <mergeCell ref="S32:T32"/>
    <mergeCell ref="V32:AB32"/>
    <mergeCell ref="AD29:AJ29"/>
    <mergeCell ref="S30:T30"/>
    <mergeCell ref="V30:AB30"/>
    <mergeCell ref="AD30:AJ30"/>
    <mergeCell ref="S31:T31"/>
    <mergeCell ref="V31:AB31"/>
    <mergeCell ref="V2:AC2"/>
    <mergeCell ref="AD2:DF2"/>
    <mergeCell ref="V3:AC3"/>
    <mergeCell ref="AD3:DF3"/>
    <mergeCell ref="V4:AC4"/>
    <mergeCell ref="AD4:DF4"/>
    <mergeCell ref="T62:DG62"/>
    <mergeCell ref="T63:DG63"/>
    <mergeCell ref="T64:DG64"/>
    <mergeCell ref="S34:T34"/>
    <mergeCell ref="V34:AB34"/>
    <mergeCell ref="AD34:AJ34"/>
    <mergeCell ref="S35:T35"/>
    <mergeCell ref="V35:AB35"/>
    <mergeCell ref="AD35:AJ35"/>
    <mergeCell ref="DG49:DG51"/>
    <mergeCell ref="T59:DG59"/>
    <mergeCell ref="T60:DG60"/>
    <mergeCell ref="V47:AC47"/>
    <mergeCell ref="AD47:DF47"/>
    <mergeCell ref="AA42:AB42"/>
    <mergeCell ref="AI42:AJ42"/>
    <mergeCell ref="AD40:AD41"/>
    <mergeCell ref="AE40:AE41"/>
    <mergeCell ref="AP8:AP9"/>
    <mergeCell ref="AL29:AR29"/>
    <mergeCell ref="AQ8:AQ9"/>
    <mergeCell ref="AR8:AR9"/>
    <mergeCell ref="AS8:AS9"/>
    <mergeCell ref="AL39:AR39"/>
    <mergeCell ref="AS39:AS41"/>
    <mergeCell ref="AL40:AL41"/>
    <mergeCell ref="AM40:AM41"/>
    <mergeCell ref="AP40:AR40"/>
    <mergeCell ref="AL30:AR30"/>
    <mergeCell ref="AL31:AR31"/>
    <mergeCell ref="AL32:AR32"/>
    <mergeCell ref="AL34:AR34"/>
    <mergeCell ref="AL35:AR35"/>
    <mergeCell ref="AL37:AS37"/>
    <mergeCell ref="AQ41:AR41"/>
    <mergeCell ref="AQ42:AR42"/>
    <mergeCell ref="AP49:AP50"/>
    <mergeCell ref="AQ49:AQ50"/>
    <mergeCell ref="AR49:AR50"/>
    <mergeCell ref="AS49:AS50"/>
    <mergeCell ref="AX8:AX9"/>
    <mergeCell ref="AT29:AZ29"/>
    <mergeCell ref="AY8:AY9"/>
    <mergeCell ref="AZ8:AZ9"/>
    <mergeCell ref="BA8:BA9"/>
    <mergeCell ref="AT39:AZ39"/>
    <mergeCell ref="BA39:BA41"/>
    <mergeCell ref="AT40:AT41"/>
    <mergeCell ref="AU40:AU41"/>
    <mergeCell ref="AX40:AZ40"/>
    <mergeCell ref="AT30:AZ30"/>
    <mergeCell ref="AT31:AZ31"/>
    <mergeCell ref="AT32:AZ32"/>
    <mergeCell ref="AT34:AZ34"/>
    <mergeCell ref="AT35:AZ35"/>
    <mergeCell ref="AT37:BA37"/>
    <mergeCell ref="AY41:AZ41"/>
    <mergeCell ref="AY42:AZ42"/>
    <mergeCell ref="AX49:AX50"/>
    <mergeCell ref="AY49:AY50"/>
    <mergeCell ref="AZ49:AZ50"/>
    <mergeCell ref="BA49:BA50"/>
    <mergeCell ref="BF8:BF9"/>
    <mergeCell ref="BB29:BH29"/>
    <mergeCell ref="BG8:BG9"/>
    <mergeCell ref="BH8:BH9"/>
    <mergeCell ref="BI8:BI9"/>
    <mergeCell ref="BB39:BH39"/>
    <mergeCell ref="BI39:BI41"/>
    <mergeCell ref="BB40:BB41"/>
    <mergeCell ref="BC40:BC41"/>
    <mergeCell ref="BF40:BH40"/>
    <mergeCell ref="BB30:BH30"/>
    <mergeCell ref="BB31:BH31"/>
    <mergeCell ref="BB32:BH32"/>
    <mergeCell ref="BB34:BH34"/>
    <mergeCell ref="BB35:BH35"/>
    <mergeCell ref="BB37:BI37"/>
    <mergeCell ref="BG41:BH41"/>
    <mergeCell ref="BG42:BH42"/>
    <mergeCell ref="BF49:BF50"/>
    <mergeCell ref="BG49:BG50"/>
    <mergeCell ref="BH49:BH50"/>
    <mergeCell ref="BI49:BI50"/>
    <mergeCell ref="BN8:BN9"/>
    <mergeCell ref="BJ29:BP29"/>
    <mergeCell ref="BO8:BO9"/>
    <mergeCell ref="BP8:BP9"/>
    <mergeCell ref="BQ8:BQ9"/>
    <mergeCell ref="BJ39:BP39"/>
    <mergeCell ref="BQ39:BQ41"/>
    <mergeCell ref="BJ40:BJ41"/>
    <mergeCell ref="BK40:BK41"/>
    <mergeCell ref="BN40:BP40"/>
    <mergeCell ref="BJ30:BP30"/>
    <mergeCell ref="BJ31:BP31"/>
    <mergeCell ref="BJ32:BP32"/>
    <mergeCell ref="BJ34:BP34"/>
    <mergeCell ref="BJ35:BP35"/>
    <mergeCell ref="BJ37:BQ37"/>
    <mergeCell ref="BO41:BP41"/>
    <mergeCell ref="BO42:BP42"/>
    <mergeCell ref="BN49:BN50"/>
    <mergeCell ref="BO49:BO50"/>
    <mergeCell ref="BP49:BP50"/>
    <mergeCell ref="BQ49:BQ50"/>
    <mergeCell ref="BV8:BV9"/>
    <mergeCell ref="BR29:BX29"/>
    <mergeCell ref="BW8:BW9"/>
    <mergeCell ref="BX8:BX9"/>
    <mergeCell ref="BY8:BY9"/>
    <mergeCell ref="BR39:BX39"/>
    <mergeCell ref="BY39:BY41"/>
    <mergeCell ref="BR40:BR41"/>
    <mergeCell ref="BS40:BS41"/>
    <mergeCell ref="BV40:BX40"/>
    <mergeCell ref="BR30:BX30"/>
    <mergeCell ref="BR31:BX31"/>
    <mergeCell ref="BR32:BX32"/>
    <mergeCell ref="BR34:BX34"/>
    <mergeCell ref="BR35:BX35"/>
    <mergeCell ref="BR37:BY37"/>
    <mergeCell ref="BW41:BX41"/>
    <mergeCell ref="BW42:BX42"/>
    <mergeCell ref="BV49:BV50"/>
    <mergeCell ref="BW49:BW50"/>
    <mergeCell ref="BX49:BX50"/>
    <mergeCell ref="BY49:BY50"/>
    <mergeCell ref="CD8:CD9"/>
    <mergeCell ref="BZ29:CF29"/>
    <mergeCell ref="CE8:CE9"/>
    <mergeCell ref="CF8:CF9"/>
    <mergeCell ref="CG8:CG9"/>
    <mergeCell ref="BZ39:CF39"/>
    <mergeCell ref="CG39:CG41"/>
    <mergeCell ref="BZ40:BZ41"/>
    <mergeCell ref="CA40:CA41"/>
    <mergeCell ref="CD40:CF40"/>
    <mergeCell ref="BZ30:CF30"/>
    <mergeCell ref="BZ31:CF31"/>
    <mergeCell ref="BZ32:CF32"/>
    <mergeCell ref="BZ34:CF34"/>
    <mergeCell ref="BZ35:CF35"/>
    <mergeCell ref="BZ37:CG37"/>
    <mergeCell ref="CE41:CF41"/>
    <mergeCell ref="CE42:CF42"/>
    <mergeCell ref="CD49:CD50"/>
    <mergeCell ref="CE49:CE50"/>
    <mergeCell ref="CF49:CF50"/>
    <mergeCell ref="CG49:CG50"/>
    <mergeCell ref="CL8:CL9"/>
    <mergeCell ref="CH29:CN29"/>
    <mergeCell ref="CM8:CM9"/>
    <mergeCell ref="CN8:CN9"/>
    <mergeCell ref="CO8:CO9"/>
    <mergeCell ref="CH39:CN39"/>
    <mergeCell ref="CO39:CO41"/>
    <mergeCell ref="CH40:CH41"/>
    <mergeCell ref="CI40:CI41"/>
    <mergeCell ref="CL40:CN40"/>
    <mergeCell ref="CH30:CN30"/>
    <mergeCell ref="CH31:CN31"/>
    <mergeCell ref="CH32:CN32"/>
    <mergeCell ref="CH34:CN34"/>
    <mergeCell ref="CH35:CN35"/>
    <mergeCell ref="CH37:CO37"/>
    <mergeCell ref="CM41:CN41"/>
    <mergeCell ref="CM42:CN42"/>
    <mergeCell ref="CL49:CL50"/>
    <mergeCell ref="CM49:CM50"/>
    <mergeCell ref="CN49:CN50"/>
    <mergeCell ref="CO49:CO50"/>
    <mergeCell ref="CT8:CT9"/>
    <mergeCell ref="CP29:CV29"/>
    <mergeCell ref="CU8:CU9"/>
    <mergeCell ref="CV8:CV9"/>
    <mergeCell ref="CW8:CW9"/>
    <mergeCell ref="CP39:CV39"/>
    <mergeCell ref="CW39:CW41"/>
    <mergeCell ref="CP40:CP41"/>
    <mergeCell ref="CQ40:CQ41"/>
    <mergeCell ref="CT40:CV40"/>
    <mergeCell ref="CP30:CV30"/>
    <mergeCell ref="CP31:CV31"/>
    <mergeCell ref="CP32:CV32"/>
    <mergeCell ref="CP34:CV34"/>
    <mergeCell ref="CP35:CV35"/>
    <mergeCell ref="CP37:CW37"/>
    <mergeCell ref="CU41:CV41"/>
    <mergeCell ref="CU42:CV42"/>
    <mergeCell ref="CT49:CT50"/>
    <mergeCell ref="CU49:CU50"/>
    <mergeCell ref="CV49:CV50"/>
    <mergeCell ref="CW49:CW50"/>
    <mergeCell ref="DB8:DB9"/>
    <mergeCell ref="CX29:DD29"/>
    <mergeCell ref="DC8:DC9"/>
    <mergeCell ref="DD8:DD9"/>
    <mergeCell ref="DE8:DE9"/>
    <mergeCell ref="CX39:DD39"/>
    <mergeCell ref="DE39:DE41"/>
    <mergeCell ref="CX40:CX41"/>
    <mergeCell ref="CY40:CY41"/>
    <mergeCell ref="DB40:DD40"/>
    <mergeCell ref="CX30:DD30"/>
    <mergeCell ref="CX31:DD31"/>
    <mergeCell ref="CX32:DD32"/>
    <mergeCell ref="CX34:DD34"/>
    <mergeCell ref="CX35:DD35"/>
    <mergeCell ref="CX37:DE37"/>
    <mergeCell ref="DC41:DD41"/>
    <mergeCell ref="DC42:DD42"/>
    <mergeCell ref="DB49:DB50"/>
    <mergeCell ref="DC49:DC50"/>
    <mergeCell ref="DD49:DD50"/>
    <mergeCell ref="DE49:DE50"/>
  </mergeCells>
  <dataValidations count="8">
    <dataValidation allowBlank="1" sqref="S131123:DG131129 S196659:DG196665 S262195:DG262201 S327731:DG327737 S393267:DG393273 S458803:DG458809 S524339:DG524345 S589875:DG589881 S655411:DG655417 S720947:DG720953 S786483:DG786489 S852019:DG852025 S917555:DG917561 S983091:DG983097 S65587:DG65593"/>
    <dataValidation type="list" allowBlank="1" showInputMessage="1" errorTitle="Ошибка" error="Выберите значение из списка" prompt="Выберите значение из списка" sqref="V983088:DF983088 V65584:DF65584 V131120:DF131120 V196656:DF196656 V262192:DF262192 V327728:DF327728 V393264:DF393264 V458800:DF458800 V524336:DF524336 V589872:DF589872 V655408:DF655408 V720944:DF720944 V786480:DF786480 V852016:DF852016 V917552:DF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DG65579:DG65586 DG131115:DG131122 DG196651:DG196658 DG262187:DG262194 DG327723:DG327730 DG393259:DG393266 DG458795:DG458802 DG524331:DG524338 DG589867:DG589874 DG655403:DG655410 DG720939:DG720946 DG786475:DG786482 DG852011:DG852018 DG917547:DG917554 DG983083:DG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CD8 CF8 CD49 CF49 CL8 CN8 CL49 CN49 CT8 CV8 CT49 CV49 DB8 DD8 DB49 DD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DE524337 AK8 AQ8 AS8 AY8 BA8 BG8 BI8 BO8 BQ8 BW8 BY8 CE8 CG8 CM8 CO8 CU8 CW8 DC8 DE8 AK589873:DE589873 AK655409:DE655409 AK17 AK720945:DE720945 AK786481:DE786481 AK852017:DE852017 AK917553:DE917553 AK983089:DE983089 AK65585:DE65585 AK131121:DE131121 AK458801:DE458801 AK196657:DE196657 AK262193:DE262193 AI49 AI8 AC8 AA8 AI17 AK327729:DE327729 AK393265:DE393265 AA49 AC49 AK49 AQ49 AS49 AY49 BA49 BG49 BI49 BO49 BQ49 BW49 BY49 CE49 CG49 CM49 CO49 CU49 CW49 DC49 DE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BU9 BU50 CC9 CC50 CK9 CK50 CS9 CS50 DA9 DA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218B9A-C753-50FC-F04D-E2763515BA56}" mc:Ignorable="x14ac xr xr2 xr3">
  <sheetPr>
    <tabColor theme="6" tint="0.4"/>
  </sheetPr>
  <dimension ref="A1:DL65"/>
  <sheetViews>
    <sheetView topLeftCell="CK25" showGridLines="0" zoomScale="90" workbookViewId="0">
      <selection activeCell="CX49" sqref="CX49"/>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customWidth="1"/>
    <col min="109" max="109" width="10.57421875" hidden="1"/>
    <col min="110" max="110" style="1660" width="4.7109375" customWidth="1"/>
    <col min="111" max="111" style="1660" width="115.7109375" customWidth="1"/>
    <col min="112" max="113" style="1667" width="10.57421875"/>
    <col min="114" max="114" style="1667" width="11.140625" customWidth="1"/>
    <col min="115" max="116" style="1667" width="10.57421875"/>
  </cols>
  <sheetData>
    <row customHeight="1" ht="14.25" hidden="1">
      <c r="Y1" s="315"/>
      <c r="Z1" s="315"/>
      <c r="AG1" s="315"/>
      <c r="AH1" s="315"/>
      <c r="AL1" s="1660"/>
      <c r="AM1" s="1660"/>
      <c r="AN1" s="1660"/>
      <c r="AO1" s="1660"/>
      <c r="AP1" s="1660"/>
      <c r="AQ1" s="1660"/>
      <c r="AR1" s="1660"/>
      <c r="AS1" s="1660"/>
      <c r="AT1" s="1660"/>
      <c r="AU1" s="1660"/>
      <c r="AV1" s="1660"/>
      <c r="AW1" s="1660"/>
      <c r="AX1" s="1660"/>
      <c r="AY1" s="1660"/>
      <c r="AZ1" s="1660"/>
      <c r="BA1" s="1660"/>
      <c r="BB1" s="1660"/>
      <c r="BC1" s="1660"/>
      <c r="BD1" s="1660"/>
      <c r="BE1" s="1660"/>
      <c r="BF1" s="1660"/>
      <c r="BG1" s="1660"/>
      <c r="BH1" s="1660"/>
      <c r="BI1" s="1660"/>
      <c r="BJ1" s="1660"/>
      <c r="BK1" s="1660"/>
      <c r="BL1" s="1660"/>
      <c r="BM1" s="1660"/>
      <c r="BN1" s="1660"/>
      <c r="BO1" s="1660"/>
      <c r="BP1" s="1660"/>
      <c r="BQ1" s="1660"/>
      <c r="BR1" s="1660"/>
      <c r="BS1" s="1660"/>
      <c r="BT1" s="1660"/>
      <c r="BU1" s="1660"/>
      <c r="BV1" s="1660"/>
      <c r="BW1" s="1660"/>
      <c r="BX1" s="1660"/>
      <c r="BY1" s="1660"/>
      <c r="BZ1" s="1660"/>
      <c r="CA1" s="1660"/>
      <c r="CB1" s="1660"/>
      <c r="CC1" s="1660"/>
      <c r="CD1" s="1660"/>
      <c r="CE1" s="1660"/>
      <c r="CF1" s="1660"/>
      <c r="CG1" s="1660"/>
      <c r="CH1" s="1660"/>
      <c r="CI1" s="1660"/>
      <c r="CJ1" s="1660"/>
      <c r="CK1" s="1660"/>
      <c r="CL1" s="1660"/>
      <c r="CM1" s="1660"/>
      <c r="CN1" s="1660"/>
      <c r="CO1" s="1660"/>
      <c r="CP1" s="1660"/>
      <c r="CQ1" s="1660"/>
      <c r="CR1" s="1660"/>
      <c r="CS1" s="1660"/>
      <c r="CT1" s="1660"/>
      <c r="CU1" s="1660"/>
      <c r="CV1" s="1660"/>
      <c r="CW1" s="1660"/>
      <c r="CX1" s="1660"/>
      <c r="CY1" s="1660"/>
      <c r="CZ1" s="1660"/>
      <c r="DA1" s="1660"/>
      <c r="DB1" s="1660"/>
      <c r="DC1" s="1660"/>
      <c r="DD1" s="1660"/>
      <c r="DE1" s="1660"/>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3"/>
      <c r="AM2" s="2084"/>
      <c r="AN2" s="2084"/>
      <c r="AO2" s="2084"/>
      <c r="AP2" s="2084"/>
      <c r="AQ2" s="2084"/>
      <c r="AR2" s="2084"/>
      <c r="AS2" s="2085"/>
      <c r="AT2" s="2083"/>
      <c r="AU2" s="2084"/>
      <c r="AV2" s="2084"/>
      <c r="AW2" s="2084"/>
      <c r="AX2" s="2084"/>
      <c r="AY2" s="2084"/>
      <c r="AZ2" s="2084"/>
      <c r="BA2" s="2085"/>
      <c r="BB2" s="2083"/>
      <c r="BC2" s="2084"/>
      <c r="BD2" s="2084"/>
      <c r="BE2" s="2084"/>
      <c r="BF2" s="2084"/>
      <c r="BG2" s="2084"/>
      <c r="BH2" s="2084"/>
      <c r="BI2" s="2085"/>
      <c r="BJ2" s="2083"/>
      <c r="BK2" s="2084"/>
      <c r="BL2" s="2084"/>
      <c r="BM2" s="2084"/>
      <c r="BN2" s="2084"/>
      <c r="BO2" s="2084"/>
      <c r="BP2" s="2084"/>
      <c r="BQ2" s="2085"/>
      <c r="BR2" s="2083"/>
      <c r="BS2" s="2084"/>
      <c r="BT2" s="2084"/>
      <c r="BU2" s="2084"/>
      <c r="BV2" s="2084"/>
      <c r="BW2" s="2084"/>
      <c r="BX2" s="2084"/>
      <c r="BY2" s="2085"/>
      <c r="BZ2" s="2083"/>
      <c r="CA2" s="2084"/>
      <c r="CB2" s="2084"/>
      <c r="CC2" s="2084"/>
      <c r="CD2" s="2084"/>
      <c r="CE2" s="2084"/>
      <c r="CF2" s="2084"/>
      <c r="CG2" s="2085"/>
      <c r="CH2" s="2083"/>
      <c r="CI2" s="2084"/>
      <c r="CJ2" s="2084"/>
      <c r="CK2" s="2084"/>
      <c r="CL2" s="2084"/>
      <c r="CM2" s="2084"/>
      <c r="CN2" s="2084"/>
      <c r="CO2" s="2085"/>
      <c r="CP2" s="2083"/>
      <c r="CQ2" s="2084"/>
      <c r="CR2" s="2084"/>
      <c r="CS2" s="2084"/>
      <c r="CT2" s="2084"/>
      <c r="CU2" s="2084"/>
      <c r="CV2" s="2084"/>
      <c r="CW2" s="2085"/>
      <c r="CX2" s="2083"/>
      <c r="CY2" s="2084"/>
      <c r="CZ2" s="2084"/>
      <c r="DA2" s="2084"/>
      <c r="DB2" s="2084"/>
      <c r="DC2" s="2084"/>
      <c r="DD2" s="2084"/>
      <c r="DE2" s="2085"/>
      <c r="DF2" s="2085"/>
      <c r="DG2" s="1273" t="s">
        <v>410</v>
      </c>
      <c r="DI2" s="496"/>
      <c r="DJ2" s="496" t="str">
        <f>IF(T2="","",T2)</f>
        <v>Наименование тарифа</v>
      </c>
      <c r="DK2" s="496"/>
      <c r="DL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411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3"/>
      <c r="AM3" s="2084"/>
      <c r="AN3" s="2084"/>
      <c r="AO3" s="2084"/>
      <c r="AP3" s="2084"/>
      <c r="AQ3" s="2084"/>
      <c r="AR3" s="2084"/>
      <c r="AS3" s="2085"/>
      <c r="AT3" s="2083"/>
      <c r="AU3" s="2084"/>
      <c r="AV3" s="2084"/>
      <c r="AW3" s="2084"/>
      <c r="AX3" s="2084"/>
      <c r="AY3" s="2084"/>
      <c r="AZ3" s="2084"/>
      <c r="BA3" s="2085"/>
      <c r="BB3" s="2083"/>
      <c r="BC3" s="2084"/>
      <c r="BD3" s="2084"/>
      <c r="BE3" s="2084"/>
      <c r="BF3" s="2084"/>
      <c r="BG3" s="2084"/>
      <c r="BH3" s="2084"/>
      <c r="BI3" s="2085"/>
      <c r="BJ3" s="2083"/>
      <c r="BK3" s="2084"/>
      <c r="BL3" s="2084"/>
      <c r="BM3" s="2084"/>
      <c r="BN3" s="2084"/>
      <c r="BO3" s="2084"/>
      <c r="BP3" s="2084"/>
      <c r="BQ3" s="2085"/>
      <c r="BR3" s="2083"/>
      <c r="BS3" s="2084"/>
      <c r="BT3" s="2084"/>
      <c r="BU3" s="2084"/>
      <c r="BV3" s="2084"/>
      <c r="BW3" s="2084"/>
      <c r="BX3" s="2084"/>
      <c r="BY3" s="2085"/>
      <c r="BZ3" s="2083"/>
      <c r="CA3" s="2084"/>
      <c r="CB3" s="2084"/>
      <c r="CC3" s="2084"/>
      <c r="CD3" s="2084"/>
      <c r="CE3" s="2084"/>
      <c r="CF3" s="2084"/>
      <c r="CG3" s="2085"/>
      <c r="CH3" s="2083"/>
      <c r="CI3" s="2084"/>
      <c r="CJ3" s="2084"/>
      <c r="CK3" s="2084"/>
      <c r="CL3" s="2084"/>
      <c r="CM3" s="2084"/>
      <c r="CN3" s="2084"/>
      <c r="CO3" s="2085"/>
      <c r="CP3" s="2083"/>
      <c r="CQ3" s="2084"/>
      <c r="CR3" s="2084"/>
      <c r="CS3" s="2084"/>
      <c r="CT3" s="2084"/>
      <c r="CU3" s="2084"/>
      <c r="CV3" s="2084"/>
      <c r="CW3" s="2085"/>
      <c r="CX3" s="2083"/>
      <c r="CY3" s="2084"/>
      <c r="CZ3" s="2084"/>
      <c r="DA3" s="2084"/>
      <c r="DB3" s="2084"/>
      <c r="DC3" s="2084"/>
      <c r="DD3" s="2084"/>
      <c r="DE3" s="2085"/>
      <c r="DF3" s="2085"/>
      <c r="DG3" s="1273" t="s">
        <v>412</v>
      </c>
      <c r="DI3" s="496"/>
      <c r="DJ3" s="496" t="str">
        <f>IF(T3="","",T3)</f>
        <v>Территория действия тарифа</v>
      </c>
      <c r="DK3" s="496"/>
      <c r="DL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413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3"/>
      <c r="AM4" s="2084"/>
      <c r="AN4" s="2084"/>
      <c r="AO4" s="2084"/>
      <c r="AP4" s="2084"/>
      <c r="AQ4" s="2084"/>
      <c r="AR4" s="2084"/>
      <c r="AS4" s="2085"/>
      <c r="AT4" s="2083"/>
      <c r="AU4" s="2084"/>
      <c r="AV4" s="2084"/>
      <c r="AW4" s="2084"/>
      <c r="AX4" s="2084"/>
      <c r="AY4" s="2084"/>
      <c r="AZ4" s="2084"/>
      <c r="BA4" s="2085"/>
      <c r="BB4" s="2083"/>
      <c r="BC4" s="2084"/>
      <c r="BD4" s="2084"/>
      <c r="BE4" s="2084"/>
      <c r="BF4" s="2084"/>
      <c r="BG4" s="2084"/>
      <c r="BH4" s="2084"/>
      <c r="BI4" s="2085"/>
      <c r="BJ4" s="2083"/>
      <c r="BK4" s="2084"/>
      <c r="BL4" s="2084"/>
      <c r="BM4" s="2084"/>
      <c r="BN4" s="2084"/>
      <c r="BO4" s="2084"/>
      <c r="BP4" s="2084"/>
      <c r="BQ4" s="2085"/>
      <c r="BR4" s="2083"/>
      <c r="BS4" s="2084"/>
      <c r="BT4" s="2084"/>
      <c r="BU4" s="2084"/>
      <c r="BV4" s="2084"/>
      <c r="BW4" s="2084"/>
      <c r="BX4" s="2084"/>
      <c r="BY4" s="2085"/>
      <c r="BZ4" s="2083"/>
      <c r="CA4" s="2084"/>
      <c r="CB4" s="2084"/>
      <c r="CC4" s="2084"/>
      <c r="CD4" s="2084"/>
      <c r="CE4" s="2084"/>
      <c r="CF4" s="2084"/>
      <c r="CG4" s="2085"/>
      <c r="CH4" s="2083"/>
      <c r="CI4" s="2084"/>
      <c r="CJ4" s="2084"/>
      <c r="CK4" s="2084"/>
      <c r="CL4" s="2084"/>
      <c r="CM4" s="2084"/>
      <c r="CN4" s="2084"/>
      <c r="CO4" s="2085"/>
      <c r="CP4" s="2083"/>
      <c r="CQ4" s="2084"/>
      <c r="CR4" s="2084"/>
      <c r="CS4" s="2084"/>
      <c r="CT4" s="2084"/>
      <c r="CU4" s="2084"/>
      <c r="CV4" s="2084"/>
      <c r="CW4" s="2085"/>
      <c r="CX4" s="2083"/>
      <c r="CY4" s="2084"/>
      <c r="CZ4" s="2084"/>
      <c r="DA4" s="2084"/>
      <c r="DB4" s="2084"/>
      <c r="DC4" s="2084"/>
      <c r="DD4" s="2084"/>
      <c r="DE4" s="2085"/>
      <c r="DF4" s="2085"/>
      <c r="DG4" s="1273" t="s">
        <v>414</v>
      </c>
      <c r="DI4" s="496"/>
      <c r="DJ4" s="496" t="str">
        <f>IF(T4="","",T4)</f>
        <v>Наименование системы теплоснабжения </v>
      </c>
      <c r="DK4" s="496"/>
      <c r="DL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415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3"/>
      <c r="AM5" s="2084"/>
      <c r="AN5" s="2084"/>
      <c r="AO5" s="2084"/>
      <c r="AP5" s="2084"/>
      <c r="AQ5" s="2084"/>
      <c r="AR5" s="2084"/>
      <c r="AS5" s="2085"/>
      <c r="AT5" s="2083"/>
      <c r="AU5" s="2084"/>
      <c r="AV5" s="2084"/>
      <c r="AW5" s="2084"/>
      <c r="AX5" s="2084"/>
      <c r="AY5" s="2084"/>
      <c r="AZ5" s="2084"/>
      <c r="BA5" s="2085"/>
      <c r="BB5" s="2083"/>
      <c r="BC5" s="2084"/>
      <c r="BD5" s="2084"/>
      <c r="BE5" s="2084"/>
      <c r="BF5" s="2084"/>
      <c r="BG5" s="2084"/>
      <c r="BH5" s="2084"/>
      <c r="BI5" s="2085"/>
      <c r="BJ5" s="2083"/>
      <c r="BK5" s="2084"/>
      <c r="BL5" s="2084"/>
      <c r="BM5" s="2084"/>
      <c r="BN5" s="2084"/>
      <c r="BO5" s="2084"/>
      <c r="BP5" s="2084"/>
      <c r="BQ5" s="2085"/>
      <c r="BR5" s="2083"/>
      <c r="BS5" s="2084"/>
      <c r="BT5" s="2084"/>
      <c r="BU5" s="2084"/>
      <c r="BV5" s="2084"/>
      <c r="BW5" s="2084"/>
      <c r="BX5" s="2084"/>
      <c r="BY5" s="2085"/>
      <c r="BZ5" s="2083"/>
      <c r="CA5" s="2084"/>
      <c r="CB5" s="2084"/>
      <c r="CC5" s="2084"/>
      <c r="CD5" s="2084"/>
      <c r="CE5" s="2084"/>
      <c r="CF5" s="2084"/>
      <c r="CG5" s="2085"/>
      <c r="CH5" s="2083"/>
      <c r="CI5" s="2084"/>
      <c r="CJ5" s="2084"/>
      <c r="CK5" s="2084"/>
      <c r="CL5" s="2084"/>
      <c r="CM5" s="2084"/>
      <c r="CN5" s="2084"/>
      <c r="CO5" s="2085"/>
      <c r="CP5" s="2083"/>
      <c r="CQ5" s="2084"/>
      <c r="CR5" s="2084"/>
      <c r="CS5" s="2084"/>
      <c r="CT5" s="2084"/>
      <c r="CU5" s="2084"/>
      <c r="CV5" s="2084"/>
      <c r="CW5" s="2085"/>
      <c r="CX5" s="2083"/>
      <c r="CY5" s="2084"/>
      <c r="CZ5" s="2084"/>
      <c r="DA5" s="2084"/>
      <c r="DB5" s="2084"/>
      <c r="DC5" s="2084"/>
      <c r="DD5" s="2084"/>
      <c r="DE5" s="2085"/>
      <c r="DF5" s="2085"/>
      <c r="DG5" s="1273" t="s">
        <v>416</v>
      </c>
      <c r="DI5" s="496"/>
      <c r="DJ5" s="496" t="str">
        <f>IF(T5="","",T5)</f>
        <v>Источник тепловой энергии  </v>
      </c>
      <c r="DK5" s="496"/>
      <c r="DL5" s="496"/>
    </row>
    <row customHeight="1" ht="14.25" hidden="1">
      <c r="A6" s="1380"/>
      <c r="B6" s="1380"/>
      <c r="C6" s="1380"/>
      <c r="D6" s="1380"/>
      <c r="E6" s="2090"/>
      <c r="F6" s="2090"/>
      <c r="G6" s="2090"/>
      <c r="H6" s="2090"/>
      <c r="I6" s="2091">
        <f>S5&amp;".1"</f>
      </c>
      <c r="J6" s="1380"/>
      <c r="K6" s="1380"/>
      <c r="L6" s="1381" t="s">
        <v>417</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29"/>
      <c r="AM6" s="2130"/>
      <c r="AN6" s="2130"/>
      <c r="AO6" s="2130"/>
      <c r="AP6" s="2130"/>
      <c r="AQ6" s="2130"/>
      <c r="AR6" s="2130"/>
      <c r="AS6" s="2131"/>
      <c r="AT6" s="2129"/>
      <c r="AU6" s="2130"/>
      <c r="AV6" s="2130"/>
      <c r="AW6" s="2130"/>
      <c r="AX6" s="2130"/>
      <c r="AY6" s="2130"/>
      <c r="AZ6" s="2130"/>
      <c r="BA6" s="2131"/>
      <c r="BB6" s="2129"/>
      <c r="BC6" s="2130"/>
      <c r="BD6" s="2130"/>
      <c r="BE6" s="2130"/>
      <c r="BF6" s="2130"/>
      <c r="BG6" s="2130"/>
      <c r="BH6" s="2130"/>
      <c r="BI6" s="2131"/>
      <c r="BJ6" s="2129"/>
      <c r="BK6" s="2130"/>
      <c r="BL6" s="2130"/>
      <c r="BM6" s="2130"/>
      <c r="BN6" s="2130"/>
      <c r="BO6" s="2130"/>
      <c r="BP6" s="2130"/>
      <c r="BQ6" s="2131"/>
      <c r="BR6" s="2129"/>
      <c r="BS6" s="2130"/>
      <c r="BT6" s="2130"/>
      <c r="BU6" s="2130"/>
      <c r="BV6" s="2130"/>
      <c r="BW6" s="2130"/>
      <c r="BX6" s="2130"/>
      <c r="BY6" s="2131"/>
      <c r="BZ6" s="2129"/>
      <c r="CA6" s="2130"/>
      <c r="CB6" s="2130"/>
      <c r="CC6" s="2130"/>
      <c r="CD6" s="2130"/>
      <c r="CE6" s="2130"/>
      <c r="CF6" s="2130"/>
      <c r="CG6" s="2131"/>
      <c r="CH6" s="2129"/>
      <c r="CI6" s="2130"/>
      <c r="CJ6" s="2130"/>
      <c r="CK6" s="2130"/>
      <c r="CL6" s="2130"/>
      <c r="CM6" s="2130"/>
      <c r="CN6" s="2130"/>
      <c r="CO6" s="2131"/>
      <c r="CP6" s="2129"/>
      <c r="CQ6" s="2130"/>
      <c r="CR6" s="2130"/>
      <c r="CS6" s="2130"/>
      <c r="CT6" s="2130"/>
      <c r="CU6" s="2130"/>
      <c r="CV6" s="2130"/>
      <c r="CW6" s="2131"/>
      <c r="CX6" s="2129"/>
      <c r="CY6" s="2130"/>
      <c r="CZ6" s="2130"/>
      <c r="DA6" s="2130"/>
      <c r="DB6" s="2130"/>
      <c r="DC6" s="2130"/>
      <c r="DD6" s="2130"/>
      <c r="DE6" s="2131"/>
      <c r="DF6" s="2131"/>
      <c r="DG6" s="1402"/>
      <c r="DI6" s="496"/>
      <c r="DJ6" s="496" t="str">
        <f>IF(T6="","",T6)</f>
        <v/>
      </c>
      <c r="DK6" s="496"/>
      <c r="DL6" s="496"/>
    </row>
    <row customHeight="1" ht="21" hidden="1">
      <c r="A7" s="1380"/>
      <c r="B7" s="1380"/>
      <c r="C7" s="1380"/>
      <c r="D7" s="1380"/>
      <c r="E7" s="2090"/>
      <c r="F7" s="2090"/>
      <c r="G7" s="2090"/>
      <c r="H7" s="2090"/>
      <c r="I7" s="2092"/>
      <c r="J7" s="2091">
        <f>I6&amp;".1"</f>
      </c>
      <c r="K7" s="1380"/>
      <c r="L7" s="1381" t="s">
        <v>420</v>
      </c>
      <c r="M7" s="533"/>
      <c r="N7" s="1383"/>
      <c r="P7" s="2093"/>
      <c r="Q7" s="2093">
        <v>1</v>
      </c>
      <c r="R7" s="345"/>
      <c r="S7" s="1353">
        <f>$J7</f>
      </c>
      <c r="T7" s="267" t="s">
        <v>421</v>
      </c>
      <c r="U7" s="280"/>
      <c r="V7" s="2077"/>
      <c r="W7" s="2078"/>
      <c r="X7" s="2078"/>
      <c r="Y7" s="2078"/>
      <c r="Z7" s="2078"/>
      <c r="AA7" s="2078"/>
      <c r="AB7" s="2078"/>
      <c r="AC7" s="2079"/>
      <c r="AD7" s="2077"/>
      <c r="AE7" s="2078"/>
      <c r="AF7" s="2078"/>
      <c r="AG7" s="2078"/>
      <c r="AH7" s="2078"/>
      <c r="AI7" s="2078"/>
      <c r="AJ7" s="2078"/>
      <c r="AK7" s="2078"/>
      <c r="AL7" s="2077"/>
      <c r="AM7" s="2078"/>
      <c r="AN7" s="2078"/>
      <c r="AO7" s="2078"/>
      <c r="AP7" s="2078"/>
      <c r="AQ7" s="2078"/>
      <c r="AR7" s="2078"/>
      <c r="AS7" s="2079"/>
      <c r="AT7" s="2077"/>
      <c r="AU7" s="2078"/>
      <c r="AV7" s="2078"/>
      <c r="AW7" s="2078"/>
      <c r="AX7" s="2078"/>
      <c r="AY7" s="2078"/>
      <c r="AZ7" s="2078"/>
      <c r="BA7" s="2079"/>
      <c r="BB7" s="2077"/>
      <c r="BC7" s="2078"/>
      <c r="BD7" s="2078"/>
      <c r="BE7" s="2078"/>
      <c r="BF7" s="2078"/>
      <c r="BG7" s="2078"/>
      <c r="BH7" s="2078"/>
      <c r="BI7" s="2079"/>
      <c r="BJ7" s="2077"/>
      <c r="BK7" s="2078"/>
      <c r="BL7" s="2078"/>
      <c r="BM7" s="2078"/>
      <c r="BN7" s="2078"/>
      <c r="BO7" s="2078"/>
      <c r="BP7" s="2078"/>
      <c r="BQ7" s="2079"/>
      <c r="BR7" s="2077"/>
      <c r="BS7" s="2078"/>
      <c r="BT7" s="2078"/>
      <c r="BU7" s="2078"/>
      <c r="BV7" s="2078"/>
      <c r="BW7" s="2078"/>
      <c r="BX7" s="2078"/>
      <c r="BY7" s="2079"/>
      <c r="BZ7" s="2077"/>
      <c r="CA7" s="2078"/>
      <c r="CB7" s="2078"/>
      <c r="CC7" s="2078"/>
      <c r="CD7" s="2078"/>
      <c r="CE7" s="2078"/>
      <c r="CF7" s="2078"/>
      <c r="CG7" s="2079"/>
      <c r="CH7" s="2077"/>
      <c r="CI7" s="2078"/>
      <c r="CJ7" s="2078"/>
      <c r="CK7" s="2078"/>
      <c r="CL7" s="2078"/>
      <c r="CM7" s="2078"/>
      <c r="CN7" s="2078"/>
      <c r="CO7" s="2079"/>
      <c r="CP7" s="2077"/>
      <c r="CQ7" s="2078"/>
      <c r="CR7" s="2078"/>
      <c r="CS7" s="2078"/>
      <c r="CT7" s="2078"/>
      <c r="CU7" s="2078"/>
      <c r="CV7" s="2078"/>
      <c r="CW7" s="2079"/>
      <c r="CX7" s="2077"/>
      <c r="CY7" s="2078"/>
      <c r="CZ7" s="2078"/>
      <c r="DA7" s="2078"/>
      <c r="DB7" s="2078"/>
      <c r="DC7" s="2078"/>
      <c r="DD7" s="2078"/>
      <c r="DE7" s="2079"/>
      <c r="DF7" s="2079"/>
      <c r="DG7" s="1273" t="s">
        <v>422</v>
      </c>
      <c r="DI7" s="496"/>
      <c r="DJ7" s="496" t="str">
        <f>IF(T7="","",T7)</f>
        <v>Группа потребителей</v>
      </c>
      <c r="DK7" s="496"/>
      <c r="DL7" s="496"/>
    </row>
    <row customHeight="1" ht="21" hidden="1">
      <c r="A8" s="1380"/>
      <c r="B8" s="1380"/>
      <c r="C8" s="1380"/>
      <c r="D8" s="1380"/>
      <c r="E8" s="2090"/>
      <c r="F8" s="2090"/>
      <c r="G8" s="2090"/>
      <c r="H8" s="2090"/>
      <c r="I8" s="2092"/>
      <c r="J8" s="2092"/>
      <c r="K8" s="2091">
        <f>J7&amp;".1"</f>
      </c>
      <c r="L8" s="1381" t="s">
        <v>423</v>
      </c>
      <c r="M8" s="533"/>
      <c r="N8" s="1383"/>
      <c r="O8" s="1383"/>
      <c r="P8" s="2093"/>
      <c r="Q8" s="2093"/>
      <c r="R8" s="345">
        <v>1</v>
      </c>
      <c r="S8" s="1353">
        <f>$K8</f>
      </c>
      <c r="T8" s="1364"/>
      <c r="U8" s="280"/>
      <c r="V8" s="746"/>
      <c r="W8" s="312"/>
      <c r="X8" s="746"/>
      <c r="Y8" s="1272"/>
      <c r="Z8" s="2094"/>
      <c r="AA8" s="1963" t="s">
        <v>61</v>
      </c>
      <c r="AB8" s="2094"/>
      <c r="AC8" s="1963" t="s">
        <v>61</v>
      </c>
      <c r="AD8" s="746"/>
      <c r="AE8" s="312"/>
      <c r="AF8" s="746"/>
      <c r="AG8" s="1272"/>
      <c r="AH8" s="2094"/>
      <c r="AI8" s="1963" t="s">
        <v>61</v>
      </c>
      <c r="AJ8" s="2094"/>
      <c r="AK8" s="1963" t="s">
        <v>61</v>
      </c>
      <c r="AL8" s="746"/>
      <c r="AM8" s="312"/>
      <c r="AN8" s="746"/>
      <c r="AO8" s="1272"/>
      <c r="AP8" s="2425"/>
      <c r="AQ8" s="1963" t="s">
        <v>61</v>
      </c>
      <c r="AR8" s="2425"/>
      <c r="AS8" s="1963" t="s">
        <v>61</v>
      </c>
      <c r="AT8" s="746"/>
      <c r="AU8" s="312"/>
      <c r="AV8" s="746"/>
      <c r="AW8" s="1272"/>
      <c r="AX8" s="2425"/>
      <c r="AY8" s="1963" t="s">
        <v>61</v>
      </c>
      <c r="AZ8" s="2425"/>
      <c r="BA8" s="1963" t="s">
        <v>61</v>
      </c>
      <c r="BB8" s="746"/>
      <c r="BC8" s="312"/>
      <c r="BD8" s="746"/>
      <c r="BE8" s="1272"/>
      <c r="BF8" s="2425"/>
      <c r="BG8" s="1963" t="s">
        <v>61</v>
      </c>
      <c r="BH8" s="2425"/>
      <c r="BI8" s="1963" t="s">
        <v>61</v>
      </c>
      <c r="BJ8" s="746"/>
      <c r="BK8" s="312"/>
      <c r="BL8" s="746"/>
      <c r="BM8" s="1272"/>
      <c r="BN8" s="2425"/>
      <c r="BO8" s="1963" t="s">
        <v>61</v>
      </c>
      <c r="BP8" s="2425"/>
      <c r="BQ8" s="1963" t="s">
        <v>61</v>
      </c>
      <c r="BR8" s="746"/>
      <c r="BS8" s="312"/>
      <c r="BT8" s="746"/>
      <c r="BU8" s="1272"/>
      <c r="BV8" s="2425"/>
      <c r="BW8" s="1963" t="s">
        <v>61</v>
      </c>
      <c r="BX8" s="2425"/>
      <c r="BY8" s="1963" t="s">
        <v>61</v>
      </c>
      <c r="BZ8" s="746"/>
      <c r="CA8" s="312"/>
      <c r="CB8" s="746"/>
      <c r="CC8" s="1272"/>
      <c r="CD8" s="2425"/>
      <c r="CE8" s="1963" t="s">
        <v>61</v>
      </c>
      <c r="CF8" s="2425"/>
      <c r="CG8" s="1963" t="s">
        <v>61</v>
      </c>
      <c r="CH8" s="746"/>
      <c r="CI8" s="312"/>
      <c r="CJ8" s="746"/>
      <c r="CK8" s="1272"/>
      <c r="CL8" s="2425"/>
      <c r="CM8" s="1963" t="s">
        <v>61</v>
      </c>
      <c r="CN8" s="2425"/>
      <c r="CO8" s="1963" t="s">
        <v>61</v>
      </c>
      <c r="CP8" s="746"/>
      <c r="CQ8" s="312"/>
      <c r="CR8" s="746"/>
      <c r="CS8" s="1272"/>
      <c r="CT8" s="2425"/>
      <c r="CU8" s="1963" t="s">
        <v>61</v>
      </c>
      <c r="CV8" s="2425"/>
      <c r="CW8" s="1963" t="s">
        <v>61</v>
      </c>
      <c r="CX8" s="746"/>
      <c r="CY8" s="312"/>
      <c r="CZ8" s="746"/>
      <c r="DA8" s="1272"/>
      <c r="DB8" s="2425"/>
      <c r="DC8" s="1963" t="s">
        <v>61</v>
      </c>
      <c r="DD8" s="2425"/>
      <c r="DE8" s="1963" t="s">
        <v>61</v>
      </c>
      <c r="DF8" s="312"/>
      <c r="DG8" s="2119" t="s">
        <v>424</v>
      </c>
      <c r="DH8" s="507">
        <f>STRCHECKDATE(V9:DF9)</f>
      </c>
      <c r="DI8" s="496"/>
      <c r="DJ8" s="496" t="str">
        <f>IF(T8="","",T8)</f>
        <v/>
      </c>
      <c r="DK8" s="496"/>
      <c r="DL8" s="496"/>
    </row>
    <row customHeight="1" ht="0.7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312"/>
      <c r="AN9" s="312"/>
      <c r="AO9" s="316" t="str">
        <f>AP8&amp;"-"&amp;AR8</f>
        <v>-</v>
      </c>
      <c r="AP9" s="2134"/>
      <c r="AQ9" s="1963"/>
      <c r="AR9" s="2134"/>
      <c r="AS9" s="1963"/>
      <c r="AT9" s="312"/>
      <c r="AU9" s="312"/>
      <c r="AV9" s="312"/>
      <c r="AW9" s="316" t="str">
        <f>AX8&amp;"-"&amp;AZ8</f>
        <v>-</v>
      </c>
      <c r="AX9" s="2134"/>
      <c r="AY9" s="1963"/>
      <c r="AZ9" s="2134"/>
      <c r="BA9" s="1963"/>
      <c r="BB9" s="312"/>
      <c r="BC9" s="312"/>
      <c r="BD9" s="312"/>
      <c r="BE9" s="316" t="str">
        <f>BF8&amp;"-"&amp;BH8</f>
        <v>-</v>
      </c>
      <c r="BF9" s="2134"/>
      <c r="BG9" s="1963"/>
      <c r="BH9" s="2134"/>
      <c r="BI9" s="1963"/>
      <c r="BJ9" s="312"/>
      <c r="BK9" s="312"/>
      <c r="BL9" s="312"/>
      <c r="BM9" s="316" t="str">
        <f>BN8&amp;"-"&amp;BP8</f>
        <v>-</v>
      </c>
      <c r="BN9" s="2134"/>
      <c r="BO9" s="1963"/>
      <c r="BP9" s="2134"/>
      <c r="BQ9" s="1963"/>
      <c r="BR9" s="312"/>
      <c r="BS9" s="312"/>
      <c r="BT9" s="312"/>
      <c r="BU9" s="316" t="str">
        <f>BV8&amp;"-"&amp;BX8</f>
        <v>-</v>
      </c>
      <c r="BV9" s="2134"/>
      <c r="BW9" s="1963"/>
      <c r="BX9" s="2134"/>
      <c r="BY9" s="1963"/>
      <c r="BZ9" s="312"/>
      <c r="CA9" s="312"/>
      <c r="CB9" s="312"/>
      <c r="CC9" s="316" t="str">
        <f>CD8&amp;"-"&amp;CF8</f>
        <v>-</v>
      </c>
      <c r="CD9" s="2134"/>
      <c r="CE9" s="1963"/>
      <c r="CF9" s="2134"/>
      <c r="CG9" s="1963"/>
      <c r="CH9" s="312"/>
      <c r="CI9" s="312"/>
      <c r="CJ9" s="312"/>
      <c r="CK9" s="316" t="str">
        <f>CL8&amp;"-"&amp;CN8</f>
        <v>-</v>
      </c>
      <c r="CL9" s="2134"/>
      <c r="CM9" s="1963"/>
      <c r="CN9" s="2134"/>
      <c r="CO9" s="1963"/>
      <c r="CP9" s="312"/>
      <c r="CQ9" s="312"/>
      <c r="CR9" s="312"/>
      <c r="CS9" s="316" t="str">
        <f>CT8&amp;"-"&amp;CV8</f>
        <v>-</v>
      </c>
      <c r="CT9" s="2134"/>
      <c r="CU9" s="1963"/>
      <c r="CV9" s="2134"/>
      <c r="CW9" s="1963"/>
      <c r="CX9" s="312"/>
      <c r="CY9" s="312"/>
      <c r="CZ9" s="312"/>
      <c r="DA9" s="316" t="str">
        <f>DB8&amp;"-"&amp;DD8</f>
        <v>-</v>
      </c>
      <c r="DB9" s="2134"/>
      <c r="DC9" s="1963"/>
      <c r="DD9" s="2134"/>
      <c r="DE9" s="1963"/>
      <c r="DF9" s="312"/>
      <c r="DG9" s="2120"/>
      <c r="DI9" s="496"/>
      <c r="DJ9" s="496" t="str">
        <f>IF(T9="","",T9)</f>
        <v/>
      </c>
      <c r="DK9" s="496"/>
      <c r="DL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425</v>
      </c>
      <c r="U10" s="359"/>
      <c r="V10" s="359"/>
      <c r="W10" s="359"/>
      <c r="X10" s="359"/>
      <c r="Y10" s="359"/>
      <c r="Z10" s="359"/>
      <c r="AA10" s="359"/>
      <c r="AB10" s="359"/>
      <c r="AC10" s="359"/>
      <c r="AD10" s="359"/>
      <c r="AE10" s="359"/>
      <c r="AF10" s="359"/>
      <c r="AG10" s="359"/>
      <c r="AH10" s="359"/>
      <c r="AI10" s="359"/>
      <c r="AJ10" s="359"/>
      <c r="AK10" s="359"/>
      <c r="AL10" s="4497"/>
      <c r="AM10" s="4498"/>
      <c r="AN10" s="4499"/>
      <c r="AO10" s="4500"/>
      <c r="AP10" s="4501"/>
      <c r="AQ10" s="4502"/>
      <c r="AR10" s="4503"/>
      <c r="AS10" s="4504"/>
      <c r="AT10" s="4505"/>
      <c r="AU10" s="4506"/>
      <c r="AV10" s="4507"/>
      <c r="AW10" s="4508"/>
      <c r="AX10" s="4509"/>
      <c r="AY10" s="4510"/>
      <c r="AZ10" s="4511"/>
      <c r="BA10" s="4512"/>
      <c r="BB10" s="4513"/>
      <c r="BC10" s="4514"/>
      <c r="BD10" s="4515"/>
      <c r="BE10" s="4516"/>
      <c r="BF10" s="4517"/>
      <c r="BG10" s="4518"/>
      <c r="BH10" s="4519"/>
      <c r="BI10" s="4520"/>
      <c r="BJ10" s="4521"/>
      <c r="BK10" s="4522"/>
      <c r="BL10" s="4523"/>
      <c r="BM10" s="4524"/>
      <c r="BN10" s="4525"/>
      <c r="BO10" s="4526"/>
      <c r="BP10" s="4527"/>
      <c r="BQ10" s="4528"/>
      <c r="BR10" s="4529"/>
      <c r="BS10" s="4530"/>
      <c r="BT10" s="4531"/>
      <c r="BU10" s="4532"/>
      <c r="BV10" s="4533"/>
      <c r="BW10" s="4534"/>
      <c r="BX10" s="4535"/>
      <c r="BY10" s="4536"/>
      <c r="BZ10" s="4537"/>
      <c r="CA10" s="4538"/>
      <c r="CB10" s="4539"/>
      <c r="CC10" s="4540"/>
      <c r="CD10" s="4541"/>
      <c r="CE10" s="4542"/>
      <c r="CF10" s="4543"/>
      <c r="CG10" s="4544"/>
      <c r="CH10" s="4545"/>
      <c r="CI10" s="4546"/>
      <c r="CJ10" s="4547"/>
      <c r="CK10" s="4548"/>
      <c r="CL10" s="4549"/>
      <c r="CM10" s="4550"/>
      <c r="CN10" s="4551"/>
      <c r="CO10" s="4552"/>
      <c r="CP10" s="4553"/>
      <c r="CQ10" s="4554"/>
      <c r="CR10" s="4555"/>
      <c r="CS10" s="4556"/>
      <c r="CT10" s="4557"/>
      <c r="CU10" s="4558"/>
      <c r="CV10" s="4559"/>
      <c r="CW10" s="4560"/>
      <c r="CX10" s="4561"/>
      <c r="CY10" s="4562"/>
      <c r="CZ10" s="4563"/>
      <c r="DA10" s="4564"/>
      <c r="DB10" s="4565"/>
      <c r="DC10" s="4566"/>
      <c r="DD10" s="4567"/>
      <c r="DE10" s="4568"/>
      <c r="DF10" s="311"/>
      <c r="DG10" s="2121"/>
      <c r="DI10" s="496"/>
      <c r="DJ10" s="496" t="str">
        <f>IF(T10="","",T10)</f>
        <v>Добавить вид теплоносителя (параметры теплоносителя)</v>
      </c>
      <c r="DK10" s="496"/>
      <c r="DL10" s="496"/>
    </row>
    <row customHeight="1" ht="15" hidden="1">
      <c r="A11" s="1380"/>
      <c r="B11" s="1380"/>
      <c r="C11" s="1380"/>
      <c r="D11" s="1380"/>
      <c r="E11" s="2090"/>
      <c r="F11" s="2090"/>
      <c r="G11" s="2090"/>
      <c r="H11" s="2090"/>
      <c r="I11" s="2091"/>
      <c r="J11" s="1380"/>
      <c r="K11" s="1380"/>
      <c r="L11" s="1381"/>
      <c r="M11" s="533"/>
      <c r="P11" s="2093"/>
      <c r="Q11" s="1348"/>
      <c r="R11" s="344"/>
      <c r="S11" s="1295"/>
      <c r="T11" s="356" t="s">
        <v>426</v>
      </c>
      <c r="U11" s="359"/>
      <c r="V11" s="359"/>
      <c r="W11" s="359"/>
      <c r="X11" s="359"/>
      <c r="Y11" s="359"/>
      <c r="Z11" s="359"/>
      <c r="AA11" s="359"/>
      <c r="AB11" s="359"/>
      <c r="AC11" s="358"/>
      <c r="AD11" s="359"/>
      <c r="AE11" s="359"/>
      <c r="AF11" s="359"/>
      <c r="AG11" s="359"/>
      <c r="AH11" s="359"/>
      <c r="AI11" s="359"/>
      <c r="AJ11" s="359"/>
      <c r="AK11" s="358"/>
      <c r="AL11" s="4569"/>
      <c r="AM11" s="4570"/>
      <c r="AN11" s="4571"/>
      <c r="AO11" s="4572"/>
      <c r="AP11" s="4573"/>
      <c r="AQ11" s="4574"/>
      <c r="AR11" s="4575"/>
      <c r="AS11" s="4576"/>
      <c r="AT11" s="4577"/>
      <c r="AU11" s="4578"/>
      <c r="AV11" s="4579"/>
      <c r="AW11" s="4580"/>
      <c r="AX11" s="4581"/>
      <c r="AY11" s="4582"/>
      <c r="AZ11" s="4583"/>
      <c r="BA11" s="4584"/>
      <c r="BB11" s="4585"/>
      <c r="BC11" s="4586"/>
      <c r="BD11" s="4587"/>
      <c r="BE11" s="4588"/>
      <c r="BF11" s="4589"/>
      <c r="BG11" s="4590"/>
      <c r="BH11" s="4591"/>
      <c r="BI11" s="4592"/>
      <c r="BJ11" s="4593"/>
      <c r="BK11" s="4594"/>
      <c r="BL11" s="4595"/>
      <c r="BM11" s="4596"/>
      <c r="BN11" s="4597"/>
      <c r="BO11" s="4598"/>
      <c r="BP11" s="4599"/>
      <c r="BQ11" s="4600"/>
      <c r="BR11" s="4601"/>
      <c r="BS11" s="4602"/>
      <c r="BT11" s="4603"/>
      <c r="BU11" s="4604"/>
      <c r="BV11" s="4605"/>
      <c r="BW11" s="4606"/>
      <c r="BX11" s="4607"/>
      <c r="BY11" s="4608"/>
      <c r="BZ11" s="4609"/>
      <c r="CA11" s="4610"/>
      <c r="CB11" s="4611"/>
      <c r="CC11" s="4612"/>
      <c r="CD11" s="4613"/>
      <c r="CE11" s="4614"/>
      <c r="CF11" s="4615"/>
      <c r="CG11" s="4616"/>
      <c r="CH11" s="4617"/>
      <c r="CI11" s="4618"/>
      <c r="CJ11" s="4619"/>
      <c r="CK11" s="4620"/>
      <c r="CL11" s="4621"/>
      <c r="CM11" s="4622"/>
      <c r="CN11" s="4623"/>
      <c r="CO11" s="4624"/>
      <c r="CP11" s="4625"/>
      <c r="CQ11" s="4626"/>
      <c r="CR11" s="4627"/>
      <c r="CS11" s="4628"/>
      <c r="CT11" s="4629"/>
      <c r="CU11" s="4630"/>
      <c r="CV11" s="4631"/>
      <c r="CW11" s="4632"/>
      <c r="CX11" s="4633"/>
      <c r="CY11" s="4634"/>
      <c r="CZ11" s="4635"/>
      <c r="DA11" s="4636"/>
      <c r="DB11" s="4637"/>
      <c r="DC11" s="4638"/>
      <c r="DD11" s="4639"/>
      <c r="DE11" s="4640"/>
      <c r="DF11" s="359"/>
      <c r="DG11" s="283"/>
      <c r="DI11" s="496"/>
      <c r="DJ11" s="496" t="str">
        <f>IF(T11="","",T11)</f>
        <v>Добавить группу потребителей</v>
      </c>
      <c r="DK11" s="496"/>
      <c r="DL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5"/>
      <c r="AN12" s="1405"/>
      <c r="AO12" s="1405"/>
      <c r="AP12" s="1405"/>
      <c r="AQ12" s="1405"/>
      <c r="AR12" s="1405"/>
      <c r="AS12" s="1405"/>
      <c r="AT12" s="1405"/>
      <c r="AU12" s="1405"/>
      <c r="AV12" s="1405"/>
      <c r="AW12" s="1405"/>
      <c r="AX12" s="1405"/>
      <c r="AY12" s="1405"/>
      <c r="AZ12" s="1405"/>
      <c r="BA12" s="1405"/>
      <c r="BB12" s="1405"/>
      <c r="BC12" s="1405"/>
      <c r="BD12" s="1405"/>
      <c r="BE12" s="1405"/>
      <c r="BF12" s="1405"/>
      <c r="BG12" s="1405"/>
      <c r="BH12" s="1405"/>
      <c r="BI12" s="1405"/>
      <c r="BJ12" s="1405"/>
      <c r="BK12" s="1405"/>
      <c r="BL12" s="1405"/>
      <c r="BM12" s="1405"/>
      <c r="BN12" s="1405"/>
      <c r="BO12" s="1405"/>
      <c r="BP12" s="1405"/>
      <c r="BQ12" s="1405"/>
      <c r="BR12" s="1405"/>
      <c r="BS12" s="1405"/>
      <c r="BT12" s="1405"/>
      <c r="BU12" s="1405"/>
      <c r="BV12" s="1405"/>
      <c r="BW12" s="1405"/>
      <c r="BX12" s="1405"/>
      <c r="BY12" s="1405"/>
      <c r="BZ12" s="1405"/>
      <c r="CA12" s="1405"/>
      <c r="CB12" s="1405"/>
      <c r="CC12" s="1405"/>
      <c r="CD12" s="1405"/>
      <c r="CE12" s="1405"/>
      <c r="CF12" s="1405"/>
      <c r="CG12" s="1405"/>
      <c r="CH12" s="1405"/>
      <c r="CI12" s="1405"/>
      <c r="CJ12" s="1405"/>
      <c r="CK12" s="1405"/>
      <c r="CL12" s="1405"/>
      <c r="CM12" s="1405"/>
      <c r="CN12" s="1405"/>
      <c r="CO12" s="1405"/>
      <c r="CP12" s="1405"/>
      <c r="CQ12" s="1405"/>
      <c r="CR12" s="1405"/>
      <c r="CS12" s="1405"/>
      <c r="CT12" s="1405"/>
      <c r="CU12" s="1405"/>
      <c r="CV12" s="1405"/>
      <c r="CW12" s="1405"/>
      <c r="CX12" s="1405"/>
      <c r="CY12" s="1405"/>
      <c r="CZ12" s="1405"/>
      <c r="DA12" s="1405"/>
      <c r="DB12" s="1405"/>
      <c r="DC12" s="1405"/>
      <c r="DD12" s="1405"/>
      <c r="DE12" s="1405"/>
      <c r="DF12" s="1405"/>
      <c r="DG12" s="1406"/>
      <c r="DI12" s="496"/>
      <c r="DJ12" s="496" t="str">
        <f>IF(T12="","",T12)</f>
        <v/>
      </c>
      <c r="DK12" s="496"/>
      <c r="DL12" s="496"/>
    </row>
    <row s="1667" customFormat="1" customHeight="1" ht="0.75" hidden="1">
      <c r="A13" s="1331"/>
      <c r="B13" s="1331"/>
      <c r="C13" s="1331"/>
      <c r="D13" s="1331"/>
      <c r="E13" s="2090"/>
      <c r="F13" s="2090"/>
      <c r="G13" s="2089"/>
      <c r="H13" s="1331"/>
      <c r="I13" s="1331"/>
      <c r="J13" s="1331"/>
      <c r="K13" s="1331"/>
      <c r="L13" s="1356"/>
      <c r="M13" s="1332"/>
      <c r="N13" s="1332"/>
      <c r="P13" s="1333"/>
      <c r="Q13" s="1334"/>
      <c r="R13" s="1333"/>
      <c r="S13" s="1335"/>
      <c r="T13" s="1336" t="s">
        <v>160</v>
      </c>
      <c r="U13" s="1337"/>
      <c r="V13" s="1337"/>
      <c r="W13" s="1337"/>
      <c r="X13" s="1337"/>
      <c r="Y13" s="1337"/>
      <c r="Z13" s="1337"/>
      <c r="AA13" s="1337"/>
      <c r="AB13" s="1337"/>
      <c r="AC13" s="1337"/>
      <c r="AD13" s="1337"/>
      <c r="AE13" s="1337"/>
      <c r="AF13" s="1337"/>
      <c r="AG13" s="1337"/>
      <c r="AH13" s="1337"/>
      <c r="AI13" s="1337"/>
      <c r="AJ13" s="1337"/>
      <c r="AK13" s="1337"/>
      <c r="AL13" s="1337"/>
      <c r="AM13" s="1337"/>
      <c r="AN13" s="1337"/>
      <c r="AO13" s="1337"/>
      <c r="AP13" s="1337"/>
      <c r="AQ13" s="1337"/>
      <c r="AR13" s="1337"/>
      <c r="AS13" s="1337"/>
      <c r="AT13" s="1337"/>
      <c r="AU13" s="1337"/>
      <c r="AV13" s="1337"/>
      <c r="AW13" s="1337"/>
      <c r="AX13" s="1337"/>
      <c r="AY13" s="1337"/>
      <c r="AZ13" s="1337"/>
      <c r="BA13" s="1337"/>
      <c r="BB13" s="1337"/>
      <c r="BC13" s="1337"/>
      <c r="BD13" s="1337"/>
      <c r="BE13" s="1337"/>
      <c r="BF13" s="1337"/>
      <c r="BG13" s="1337"/>
      <c r="BH13" s="1337"/>
      <c r="BI13" s="1337"/>
      <c r="BJ13" s="1337"/>
      <c r="BK13" s="1337"/>
      <c r="BL13" s="1337"/>
      <c r="BM13" s="1337"/>
      <c r="BN13" s="1337"/>
      <c r="BO13" s="1337"/>
      <c r="BP13" s="1337"/>
      <c r="BQ13" s="1337"/>
      <c r="BR13" s="1337"/>
      <c r="BS13" s="1337"/>
      <c r="BT13" s="1337"/>
      <c r="BU13" s="1337"/>
      <c r="BV13" s="1337"/>
      <c r="BW13" s="1337"/>
      <c r="BX13" s="1337"/>
      <c r="BY13" s="1337"/>
      <c r="BZ13" s="1337"/>
      <c r="CA13" s="1337"/>
      <c r="CB13" s="1337"/>
      <c r="CC13" s="1337"/>
      <c r="CD13" s="1337"/>
      <c r="CE13" s="1337"/>
      <c r="CF13" s="1337"/>
      <c r="CG13" s="1337"/>
      <c r="CH13" s="1337"/>
      <c r="CI13" s="1337"/>
      <c r="CJ13" s="1337"/>
      <c r="CK13" s="1337"/>
      <c r="CL13" s="1337"/>
      <c r="CM13" s="1337"/>
      <c r="CN13" s="1337"/>
      <c r="CO13" s="1337"/>
      <c r="CP13" s="1337"/>
      <c r="CQ13" s="1337"/>
      <c r="CR13" s="1337"/>
      <c r="CS13" s="1337"/>
      <c r="CT13" s="1337"/>
      <c r="CU13" s="1337"/>
      <c r="CV13" s="1337"/>
      <c r="CW13" s="1337"/>
      <c r="CX13" s="1337"/>
      <c r="CY13" s="1337"/>
      <c r="CZ13" s="1337"/>
      <c r="DA13" s="1337"/>
      <c r="DB13" s="1337"/>
      <c r="DC13" s="1337"/>
      <c r="DD13" s="1337"/>
      <c r="DE13" s="1337"/>
      <c r="DF13" s="1337"/>
      <c r="DG13" s="1337"/>
      <c r="DI13" s="783"/>
      <c r="DJ13" s="783" t="str">
        <f>IF(T13="","",T13)</f>
        <v>Добавить источник для дифференциации</v>
      </c>
      <c r="DK13" s="783"/>
      <c r="DL13" s="783"/>
    </row>
    <row s="1667" customFormat="1" customHeight="1" ht="0.75" hidden="1">
      <c r="A14" s="1331"/>
      <c r="B14" s="1331"/>
      <c r="C14" s="1331"/>
      <c r="D14" s="1331"/>
      <c r="E14" s="2090"/>
      <c r="F14" s="2089"/>
      <c r="G14" s="1331"/>
      <c r="H14" s="1331"/>
      <c r="I14" s="1331"/>
      <c r="J14" s="1331"/>
      <c r="K14" s="1331"/>
      <c r="L14" s="1356"/>
      <c r="M14" s="1338"/>
      <c r="N14" s="1338"/>
      <c r="P14" s="1333"/>
      <c r="Q14" s="1334"/>
      <c r="R14" s="1333"/>
      <c r="S14" s="1339"/>
      <c r="T14" s="1340" t="s">
        <v>161</v>
      </c>
      <c r="U14" s="1341"/>
      <c r="V14" s="1341"/>
      <c r="W14" s="1341"/>
      <c r="X14" s="1341"/>
      <c r="Y14" s="1341"/>
      <c r="Z14" s="1341"/>
      <c r="AA14" s="1341"/>
      <c r="AB14" s="1341"/>
      <c r="AC14" s="1341"/>
      <c r="AD14" s="1341"/>
      <c r="AE14" s="1341"/>
      <c r="AF14" s="1341"/>
      <c r="AG14" s="1341"/>
      <c r="AH14" s="1341"/>
      <c r="AI14" s="1341"/>
      <c r="AJ14" s="1341"/>
      <c r="AK14" s="1341"/>
      <c r="AL14" s="1341"/>
      <c r="AM14" s="1341"/>
      <c r="AN14" s="1341"/>
      <c r="AO14" s="1341"/>
      <c r="AP14" s="1341"/>
      <c r="AQ14" s="1341"/>
      <c r="AR14" s="1341"/>
      <c r="AS14" s="1341"/>
      <c r="AT14" s="1341"/>
      <c r="AU14" s="1341"/>
      <c r="AV14" s="1341"/>
      <c r="AW14" s="1341"/>
      <c r="AX14" s="1341"/>
      <c r="AY14" s="1341"/>
      <c r="AZ14" s="1341"/>
      <c r="BA14" s="1341"/>
      <c r="BB14" s="1341"/>
      <c r="BC14" s="1341"/>
      <c r="BD14" s="1341"/>
      <c r="BE14" s="1341"/>
      <c r="BF14" s="1341"/>
      <c r="BG14" s="1341"/>
      <c r="BH14" s="1341"/>
      <c r="BI14" s="1341"/>
      <c r="BJ14" s="1341"/>
      <c r="BK14" s="1341"/>
      <c r="BL14" s="1341"/>
      <c r="BM14" s="1341"/>
      <c r="BN14" s="1341"/>
      <c r="BO14" s="1341"/>
      <c r="BP14" s="1341"/>
      <c r="BQ14" s="1341"/>
      <c r="BR14" s="1341"/>
      <c r="BS14" s="1341"/>
      <c r="BT14" s="1341"/>
      <c r="BU14" s="1341"/>
      <c r="BV14" s="1341"/>
      <c r="BW14" s="1341"/>
      <c r="BX14" s="1341"/>
      <c r="BY14" s="1341"/>
      <c r="BZ14" s="1341"/>
      <c r="CA14" s="1341"/>
      <c r="CB14" s="1341"/>
      <c r="CC14" s="1341"/>
      <c r="CD14" s="1341"/>
      <c r="CE14" s="1341"/>
      <c r="CF14" s="1341"/>
      <c r="CG14" s="1341"/>
      <c r="CH14" s="1341"/>
      <c r="CI14" s="1341"/>
      <c r="CJ14" s="1341"/>
      <c r="CK14" s="1341"/>
      <c r="CL14" s="1341"/>
      <c r="CM14" s="1341"/>
      <c r="CN14" s="1341"/>
      <c r="CO14" s="1341"/>
      <c r="CP14" s="1341"/>
      <c r="CQ14" s="1341"/>
      <c r="CR14" s="1341"/>
      <c r="CS14" s="1341"/>
      <c r="CT14" s="1341"/>
      <c r="CU14" s="1341"/>
      <c r="CV14" s="1341"/>
      <c r="CW14" s="1341"/>
      <c r="CX14" s="1341"/>
      <c r="CY14" s="1341"/>
      <c r="CZ14" s="1341"/>
      <c r="DA14" s="1341"/>
      <c r="DB14" s="1341"/>
      <c r="DC14" s="1341"/>
      <c r="DD14" s="1341"/>
      <c r="DE14" s="1341"/>
      <c r="DF14" s="1341"/>
      <c r="DG14" s="1341"/>
      <c r="DI14" s="783"/>
      <c r="DJ14" s="783" t="str">
        <f>IF(T14="","",T14)</f>
        <v>Добавить централизованную систему для дифференциации</v>
      </c>
      <c r="DK14" s="783"/>
      <c r="DL14" s="783"/>
    </row>
    <row s="1667" customFormat="1" customHeight="1" ht="0.75" hidden="1">
      <c r="A15" s="1331"/>
      <c r="B15" s="1331"/>
      <c r="C15" s="1331"/>
      <c r="D15" s="1331"/>
      <c r="E15" s="2089"/>
      <c r="F15" s="1331"/>
      <c r="G15" s="1331"/>
      <c r="H15" s="1331"/>
      <c r="I15" s="1331"/>
      <c r="J15" s="1331"/>
      <c r="K15" s="1331"/>
      <c r="L15" s="1356"/>
      <c r="M15" s="1338"/>
      <c r="N15" s="1338"/>
      <c r="P15" s="1333"/>
      <c r="Q15" s="1334"/>
      <c r="R15" s="1333"/>
      <c r="S15" s="1339"/>
      <c r="T15" s="1342" t="s">
        <v>162</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V15" s="1341"/>
      <c r="AW15" s="1341"/>
      <c r="AX15" s="1341"/>
      <c r="AY15" s="1341"/>
      <c r="AZ15" s="1341"/>
      <c r="BA15" s="1341"/>
      <c r="BB15" s="1341"/>
      <c r="BC15" s="1341"/>
      <c r="BD15" s="1341"/>
      <c r="BE15" s="1341"/>
      <c r="BF15" s="1341"/>
      <c r="BG15" s="1341"/>
      <c r="BH15" s="1341"/>
      <c r="BI15" s="1341"/>
      <c r="BJ15" s="1341"/>
      <c r="BK15" s="1341"/>
      <c r="BL15" s="1341"/>
      <c r="BM15" s="1341"/>
      <c r="BN15" s="1341"/>
      <c r="BO15" s="1341"/>
      <c r="BP15" s="1341"/>
      <c r="BQ15" s="1341"/>
      <c r="BR15" s="1341"/>
      <c r="BS15" s="1341"/>
      <c r="BT15" s="1341"/>
      <c r="BU15" s="1341"/>
      <c r="BV15" s="1341"/>
      <c r="BW15" s="1341"/>
      <c r="BX15" s="1341"/>
      <c r="BY15" s="1341"/>
      <c r="BZ15" s="1341"/>
      <c r="CA15" s="1341"/>
      <c r="CB15" s="1341"/>
      <c r="CC15" s="1341"/>
      <c r="CD15" s="1341"/>
      <c r="CE15" s="1341"/>
      <c r="CF15" s="1341"/>
      <c r="CG15" s="1341"/>
      <c r="CH15" s="1341"/>
      <c r="CI15" s="1341"/>
      <c r="CJ15" s="1341"/>
      <c r="CK15" s="1341"/>
      <c r="CL15" s="1341"/>
      <c r="CM15" s="1341"/>
      <c r="CN15" s="1341"/>
      <c r="CO15" s="1341"/>
      <c r="CP15" s="1341"/>
      <c r="CQ15" s="1341"/>
      <c r="CR15" s="1341"/>
      <c r="CS15" s="1341"/>
      <c r="CT15" s="1341"/>
      <c r="CU15" s="1341"/>
      <c r="CV15" s="1341"/>
      <c r="CW15" s="1341"/>
      <c r="CX15" s="1341"/>
      <c r="CY15" s="1341"/>
      <c r="CZ15" s="1341"/>
      <c r="DA15" s="1341"/>
      <c r="DB15" s="1341"/>
      <c r="DC15" s="1341"/>
      <c r="DD15" s="1341"/>
      <c r="DE15" s="1341"/>
      <c r="DF15" s="1341"/>
      <c r="DG15" s="1341"/>
      <c r="DI15" s="783"/>
      <c r="DJ15" s="783" t="str">
        <f>IF(T15="","",T15)</f>
        <v>Добавить территорию для дифференциации</v>
      </c>
      <c r="DK15" s="783"/>
      <c r="DL15" s="783"/>
    </row>
    <row customHeight="1" ht="14.25" hidden="1">
      <c r="AC16" s="315"/>
      <c r="AK16" s="315"/>
      <c r="AL16" s="1660"/>
      <c r="AM16" s="1660"/>
      <c r="AN16" s="1660"/>
      <c r="AO16" s="1660"/>
      <c r="AP16" s="1660"/>
      <c r="AQ16" s="1660"/>
      <c r="AR16" s="1660"/>
      <c r="AS16" s="1660"/>
      <c r="AT16" s="1660"/>
      <c r="AU16" s="1660"/>
      <c r="AV16" s="1660"/>
      <c r="AW16" s="1660"/>
      <c r="AX16" s="1660"/>
      <c r="AY16" s="1660"/>
      <c r="AZ16" s="1660"/>
      <c r="BA16" s="1660"/>
      <c r="BB16" s="1660"/>
      <c r="BC16" s="1660"/>
      <c r="BD16" s="1660"/>
      <c r="BE16" s="1660"/>
      <c r="BF16" s="1660"/>
      <c r="BG16" s="1660"/>
      <c r="BH16" s="1660"/>
      <c r="BI16" s="1660"/>
      <c r="BJ16" s="1660"/>
      <c r="BK16" s="1660"/>
      <c r="BL16" s="1660"/>
      <c r="BM16" s="1660"/>
      <c r="BN16" s="1660"/>
      <c r="BO16" s="1660"/>
      <c r="BP16" s="1660"/>
      <c r="BQ16" s="1660"/>
      <c r="BR16" s="1660"/>
      <c r="BS16" s="1660"/>
      <c r="BT16" s="1660"/>
      <c r="BU16" s="1660"/>
      <c r="BV16" s="1660"/>
      <c r="BW16" s="1660"/>
      <c r="BX16" s="1660"/>
      <c r="BY16" s="1660"/>
      <c r="BZ16" s="1660"/>
      <c r="CA16" s="1660"/>
      <c r="CB16" s="1660"/>
      <c r="CC16" s="1660"/>
      <c r="CD16" s="1660"/>
      <c r="CE16" s="1660"/>
      <c r="CF16" s="1660"/>
      <c r="CG16" s="1660"/>
      <c r="CH16" s="1660"/>
      <c r="CI16" s="1660"/>
      <c r="CJ16" s="1660"/>
      <c r="CK16" s="1660"/>
      <c r="CL16" s="1660"/>
      <c r="CM16" s="1660"/>
      <c r="CN16" s="1660"/>
      <c r="CO16" s="1660"/>
      <c r="CP16" s="1660"/>
      <c r="CQ16" s="1660"/>
      <c r="CR16" s="1660"/>
      <c r="CS16" s="1660"/>
      <c r="CT16" s="1660"/>
      <c r="CU16" s="1660"/>
      <c r="CV16" s="1660"/>
      <c r="CW16" s="1660"/>
      <c r="CX16" s="1660"/>
      <c r="CY16" s="1660"/>
      <c r="CZ16" s="1660"/>
      <c r="DA16" s="1660"/>
      <c r="DB16" s="1660"/>
      <c r="DC16" s="1660"/>
      <c r="DD16" s="1660"/>
      <c r="DE16" s="1660"/>
    </row>
    <row customHeight="1" ht="14.25" hidden="1">
      <c r="AD17" s="1377"/>
      <c r="AE17" s="1377"/>
      <c r="AF17" s="1377"/>
      <c r="AG17" s="1378"/>
      <c r="AH17" s="2087"/>
      <c r="AI17" s="2086" t="s">
        <v>61</v>
      </c>
      <c r="AJ17" s="2087"/>
      <c r="AK17" s="2086" t="s">
        <v>61</v>
      </c>
      <c r="AL17" s="1660"/>
      <c r="AM17" s="1660"/>
      <c r="AN17" s="1660"/>
      <c r="AO17" s="1660"/>
      <c r="AP17" s="1660"/>
      <c r="AQ17" s="1660"/>
      <c r="AR17" s="1660"/>
      <c r="AS17" s="1660"/>
      <c r="AT17" s="1660"/>
      <c r="AU17" s="1660"/>
      <c r="AV17" s="1660"/>
      <c r="AW17" s="1660"/>
      <c r="AX17" s="1660"/>
      <c r="AY17" s="1660"/>
      <c r="AZ17" s="1660"/>
      <c r="BA17" s="1660"/>
      <c r="BB17" s="1660"/>
      <c r="BC17" s="1660"/>
      <c r="BD17" s="1660"/>
      <c r="BE17" s="1660"/>
      <c r="BF17" s="1660"/>
      <c r="BG17" s="1660"/>
      <c r="BH17" s="1660"/>
      <c r="BI17" s="1660"/>
      <c r="BJ17" s="1660"/>
      <c r="BK17" s="1660"/>
      <c r="BL17" s="1660"/>
      <c r="BM17" s="1660"/>
      <c r="BN17" s="1660"/>
      <c r="BO17" s="1660"/>
      <c r="BP17" s="1660"/>
      <c r="BQ17" s="1660"/>
      <c r="BR17" s="1660"/>
      <c r="BS17" s="1660"/>
      <c r="BT17" s="1660"/>
      <c r="BU17" s="1660"/>
      <c r="BV17" s="1660"/>
      <c r="BW17" s="1660"/>
      <c r="BX17" s="1660"/>
      <c r="BY17" s="1660"/>
      <c r="BZ17" s="1660"/>
      <c r="CA17" s="1660"/>
      <c r="CB17" s="1660"/>
      <c r="CC17" s="1660"/>
      <c r="CD17" s="1660"/>
      <c r="CE17" s="1660"/>
      <c r="CF17" s="1660"/>
      <c r="CG17" s="1660"/>
      <c r="CH17" s="1660"/>
      <c r="CI17" s="1660"/>
      <c r="CJ17" s="1660"/>
      <c r="CK17" s="1660"/>
      <c r="CL17" s="1660"/>
      <c r="CM17" s="1660"/>
      <c r="CN17" s="1660"/>
      <c r="CO17" s="1660"/>
      <c r="CP17" s="1660"/>
      <c r="CQ17" s="1660"/>
      <c r="CR17" s="1660"/>
      <c r="CS17" s="1660"/>
      <c r="CT17" s="1660"/>
      <c r="CU17" s="1660"/>
      <c r="CV17" s="1660"/>
      <c r="CW17" s="1660"/>
      <c r="CX17" s="1660"/>
      <c r="CY17" s="1660"/>
      <c r="CZ17" s="1660"/>
      <c r="DA17" s="1660"/>
      <c r="DB17" s="1660"/>
      <c r="DC17" s="1660"/>
      <c r="DD17" s="1660"/>
      <c r="DE17" s="1660"/>
    </row>
    <row customHeight="1" ht="14.25" hidden="1">
      <c r="AD18" s="1377"/>
      <c r="AE18" s="1377"/>
      <c r="AF18" s="1377"/>
      <c r="AG18" s="316" t="str">
        <f>AH17&amp;"-"&amp;AJ17</f>
        <v>-</v>
      </c>
      <c r="AH18" s="2086"/>
      <c r="AI18" s="2086"/>
      <c r="AJ18" s="2086"/>
      <c r="AK18" s="2086"/>
      <c r="AL18" s="1660"/>
      <c r="AM18" s="1660"/>
      <c r="AN18" s="1660"/>
      <c r="AO18" s="1660"/>
      <c r="AP18" s="1660"/>
      <c r="AQ18" s="1660"/>
      <c r="AR18" s="1660"/>
      <c r="AS18" s="1660"/>
      <c r="AT18" s="1660"/>
      <c r="AU18" s="1660"/>
      <c r="AV18" s="1660"/>
      <c r="AW18" s="1660"/>
      <c r="AX18" s="1660"/>
      <c r="AY18" s="1660"/>
      <c r="AZ18" s="1660"/>
      <c r="BA18" s="1660"/>
      <c r="BB18" s="1660"/>
      <c r="BC18" s="1660"/>
      <c r="BD18" s="1660"/>
      <c r="BE18" s="1660"/>
      <c r="BF18" s="1660"/>
      <c r="BG18" s="1660"/>
      <c r="BH18" s="1660"/>
      <c r="BI18" s="1660"/>
      <c r="BJ18" s="1660"/>
      <c r="BK18" s="1660"/>
      <c r="BL18" s="1660"/>
      <c r="BM18" s="1660"/>
      <c r="BN18" s="1660"/>
      <c r="BO18" s="1660"/>
      <c r="BP18" s="1660"/>
      <c r="BQ18" s="1660"/>
      <c r="BR18" s="1660"/>
      <c r="BS18" s="1660"/>
      <c r="BT18" s="1660"/>
      <c r="BU18" s="1660"/>
      <c r="BV18" s="1660"/>
      <c r="BW18" s="1660"/>
      <c r="BX18" s="1660"/>
      <c r="BY18" s="1660"/>
      <c r="BZ18" s="1660"/>
      <c r="CA18" s="1660"/>
      <c r="CB18" s="1660"/>
      <c r="CC18" s="1660"/>
      <c r="CD18" s="1660"/>
      <c r="CE18" s="1660"/>
      <c r="CF18" s="1660"/>
      <c r="CG18" s="1660"/>
      <c r="CH18" s="1660"/>
      <c r="CI18" s="1660"/>
      <c r="CJ18" s="1660"/>
      <c r="CK18" s="1660"/>
      <c r="CL18" s="1660"/>
      <c r="CM18" s="1660"/>
      <c r="CN18" s="1660"/>
      <c r="CO18" s="1660"/>
      <c r="CP18" s="1660"/>
      <c r="CQ18" s="1660"/>
      <c r="CR18" s="1660"/>
      <c r="CS18" s="1660"/>
      <c r="CT18" s="1660"/>
      <c r="CU18" s="1660"/>
      <c r="CV18" s="1660"/>
      <c r="CW18" s="1660"/>
      <c r="CX18" s="1660"/>
      <c r="CY18" s="1660"/>
      <c r="CZ18" s="1660"/>
      <c r="DA18" s="1660"/>
      <c r="DB18" s="1660"/>
      <c r="DC18" s="1660"/>
      <c r="DD18" s="1660"/>
      <c r="DE18" s="1660"/>
    </row>
    <row customHeight="1" ht="14.25" hidden="1">
      <c r="AK19" s="315"/>
      <c r="AL19" s="1660"/>
      <c r="AM19" s="1660"/>
      <c r="AN19" s="1660"/>
      <c r="AO19" s="1660"/>
      <c r="AP19" s="1660"/>
      <c r="AQ19" s="1660"/>
      <c r="AR19" s="1660"/>
      <c r="AS19" s="1660"/>
      <c r="AT19" s="1660"/>
      <c r="AU19" s="1660"/>
      <c r="AV19" s="1660"/>
      <c r="AW19" s="1660"/>
      <c r="AX19" s="1660"/>
      <c r="AY19" s="1660"/>
      <c r="AZ19" s="1660"/>
      <c r="BA19" s="1660"/>
      <c r="BB19" s="1660"/>
      <c r="BC19" s="1660"/>
      <c r="BD19" s="1660"/>
      <c r="BE19" s="1660"/>
      <c r="BF19" s="1660"/>
      <c r="BG19" s="1660"/>
      <c r="BH19" s="1660"/>
      <c r="BI19" s="1660"/>
      <c r="BJ19" s="1660"/>
      <c r="BK19" s="1660"/>
      <c r="BL19" s="1660"/>
      <c r="BM19" s="1660"/>
      <c r="BN19" s="1660"/>
      <c r="BO19" s="1660"/>
      <c r="BP19" s="1660"/>
      <c r="BQ19" s="1660"/>
      <c r="BR19" s="1660"/>
      <c r="BS19" s="1660"/>
      <c r="BT19" s="1660"/>
      <c r="BU19" s="1660"/>
      <c r="BV19" s="1660"/>
      <c r="BW19" s="1660"/>
      <c r="BX19" s="1660"/>
      <c r="BY19" s="1660"/>
      <c r="BZ19" s="1660"/>
      <c r="CA19" s="1660"/>
      <c r="CB19" s="1660"/>
      <c r="CC19" s="1660"/>
      <c r="CD19" s="1660"/>
      <c r="CE19" s="1660"/>
      <c r="CF19" s="1660"/>
      <c r="CG19" s="1660"/>
      <c r="CH19" s="1660"/>
      <c r="CI19" s="1660"/>
      <c r="CJ19" s="1660"/>
      <c r="CK19" s="1660"/>
      <c r="CL19" s="1660"/>
      <c r="CM19" s="1660"/>
      <c r="CN19" s="1660"/>
      <c r="CO19" s="1660"/>
      <c r="CP19" s="1660"/>
      <c r="CQ19" s="1660"/>
      <c r="CR19" s="1660"/>
      <c r="CS19" s="1660"/>
      <c r="CT19" s="1660"/>
      <c r="CU19" s="1660"/>
      <c r="CV19" s="1660"/>
      <c r="CW19" s="1660"/>
      <c r="CX19" s="1660"/>
      <c r="CY19" s="1660"/>
      <c r="CZ19" s="1660"/>
      <c r="DA19" s="1660"/>
      <c r="DB19" s="1660"/>
      <c r="DC19" s="1660"/>
      <c r="DD19" s="1660"/>
      <c r="DE19" s="1660"/>
    </row>
    <row s="1383" customFormat="1" customHeight="1" ht="22.5" hidden="1">
      <c r="L20" s="1346"/>
      <c r="M20" s="1379"/>
      <c r="N20" s="1379"/>
      <c r="O20" s="1384" t="s">
        <v>428</v>
      </c>
      <c r="P20" s="1379"/>
      <c r="Q20" s="1388"/>
      <c r="R20" s="1388"/>
      <c r="S20" s="724"/>
      <c r="Z20" s="1384"/>
      <c r="AB20" s="1384"/>
      <c r="AC20" s="1383"/>
      <c r="AH20" s="1384"/>
      <c r="AJ20" s="1384"/>
      <c r="AK20" s="1383"/>
      <c r="AL20" s="1383"/>
      <c r="AM20" s="1383"/>
      <c r="AN20" s="1383"/>
      <c r="AO20" s="1383"/>
      <c r="AP20" s="1384"/>
      <c r="AQ20" s="1383"/>
      <c r="AR20" s="1384"/>
      <c r="AS20" s="1383"/>
      <c r="AT20" s="1383"/>
      <c r="AU20" s="1383"/>
      <c r="AV20" s="1383"/>
      <c r="AW20" s="1383"/>
      <c r="AX20" s="1384"/>
      <c r="AY20" s="1383"/>
      <c r="AZ20" s="1384"/>
      <c r="BA20" s="1383"/>
      <c r="BB20" s="1383"/>
      <c r="BC20" s="1383"/>
      <c r="BD20" s="1383"/>
      <c r="BE20" s="1383"/>
      <c r="BF20" s="1384"/>
      <c r="BG20" s="1383"/>
      <c r="BH20" s="1384"/>
      <c r="BI20" s="1383"/>
      <c r="BJ20" s="1383"/>
      <c r="BK20" s="1383"/>
      <c r="BL20" s="1383"/>
      <c r="BM20" s="1383"/>
      <c r="BN20" s="1384"/>
      <c r="BO20" s="1383"/>
      <c r="BP20" s="1384"/>
      <c r="BQ20" s="1383"/>
      <c r="BR20" s="1383"/>
      <c r="BS20" s="1383"/>
      <c r="BT20" s="1383"/>
      <c r="BU20" s="1383"/>
      <c r="BV20" s="1384"/>
      <c r="BW20" s="1383"/>
      <c r="BX20" s="1384"/>
      <c r="BY20" s="1383"/>
      <c r="BZ20" s="1383"/>
      <c r="CA20" s="1383"/>
      <c r="CB20" s="1383"/>
      <c r="CC20" s="1383"/>
      <c r="CD20" s="1384"/>
      <c r="CE20" s="1383"/>
      <c r="CF20" s="1384"/>
      <c r="CG20" s="1383"/>
      <c r="CH20" s="1383"/>
      <c r="CI20" s="1383"/>
      <c r="CJ20" s="1383"/>
      <c r="CK20" s="1383"/>
      <c r="CL20" s="1384"/>
      <c r="CM20" s="1383"/>
      <c r="CN20" s="1384"/>
      <c r="CO20" s="1383"/>
      <c r="CP20" s="1383"/>
      <c r="CQ20" s="1383"/>
      <c r="CR20" s="1383"/>
      <c r="CS20" s="1383"/>
      <c r="CT20" s="1384"/>
      <c r="CU20" s="1383"/>
      <c r="CV20" s="1384"/>
      <c r="CW20" s="1383"/>
      <c r="CX20" s="1383"/>
      <c r="CY20" s="1383"/>
      <c r="CZ20" s="1383"/>
      <c r="DA20" s="1383"/>
      <c r="DB20" s="1384"/>
      <c r="DC20" s="1383"/>
      <c r="DD20" s="1384"/>
      <c r="DE20" s="1383"/>
      <c r="DH20" s="507"/>
      <c r="DI20" s="507"/>
      <c r="DJ20" s="507"/>
      <c r="DK20" s="507"/>
      <c r="DL20" s="507"/>
    </row>
    <row s="1383" customFormat="1" customHeight="1" ht="14.25" hidden="1">
      <c r="L21" s="1346"/>
      <c r="M21" s="1379"/>
      <c r="N21" s="1379"/>
      <c r="O21" s="1379"/>
      <c r="P21" s="1379"/>
      <c r="Q21" s="1388"/>
      <c r="R21" s="1388"/>
      <c r="S21" s="724"/>
      <c r="AC21" s="1383"/>
      <c r="AK21" s="1383"/>
      <c r="AL21" s="1383"/>
      <c r="AM21" s="1383"/>
      <c r="AN21" s="1383"/>
      <c r="AO21" s="1383"/>
      <c r="AP21" s="1383"/>
      <c r="AQ21" s="1383"/>
      <c r="AR21" s="1383"/>
      <c r="AS21" s="1383"/>
      <c r="AT21" s="1383"/>
      <c r="AU21" s="1383"/>
      <c r="AV21" s="1383"/>
      <c r="AW21" s="1383"/>
      <c r="AX21" s="1383"/>
      <c r="AY21" s="1383"/>
      <c r="AZ21" s="1383"/>
      <c r="BA21" s="1383"/>
      <c r="BB21" s="1383"/>
      <c r="BC21" s="1383"/>
      <c r="BD21" s="1383"/>
      <c r="BE21" s="1383"/>
      <c r="BF21" s="1383"/>
      <c r="BG21" s="1383"/>
      <c r="BH21" s="1383"/>
      <c r="BI21" s="1383"/>
      <c r="BJ21" s="1383"/>
      <c r="BK21" s="1383"/>
      <c r="BL21" s="1383"/>
      <c r="BM21" s="1383"/>
      <c r="BN21" s="1383"/>
      <c r="BO21" s="1383"/>
      <c r="BP21" s="1383"/>
      <c r="BQ21" s="1383"/>
      <c r="BR21" s="1383"/>
      <c r="BS21" s="1383"/>
      <c r="BT21" s="1383"/>
      <c r="BU21" s="1383"/>
      <c r="BV21" s="1383"/>
      <c r="BW21" s="1383"/>
      <c r="BX21" s="1383"/>
      <c r="BY21" s="1383"/>
      <c r="BZ21" s="1383"/>
      <c r="CA21" s="1383"/>
      <c r="CB21" s="1383"/>
      <c r="CC21" s="1383"/>
      <c r="CD21" s="1383"/>
      <c r="CE21" s="1383"/>
      <c r="CF21" s="1383"/>
      <c r="CG21" s="1383"/>
      <c r="CH21" s="1383"/>
      <c r="CI21" s="1383"/>
      <c r="CJ21" s="1383"/>
      <c r="CK21" s="1383"/>
      <c r="CL21" s="1383"/>
      <c r="CM21" s="1383"/>
      <c r="CN21" s="1383"/>
      <c r="CO21" s="1383"/>
      <c r="CP21" s="1383"/>
      <c r="CQ21" s="1383"/>
      <c r="CR21" s="1383"/>
      <c r="CS21" s="1383"/>
      <c r="CT21" s="1383"/>
      <c r="CU21" s="1383"/>
      <c r="CV21" s="1383"/>
      <c r="CW21" s="1383"/>
      <c r="CX21" s="1383"/>
      <c r="CY21" s="1383"/>
      <c r="CZ21" s="1383"/>
      <c r="DA21" s="1383"/>
      <c r="DB21" s="1383"/>
      <c r="DC21" s="1383"/>
      <c r="DD21" s="1383"/>
      <c r="DE21" s="1383"/>
      <c r="DH21" s="507"/>
      <c r="DI21" s="507"/>
      <c r="DJ21" s="507"/>
      <c r="DK21" s="507"/>
      <c r="DL21" s="507"/>
    </row>
    <row s="1383" customFormat="1" customHeight="1" ht="14.25" hidden="1">
      <c r="L22" s="1346"/>
      <c r="M22" s="1379"/>
      <c r="N22" s="1379"/>
      <c r="O22" s="1381" t="s">
        <v>429</v>
      </c>
      <c r="P22" s="1379"/>
      <c r="Q22" s="1388"/>
      <c r="R22" s="1388"/>
      <c r="S22" s="724"/>
      <c r="T22" s="1155" t="s">
        <v>430</v>
      </c>
      <c r="AA22" s="166" t="s">
        <v>431</v>
      </c>
      <c r="AC22" s="166" t="s">
        <v>432</v>
      </c>
      <c r="AD22" s="1155" t="s">
        <v>430</v>
      </c>
      <c r="AI22" s="166" t="s">
        <v>433</v>
      </c>
      <c r="AK22" s="166" t="s">
        <v>432</v>
      </c>
      <c r="AL22" s="1383"/>
      <c r="AM22" s="1383"/>
      <c r="AN22" s="1383"/>
      <c r="AO22" s="1383"/>
      <c r="AP22" s="1383"/>
      <c r="AQ22" s="1387" t="s">
        <v>431</v>
      </c>
      <c r="AR22" s="1383"/>
      <c r="AS22" s="1387" t="s">
        <v>432</v>
      </c>
      <c r="AT22" s="1383"/>
      <c r="AU22" s="1383"/>
      <c r="AV22" s="1383"/>
      <c r="AW22" s="1383"/>
      <c r="AX22" s="1383"/>
      <c r="AY22" s="1387" t="s">
        <v>431</v>
      </c>
      <c r="AZ22" s="1383"/>
      <c r="BA22" s="1387" t="s">
        <v>432</v>
      </c>
      <c r="BB22" s="1383"/>
      <c r="BC22" s="1383"/>
      <c r="BD22" s="1383"/>
      <c r="BE22" s="1383"/>
      <c r="BF22" s="1383"/>
      <c r="BG22" s="1387" t="s">
        <v>431</v>
      </c>
      <c r="BH22" s="1383"/>
      <c r="BI22" s="1387" t="s">
        <v>432</v>
      </c>
      <c r="BJ22" s="1383"/>
      <c r="BK22" s="1383"/>
      <c r="BL22" s="1383"/>
      <c r="BM22" s="1383"/>
      <c r="BN22" s="1383"/>
      <c r="BO22" s="1387" t="s">
        <v>431</v>
      </c>
      <c r="BP22" s="1383"/>
      <c r="BQ22" s="1387" t="s">
        <v>432</v>
      </c>
      <c r="BR22" s="1383"/>
      <c r="BS22" s="1383"/>
      <c r="BT22" s="1383"/>
      <c r="BU22" s="1383"/>
      <c r="BV22" s="1383"/>
      <c r="BW22" s="1387" t="s">
        <v>431</v>
      </c>
      <c r="BX22" s="1383"/>
      <c r="BY22" s="1387" t="s">
        <v>432</v>
      </c>
      <c r="BZ22" s="1383"/>
      <c r="CA22" s="1383"/>
      <c r="CB22" s="1383"/>
      <c r="CC22" s="1383"/>
      <c r="CD22" s="1383"/>
      <c r="CE22" s="1387" t="s">
        <v>431</v>
      </c>
      <c r="CF22" s="1383"/>
      <c r="CG22" s="1387" t="s">
        <v>432</v>
      </c>
      <c r="CH22" s="1383"/>
      <c r="CI22" s="1383"/>
      <c r="CJ22" s="1383"/>
      <c r="CK22" s="1383"/>
      <c r="CL22" s="1383"/>
      <c r="CM22" s="1387" t="s">
        <v>431</v>
      </c>
      <c r="CN22" s="1383"/>
      <c r="CO22" s="1387" t="s">
        <v>432</v>
      </c>
      <c r="CP22" s="1383"/>
      <c r="CQ22" s="1383"/>
      <c r="CR22" s="1383"/>
      <c r="CS22" s="1383"/>
      <c r="CT22" s="1383"/>
      <c r="CU22" s="1387" t="s">
        <v>431</v>
      </c>
      <c r="CV22" s="1383"/>
      <c r="CW22" s="1387" t="s">
        <v>432</v>
      </c>
      <c r="CX22" s="1383"/>
      <c r="CY22" s="1383"/>
      <c r="CZ22" s="1383"/>
      <c r="DA22" s="1383"/>
      <c r="DB22" s="1383"/>
      <c r="DC22" s="1387" t="s">
        <v>431</v>
      </c>
      <c r="DD22" s="1383"/>
      <c r="DE22" s="1387" t="s">
        <v>432</v>
      </c>
      <c r="DH22" s="507"/>
      <c r="DI22" s="507"/>
      <c r="DJ22" s="507"/>
      <c r="DK22" s="507"/>
      <c r="DL22" s="507"/>
    </row>
    <row customHeight="1" ht="14.25" hidden="1">
      <c r="O23" s="1381"/>
      <c r="AL23" s="1660"/>
      <c r="AM23" s="1660"/>
      <c r="AN23" s="1660"/>
      <c r="AO23" s="1660"/>
      <c r="AP23" s="1660"/>
      <c r="AQ23" s="1660"/>
      <c r="AR23" s="1660"/>
      <c r="AS23" s="1660"/>
      <c r="AT23" s="1660"/>
      <c r="AU23" s="1660"/>
      <c r="AV23" s="1660"/>
      <c r="AW23" s="1660"/>
      <c r="AX23" s="1660"/>
      <c r="AY23" s="1660"/>
      <c r="AZ23" s="1660"/>
      <c r="BA23" s="1660"/>
      <c r="BB23" s="1660"/>
      <c r="BC23" s="1660"/>
      <c r="BD23" s="1660"/>
      <c r="BE23" s="1660"/>
      <c r="BF23" s="1660"/>
      <c r="BG23" s="1660"/>
      <c r="BH23" s="1660"/>
      <c r="BI23" s="1660"/>
      <c r="BJ23" s="1660"/>
      <c r="BK23" s="1660"/>
      <c r="BL23" s="1660"/>
      <c r="BM23" s="1660"/>
      <c r="BN23" s="1660"/>
      <c r="BO23" s="1660"/>
      <c r="BP23" s="1660"/>
      <c r="BQ23" s="1660"/>
      <c r="BR23" s="1660"/>
      <c r="BS23" s="1660"/>
      <c r="BT23" s="1660"/>
      <c r="BU23" s="1660"/>
      <c r="BV23" s="1660"/>
      <c r="BW23" s="1660"/>
      <c r="BX23" s="1660"/>
      <c r="BY23" s="1660"/>
      <c r="BZ23" s="1660"/>
      <c r="CA23" s="1660"/>
      <c r="CB23" s="1660"/>
      <c r="CC23" s="1660"/>
      <c r="CD23" s="1660"/>
      <c r="CE23" s="1660"/>
      <c r="CF23" s="1660"/>
      <c r="CG23" s="1660"/>
      <c r="CH23" s="1660"/>
      <c r="CI23" s="1660"/>
      <c r="CJ23" s="1660"/>
      <c r="CK23" s="1660"/>
      <c r="CL23" s="1660"/>
      <c r="CM23" s="1660"/>
      <c r="CN23" s="1660"/>
      <c r="CO23" s="1660"/>
      <c r="CP23" s="1660"/>
      <c r="CQ23" s="1660"/>
      <c r="CR23" s="1660"/>
      <c r="CS23" s="1660"/>
      <c r="CT23" s="1660"/>
      <c r="CU23" s="1660"/>
      <c r="CV23" s="1660"/>
      <c r="CW23" s="1660"/>
      <c r="CX23" s="1660"/>
      <c r="CY23" s="1660"/>
      <c r="CZ23" s="1660"/>
      <c r="DA23" s="1660"/>
      <c r="DB23" s="1660"/>
      <c r="DC23" s="1660"/>
      <c r="DD23" s="1660"/>
      <c r="DE23" s="1660"/>
    </row>
    <row customHeight="1" ht="14.25" hidden="1">
      <c r="O24" s="1381"/>
      <c r="AL24" s="1660"/>
      <c r="AM24" s="1660"/>
      <c r="AN24" s="1660"/>
      <c r="AO24" s="1660"/>
      <c r="AP24" s="1660"/>
      <c r="AQ24" s="1660"/>
      <c r="AR24" s="1660"/>
      <c r="AS24" s="1660"/>
      <c r="AT24" s="1660"/>
      <c r="AU24" s="1660"/>
      <c r="AV24" s="1660"/>
      <c r="AW24" s="1660"/>
      <c r="AX24" s="1660"/>
      <c r="AY24" s="1660"/>
      <c r="AZ24" s="1660"/>
      <c r="BA24" s="1660"/>
      <c r="BB24" s="1660"/>
      <c r="BC24" s="1660"/>
      <c r="BD24" s="1660"/>
      <c r="BE24" s="1660"/>
      <c r="BF24" s="1660"/>
      <c r="BG24" s="1660"/>
      <c r="BH24" s="1660"/>
      <c r="BI24" s="1660"/>
      <c r="BJ24" s="1660"/>
      <c r="BK24" s="1660"/>
      <c r="BL24" s="1660"/>
      <c r="BM24" s="1660"/>
      <c r="BN24" s="1660"/>
      <c r="BO24" s="1660"/>
      <c r="BP24" s="1660"/>
      <c r="BQ24" s="1660"/>
      <c r="BR24" s="1660"/>
      <c r="BS24" s="1660"/>
      <c r="BT24" s="1660"/>
      <c r="BU24" s="1660"/>
      <c r="BV24" s="1660"/>
      <c r="BW24" s="1660"/>
      <c r="BX24" s="1660"/>
      <c r="BY24" s="1660"/>
      <c r="BZ24" s="1660"/>
      <c r="CA24" s="1660"/>
      <c r="CB24" s="1660"/>
      <c r="CC24" s="1660"/>
      <c r="CD24" s="1660"/>
      <c r="CE24" s="1660"/>
      <c r="CF24" s="1660"/>
      <c r="CG24" s="1660"/>
      <c r="CH24" s="1660"/>
      <c r="CI24" s="1660"/>
      <c r="CJ24" s="1660"/>
      <c r="CK24" s="1660"/>
      <c r="CL24" s="1660"/>
      <c r="CM24" s="1660"/>
      <c r="CN24" s="1660"/>
      <c r="CO24" s="1660"/>
      <c r="CP24" s="1660"/>
      <c r="CQ24" s="1660"/>
      <c r="CR24" s="1660"/>
      <c r="CS24" s="1660"/>
      <c r="CT24" s="1660"/>
      <c r="CU24" s="1660"/>
      <c r="CV24" s="1660"/>
      <c r="CW24" s="1660"/>
      <c r="CX24" s="1660"/>
      <c r="CY24" s="1660"/>
      <c r="CZ24" s="1660"/>
      <c r="DA24" s="1660"/>
      <c r="DB24" s="1660"/>
      <c r="DC24" s="1660"/>
      <c r="DD24" s="1660"/>
      <c r="DE24" s="1660"/>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c r="AL25" s="1660"/>
      <c r="AM25" s="1660"/>
      <c r="AN25" s="1660"/>
      <c r="AO25" s="1660"/>
      <c r="AP25" s="1660"/>
      <c r="AQ25" s="1660"/>
      <c r="AR25" s="1660"/>
      <c r="AS25" s="1660"/>
      <c r="AT25" s="1660"/>
      <c r="AU25" s="1660"/>
      <c r="AV25" s="1660"/>
      <c r="AW25" s="1660"/>
      <c r="AX25" s="1660"/>
      <c r="AY25" s="1660"/>
      <c r="AZ25" s="1660"/>
      <c r="BA25" s="1660"/>
      <c r="BB25" s="1660"/>
      <c r="BC25" s="1660"/>
      <c r="BD25" s="1660"/>
      <c r="BE25" s="1660"/>
      <c r="BF25" s="1660"/>
      <c r="BG25" s="1660"/>
      <c r="BH25" s="1660"/>
      <c r="BI25" s="1660"/>
      <c r="BJ25" s="1660"/>
      <c r="BK25" s="1660"/>
      <c r="BL25" s="1660"/>
      <c r="BM25" s="1660"/>
      <c r="BN25" s="1660"/>
      <c r="BO25" s="1660"/>
      <c r="BP25" s="1660"/>
      <c r="BQ25" s="1660"/>
      <c r="BR25" s="1660"/>
      <c r="BS25" s="1660"/>
      <c r="BT25" s="1660"/>
      <c r="BU25" s="1660"/>
      <c r="BV25" s="1660"/>
      <c r="BW25" s="1660"/>
      <c r="BX25" s="1660"/>
      <c r="BY25" s="1660"/>
      <c r="BZ25" s="1660"/>
      <c r="CA25" s="1660"/>
      <c r="CB25" s="1660"/>
      <c r="CC25" s="1660"/>
      <c r="CD25" s="1660"/>
      <c r="CE25" s="1660"/>
      <c r="CF25" s="1660"/>
      <c r="CG25" s="1660"/>
      <c r="CH25" s="1660"/>
      <c r="CI25" s="1660"/>
      <c r="CJ25" s="1660"/>
      <c r="CK25" s="1660"/>
      <c r="CL25" s="1660"/>
      <c r="CM25" s="1660"/>
      <c r="CN25" s="1660"/>
      <c r="CO25" s="1660"/>
      <c r="CP25" s="1660"/>
      <c r="CQ25" s="1660"/>
      <c r="CR25" s="1660"/>
      <c r="CS25" s="1660"/>
      <c r="CT25" s="1660"/>
      <c r="CU25" s="1660"/>
      <c r="CV25" s="1660"/>
      <c r="CW25" s="1660"/>
      <c r="CX25" s="1660"/>
      <c r="CY25" s="1660"/>
      <c r="CZ25" s="1660"/>
      <c r="DA25" s="1660"/>
      <c r="DB25" s="1660"/>
      <c r="DC25" s="1660"/>
      <c r="DD25" s="1660"/>
      <c r="DE25" s="1660"/>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c r="AL26" s="2122"/>
      <c r="AM26" s="2122"/>
      <c r="AN26" s="2122"/>
      <c r="AO26" s="2122"/>
      <c r="AP26" s="2122"/>
      <c r="AQ26" s="2122"/>
      <c r="AR26" s="2122"/>
      <c r="AS26" s="2122"/>
      <c r="AT26" s="2122"/>
      <c r="AU26" s="2122"/>
      <c r="AV26" s="2122"/>
      <c r="AW26" s="2122"/>
      <c r="AX26" s="2122"/>
      <c r="AY26" s="2122"/>
      <c r="AZ26" s="2122"/>
      <c r="BA26" s="2122"/>
      <c r="BB26" s="2122"/>
      <c r="BC26" s="2122"/>
      <c r="BD26" s="2122"/>
      <c r="BE26" s="2122"/>
      <c r="BF26" s="2122"/>
      <c r="BG26" s="2122"/>
      <c r="BH26" s="2122"/>
      <c r="BI26" s="2122"/>
      <c r="BJ26" s="2122"/>
      <c r="BK26" s="2122"/>
      <c r="BL26" s="2122"/>
      <c r="BM26" s="2122"/>
      <c r="BN26" s="2122"/>
      <c r="BO26" s="2122"/>
      <c r="BP26" s="2122"/>
      <c r="BQ26" s="2122"/>
      <c r="BR26" s="2122"/>
      <c r="BS26" s="2122"/>
      <c r="BT26" s="2122"/>
      <c r="BU26" s="2122"/>
      <c r="BV26" s="2122"/>
      <c r="BW26" s="2122"/>
      <c r="BX26" s="2122"/>
      <c r="BY26" s="2122"/>
      <c r="BZ26" s="2122"/>
      <c r="CA26" s="2122"/>
      <c r="CB26" s="2122"/>
      <c r="CC26" s="2122"/>
      <c r="CD26" s="2122"/>
      <c r="CE26" s="2122"/>
      <c r="CF26" s="2122"/>
      <c r="CG26" s="2122"/>
      <c r="CH26" s="2122"/>
      <c r="CI26" s="2122"/>
      <c r="CJ26" s="2122"/>
      <c r="CK26" s="2122"/>
      <c r="CL26" s="2122"/>
      <c r="CM26" s="2122"/>
      <c r="CN26" s="2122"/>
      <c r="CO26" s="2122"/>
      <c r="CP26" s="2122"/>
      <c r="CQ26" s="2122"/>
      <c r="CR26" s="2122"/>
      <c r="CS26" s="2122"/>
      <c r="CT26" s="2122"/>
      <c r="CU26" s="2122"/>
      <c r="CV26" s="2122"/>
      <c r="CW26" s="2122"/>
      <c r="CX26" s="2122"/>
      <c r="CY26" s="2122"/>
      <c r="CZ26" s="2122"/>
      <c r="DA26" s="2122"/>
      <c r="DB26" s="2122"/>
      <c r="DC26" s="2122"/>
      <c r="DD26" s="2122"/>
      <c r="DE26" s="2122"/>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c r="AL27" s="2123"/>
      <c r="AM27" s="2123"/>
      <c r="AN27" s="2123"/>
      <c r="AO27" s="2123"/>
      <c r="AP27" s="2123"/>
      <c r="AQ27" s="2123"/>
      <c r="AR27" s="2123"/>
      <c r="AS27" s="2123"/>
      <c r="AT27" s="2123"/>
      <c r="AU27" s="2123"/>
      <c r="AV27" s="2123"/>
      <c r="AW27" s="2123"/>
      <c r="AX27" s="2123"/>
      <c r="AY27" s="2123"/>
      <c r="AZ27" s="2123"/>
      <c r="BA27" s="2123"/>
      <c r="BB27" s="2123"/>
      <c r="BC27" s="2123"/>
      <c r="BD27" s="2123"/>
      <c r="BE27" s="2123"/>
      <c r="BF27" s="2123"/>
      <c r="BG27" s="2123"/>
      <c r="BH27" s="2123"/>
      <c r="BI27" s="2123"/>
      <c r="BJ27" s="2123"/>
      <c r="BK27" s="2123"/>
      <c r="BL27" s="2123"/>
      <c r="BM27" s="2123"/>
      <c r="BN27" s="2123"/>
      <c r="BO27" s="2123"/>
      <c r="BP27" s="2123"/>
      <c r="BQ27" s="2123"/>
      <c r="BR27" s="2123"/>
      <c r="BS27" s="2123"/>
      <c r="BT27" s="2123"/>
      <c r="BU27" s="2123"/>
      <c r="BV27" s="2123"/>
      <c r="BW27" s="2123"/>
      <c r="BX27" s="2123"/>
      <c r="BY27" s="2123"/>
      <c r="BZ27" s="2123"/>
      <c r="CA27" s="2123"/>
      <c r="CB27" s="2123"/>
      <c r="CC27" s="2123"/>
      <c r="CD27" s="2123"/>
      <c r="CE27" s="2123"/>
      <c r="CF27" s="2123"/>
      <c r="CG27" s="2123"/>
      <c r="CH27" s="2123"/>
      <c r="CI27" s="2123"/>
      <c r="CJ27" s="2123"/>
      <c r="CK27" s="2123"/>
      <c r="CL27" s="2123"/>
      <c r="CM27" s="2123"/>
      <c r="CN27" s="2123"/>
      <c r="CO27" s="2123"/>
      <c r="CP27" s="2123"/>
      <c r="CQ27" s="2123"/>
      <c r="CR27" s="2123"/>
      <c r="CS27" s="2123"/>
      <c r="CT27" s="2123"/>
      <c r="CU27" s="2123"/>
      <c r="CV27" s="2123"/>
      <c r="CW27" s="2123"/>
      <c r="CX27" s="2123"/>
      <c r="CY27" s="2123"/>
      <c r="CZ27" s="2123"/>
      <c r="DA27" s="2123"/>
      <c r="DB27" s="2123"/>
      <c r="DC27" s="2123"/>
      <c r="DD27" s="2123"/>
      <c r="DE27" s="2123"/>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308"/>
      <c r="AM28" s="308"/>
      <c r="AN28" s="308"/>
      <c r="AO28" s="308"/>
      <c r="AP28" s="308"/>
      <c r="AQ28" s="308"/>
      <c r="AR28" s="308"/>
      <c r="AS28" s="308"/>
      <c r="AT28" s="308"/>
      <c r="AU28" s="308"/>
      <c r="AV28" s="308"/>
      <c r="AW28" s="308"/>
      <c r="AX28" s="308"/>
      <c r="AY28" s="308"/>
      <c r="AZ28" s="308"/>
      <c r="BA28" s="308"/>
      <c r="BB28" s="308"/>
      <c r="BC28" s="308"/>
      <c r="BD28" s="308"/>
      <c r="BE28" s="308"/>
      <c r="BF28" s="308"/>
      <c r="BG28" s="308"/>
      <c r="BH28" s="308"/>
      <c r="BI28" s="308"/>
      <c r="BJ28" s="308"/>
      <c r="BK28" s="308"/>
      <c r="BL28" s="308"/>
      <c r="BM28" s="308"/>
      <c r="BN28" s="308"/>
      <c r="BO28" s="308"/>
      <c r="BP28" s="308"/>
      <c r="BQ28" s="308"/>
      <c r="BR28" s="308"/>
      <c r="BS28" s="308"/>
      <c r="BT28" s="308"/>
      <c r="BU28" s="308"/>
      <c r="BV28" s="308"/>
      <c r="BW28" s="308"/>
      <c r="BX28" s="308"/>
      <c r="BY28" s="308"/>
      <c r="BZ28" s="308"/>
      <c r="CA28" s="308"/>
      <c r="CB28" s="308"/>
      <c r="CC28" s="308"/>
      <c r="CD28" s="308"/>
      <c r="CE28" s="308"/>
      <c r="CF28" s="308"/>
      <c r="CG28" s="308"/>
      <c r="CH28" s="308"/>
      <c r="CI28" s="308"/>
      <c r="CJ28" s="308"/>
      <c r="CK28" s="308"/>
      <c r="CL28" s="308"/>
      <c r="CM28" s="308"/>
      <c r="CN28" s="308"/>
      <c r="CO28" s="308"/>
      <c r="CP28" s="308"/>
      <c r="CQ28" s="308"/>
      <c r="CR28" s="308"/>
      <c r="CS28" s="308"/>
      <c r="CT28" s="308"/>
      <c r="CU28" s="308"/>
      <c r="CV28" s="308"/>
      <c r="CW28" s="308"/>
      <c r="CX28" s="308"/>
      <c r="CY28" s="308"/>
      <c r="CZ28" s="308"/>
      <c r="DA28" s="308"/>
      <c r="DB28" s="308"/>
      <c r="DC28" s="308"/>
      <c r="DD28" s="308"/>
      <c r="DE28" s="308"/>
      <c r="DF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тарифам Санкт-Петербурга</v>
      </c>
      <c r="W29" s="2082"/>
      <c r="X29" s="2082"/>
      <c r="Y29" s="2082"/>
      <c r="Z29" s="2082"/>
      <c r="AA29" s="2082"/>
      <c r="AB29" s="2082"/>
      <c r="AC29" s="314"/>
      <c r="AD29" s="2082" t="str">
        <f>IF(TITLE_NAME_OR_PR_CHANGE="",IF(TITLE_NAME_OR_PR="","",TITLE_NAME_OR_PR),TITLE_NAME_OR_PR_CHANGE)</f>
        <v>Комитет по тарифам Санкт-Петербурга</v>
      </c>
      <c r="AE29" s="2082"/>
      <c r="AF29" s="2082"/>
      <c r="AG29" s="2082"/>
      <c r="AH29" s="2082"/>
      <c r="AI29" s="2082"/>
      <c r="AJ29" s="2082"/>
      <c r="AK29" s="314"/>
      <c r="AL29" s="2082" t="str">
        <f>IF(TITLE_NAME_OR_PR_CHANGE="",IF(TITLE_NAME_OR_PR="","",TITLE_NAME_OR_PR),TITLE_NAME_OR_PR_CHANGE)</f>
        <v>Комитет по тарифам Санкт-Петербурга</v>
      </c>
      <c r="AM29" s="2082"/>
      <c r="AN29" s="2082"/>
      <c r="AO29" s="2082"/>
      <c r="AP29" s="2082"/>
      <c r="AQ29" s="2082"/>
      <c r="AR29" s="2082"/>
      <c r="AS29" s="1660"/>
      <c r="AT29" s="2082" t="str">
        <f>IF(TITLE_NAME_OR_PR_CHANGE="",IF(TITLE_NAME_OR_PR="","",TITLE_NAME_OR_PR),TITLE_NAME_OR_PR_CHANGE)</f>
        <v>Комитет по тарифам Санкт-Петербурга</v>
      </c>
      <c r="AU29" s="2082"/>
      <c r="AV29" s="2082"/>
      <c r="AW29" s="2082"/>
      <c r="AX29" s="2082"/>
      <c r="AY29" s="2082"/>
      <c r="AZ29" s="2082"/>
      <c r="BA29" s="1660"/>
      <c r="BB29" s="2082" t="str">
        <f>IF(TITLE_NAME_OR_PR_CHANGE="",IF(TITLE_NAME_OR_PR="","",TITLE_NAME_OR_PR),TITLE_NAME_OR_PR_CHANGE)</f>
        <v>Комитет по тарифам Санкт-Петербурга</v>
      </c>
      <c r="BC29" s="2082"/>
      <c r="BD29" s="2082"/>
      <c r="BE29" s="2082"/>
      <c r="BF29" s="2082"/>
      <c r="BG29" s="2082"/>
      <c r="BH29" s="2082"/>
      <c r="BI29" s="1660"/>
      <c r="BJ29" s="2082" t="str">
        <f>IF(TITLE_NAME_OR_PR_CHANGE="",IF(TITLE_NAME_OR_PR="","",TITLE_NAME_OR_PR),TITLE_NAME_OR_PR_CHANGE)</f>
        <v>Комитет по тарифам Санкт-Петербурга</v>
      </c>
      <c r="BK29" s="2082"/>
      <c r="BL29" s="2082"/>
      <c r="BM29" s="2082"/>
      <c r="BN29" s="2082"/>
      <c r="BO29" s="2082"/>
      <c r="BP29" s="2082"/>
      <c r="BQ29" s="1660"/>
      <c r="BR29" s="2082" t="str">
        <f>IF(TITLE_NAME_OR_PR_CHANGE="",IF(TITLE_NAME_OR_PR="","",TITLE_NAME_OR_PR),TITLE_NAME_OR_PR_CHANGE)</f>
        <v>Комитет по тарифам Санкт-Петербурга</v>
      </c>
      <c r="BS29" s="2082"/>
      <c r="BT29" s="2082"/>
      <c r="BU29" s="2082"/>
      <c r="BV29" s="2082"/>
      <c r="BW29" s="2082"/>
      <c r="BX29" s="2082"/>
      <c r="BY29" s="1660"/>
      <c r="BZ29" s="2082" t="str">
        <f>IF(TITLE_NAME_OR_PR_CHANGE="",IF(TITLE_NAME_OR_PR="","",TITLE_NAME_OR_PR),TITLE_NAME_OR_PR_CHANGE)</f>
        <v>Комитет по тарифам Санкт-Петербурга</v>
      </c>
      <c r="CA29" s="2082"/>
      <c r="CB29" s="2082"/>
      <c r="CC29" s="2082"/>
      <c r="CD29" s="2082"/>
      <c r="CE29" s="2082"/>
      <c r="CF29" s="2082"/>
      <c r="CG29" s="1660"/>
      <c r="CH29" s="2082" t="str">
        <f>IF(TITLE_NAME_OR_PR_CHANGE="",IF(TITLE_NAME_OR_PR="","",TITLE_NAME_OR_PR),TITLE_NAME_OR_PR_CHANGE)</f>
        <v>Комитет по тарифам Санкт-Петербурга</v>
      </c>
      <c r="CI29" s="2082"/>
      <c r="CJ29" s="2082"/>
      <c r="CK29" s="2082"/>
      <c r="CL29" s="2082"/>
      <c r="CM29" s="2082"/>
      <c r="CN29" s="2082"/>
      <c r="CO29" s="1660"/>
      <c r="CP29" s="2082" t="str">
        <f>IF(TITLE_NAME_OR_PR_CHANGE="",IF(TITLE_NAME_OR_PR="","",TITLE_NAME_OR_PR),TITLE_NAME_OR_PR_CHANGE)</f>
        <v>Комитет по тарифам Санкт-Петербурга</v>
      </c>
      <c r="CQ29" s="2082"/>
      <c r="CR29" s="2082"/>
      <c r="CS29" s="2082"/>
      <c r="CT29" s="2082"/>
      <c r="CU29" s="2082"/>
      <c r="CV29" s="2082"/>
      <c r="CW29" s="1660"/>
      <c r="CX29" s="2082" t="str">
        <f>IF(TITLE_NAME_OR_PR_CHANGE="",IF(TITLE_NAME_OR_PR="","",TITLE_NAME_OR_PR),TITLE_NAME_OR_PR_CHANGE)</f>
        <v>Комитет по тарифам Санкт-Петербурга</v>
      </c>
      <c r="CY29" s="2082"/>
      <c r="CZ29" s="2082"/>
      <c r="DA29" s="2082"/>
      <c r="DB29" s="2082"/>
      <c r="DC29" s="2082"/>
      <c r="DD29" s="2082"/>
      <c r="DE29" s="1660"/>
      <c r="DF29" s="314"/>
      <c r="DG29" s="261"/>
      <c r="DH29" s="360"/>
      <c r="DI29" s="360"/>
      <c r="DJ29" s="360"/>
      <c r="DK29" s="360"/>
      <c r="DL29" s="360"/>
    </row>
    <row s="1877" customFormat="1" customHeight="1" ht="18.75">
      <c r="A30" s="1385"/>
      <c r="B30" s="1385"/>
      <c r="C30" s="1385"/>
      <c r="D30" s="1385"/>
      <c r="E30" s="1385"/>
      <c r="F30" s="1385"/>
      <c r="G30" s="1385"/>
      <c r="H30" s="1385"/>
      <c r="I30" s="1385"/>
      <c r="J30" s="1385"/>
      <c r="K30" s="1385"/>
      <c r="L30" s="1386"/>
      <c r="M30" s="1385"/>
      <c r="N30" s="1385"/>
      <c r="O30" s="1385"/>
      <c r="S30" s="2080" t="s">
        <v>434</v>
      </c>
      <c r="T30" s="2080"/>
      <c r="U30" s="1389"/>
      <c r="V30" s="2081" t="str">
        <f>IF(TITLE_DATE_PR_CHANGE="",IF(TITLE_DATE_PR="","",TITLE_DATE_PR),TITLE_DATE_PR_CHANGE)</f>
        <v>45280.49324074074</v>
      </c>
      <c r="W30" s="2081"/>
      <c r="X30" s="2081"/>
      <c r="Y30" s="2081"/>
      <c r="Z30" s="2081"/>
      <c r="AA30" s="2081"/>
      <c r="AB30" s="2081"/>
      <c r="AC30" s="314"/>
      <c r="AD30" s="2081" t="str">
        <f>IF(TITLE_DATE_PR_CHANGE="",IF(TITLE_DATE_PR="","",TITLE_DATE_PR),TITLE_DATE_PR_CHANGE)</f>
        <v>45280.49324074074</v>
      </c>
      <c r="AE30" s="2081"/>
      <c r="AF30" s="2081"/>
      <c r="AG30" s="2081"/>
      <c r="AH30" s="2081"/>
      <c r="AI30" s="2081"/>
      <c r="AJ30" s="2081"/>
      <c r="AK30" s="314"/>
      <c r="AL30" s="2081" t="str">
        <f>IF(TITLE_DATE_PR_CHANGE="",IF(TITLE_DATE_PR="","",TITLE_DATE_PR),TITLE_DATE_PR_CHANGE)</f>
        <v>45280.49324074074</v>
      </c>
      <c r="AM30" s="2081"/>
      <c r="AN30" s="2081"/>
      <c r="AO30" s="2081"/>
      <c r="AP30" s="2081"/>
      <c r="AQ30" s="2081"/>
      <c r="AR30" s="2081"/>
      <c r="AS30" s="1660"/>
      <c r="AT30" s="2081" t="str">
        <f>IF(TITLE_DATE_PR_CHANGE="",IF(TITLE_DATE_PR="","",TITLE_DATE_PR),TITLE_DATE_PR_CHANGE)</f>
        <v>45280.49324074074</v>
      </c>
      <c r="AU30" s="2081"/>
      <c r="AV30" s="2081"/>
      <c r="AW30" s="2081"/>
      <c r="AX30" s="2081"/>
      <c r="AY30" s="2081"/>
      <c r="AZ30" s="2081"/>
      <c r="BA30" s="1660"/>
      <c r="BB30" s="2081" t="str">
        <f>IF(TITLE_DATE_PR_CHANGE="",IF(TITLE_DATE_PR="","",TITLE_DATE_PR),TITLE_DATE_PR_CHANGE)</f>
        <v>45280.49324074074</v>
      </c>
      <c r="BC30" s="2081"/>
      <c r="BD30" s="2081"/>
      <c r="BE30" s="2081"/>
      <c r="BF30" s="2081"/>
      <c r="BG30" s="2081"/>
      <c r="BH30" s="2081"/>
      <c r="BI30" s="1660"/>
      <c r="BJ30" s="2081" t="str">
        <f>IF(TITLE_DATE_PR_CHANGE="",IF(TITLE_DATE_PR="","",TITLE_DATE_PR),TITLE_DATE_PR_CHANGE)</f>
        <v>45280.49324074074</v>
      </c>
      <c r="BK30" s="2081"/>
      <c r="BL30" s="2081"/>
      <c r="BM30" s="2081"/>
      <c r="BN30" s="2081"/>
      <c r="BO30" s="2081"/>
      <c r="BP30" s="2081"/>
      <c r="BQ30" s="1660"/>
      <c r="BR30" s="2081" t="str">
        <f>IF(TITLE_DATE_PR_CHANGE="",IF(TITLE_DATE_PR="","",TITLE_DATE_PR),TITLE_DATE_PR_CHANGE)</f>
        <v>45280.49324074074</v>
      </c>
      <c r="BS30" s="2081"/>
      <c r="BT30" s="2081"/>
      <c r="BU30" s="2081"/>
      <c r="BV30" s="2081"/>
      <c r="BW30" s="2081"/>
      <c r="BX30" s="2081"/>
      <c r="BY30" s="1660"/>
      <c r="BZ30" s="2081" t="str">
        <f>IF(TITLE_DATE_PR_CHANGE="",IF(TITLE_DATE_PR="","",TITLE_DATE_PR),TITLE_DATE_PR_CHANGE)</f>
        <v>45280.49324074074</v>
      </c>
      <c r="CA30" s="2081"/>
      <c r="CB30" s="2081"/>
      <c r="CC30" s="2081"/>
      <c r="CD30" s="2081"/>
      <c r="CE30" s="2081"/>
      <c r="CF30" s="2081"/>
      <c r="CG30" s="1660"/>
      <c r="CH30" s="2081" t="str">
        <f>IF(TITLE_DATE_PR_CHANGE="",IF(TITLE_DATE_PR="","",TITLE_DATE_PR),TITLE_DATE_PR_CHANGE)</f>
        <v>45280.49324074074</v>
      </c>
      <c r="CI30" s="2081"/>
      <c r="CJ30" s="2081"/>
      <c r="CK30" s="2081"/>
      <c r="CL30" s="2081"/>
      <c r="CM30" s="2081"/>
      <c r="CN30" s="2081"/>
      <c r="CO30" s="1660"/>
      <c r="CP30" s="2081" t="str">
        <f>IF(TITLE_DATE_PR_CHANGE="",IF(TITLE_DATE_PR="","",TITLE_DATE_PR),TITLE_DATE_PR_CHANGE)</f>
        <v>45280.49324074074</v>
      </c>
      <c r="CQ30" s="2081"/>
      <c r="CR30" s="2081"/>
      <c r="CS30" s="2081"/>
      <c r="CT30" s="2081"/>
      <c r="CU30" s="2081"/>
      <c r="CV30" s="2081"/>
      <c r="CW30" s="1660"/>
      <c r="CX30" s="2081" t="str">
        <f>IF(TITLE_DATE_PR_CHANGE="",IF(TITLE_DATE_PR="","",TITLE_DATE_PR),TITLE_DATE_PR_CHANGE)</f>
        <v>45280.49324074074</v>
      </c>
      <c r="CY30" s="2081"/>
      <c r="CZ30" s="2081"/>
      <c r="DA30" s="2081"/>
      <c r="DB30" s="2081"/>
      <c r="DC30" s="2081"/>
      <c r="DD30" s="2081"/>
      <c r="DE30" s="1660"/>
      <c r="DF30" s="314"/>
      <c r="DG30" s="261"/>
      <c r="DH30" s="360"/>
      <c r="DI30" s="360"/>
      <c r="DJ30" s="360"/>
      <c r="DK30" s="360"/>
      <c r="DL30" s="360"/>
    </row>
    <row s="1877" customFormat="1" customHeight="1" ht="18.75">
      <c r="A31" s="1385"/>
      <c r="B31" s="1385"/>
      <c r="C31" s="1385"/>
      <c r="D31" s="1385"/>
      <c r="E31" s="1385"/>
      <c r="F31" s="1385"/>
      <c r="G31" s="1385"/>
      <c r="H31" s="1385"/>
      <c r="I31" s="1385"/>
      <c r="J31" s="1385"/>
      <c r="K31" s="1385"/>
      <c r="L31" s="1386"/>
      <c r="M31" s="1385"/>
      <c r="N31" s="1385"/>
      <c r="O31" s="1385"/>
      <c r="S31" s="2080" t="s">
        <v>435</v>
      </c>
      <c r="T31" s="2080"/>
      <c r="U31" s="1389"/>
      <c r="V31" s="2082" t="str">
        <f>IF(TITLE_NUMBER_PR_CHANGE="",IF(TITLE_NUMBER_PR="","",TITLE_NUMBER_PR),TITLE_NUMBER_PR_CHANGE)</f>
        <v>262-р</v>
      </c>
      <c r="W31" s="2082"/>
      <c r="X31" s="2082"/>
      <c r="Y31" s="2082"/>
      <c r="Z31" s="2082"/>
      <c r="AA31" s="2082"/>
      <c r="AB31" s="2082"/>
      <c r="AC31" s="314"/>
      <c r="AD31" s="2082" t="str">
        <f>IF(TITLE_NUMBER_PR_CHANGE="",IF(TITLE_NUMBER_PR="","",TITLE_NUMBER_PR),TITLE_NUMBER_PR_CHANGE)</f>
        <v>262-р</v>
      </c>
      <c r="AE31" s="2082"/>
      <c r="AF31" s="2082"/>
      <c r="AG31" s="2082"/>
      <c r="AH31" s="2082"/>
      <c r="AI31" s="2082"/>
      <c r="AJ31" s="2082"/>
      <c r="AK31" s="314"/>
      <c r="AL31" s="2082" t="str">
        <f>IF(TITLE_NUMBER_PR_CHANGE="",IF(TITLE_NUMBER_PR="","",TITLE_NUMBER_PR),TITLE_NUMBER_PR_CHANGE)</f>
        <v>262-р</v>
      </c>
      <c r="AM31" s="2082"/>
      <c r="AN31" s="2082"/>
      <c r="AO31" s="2082"/>
      <c r="AP31" s="2082"/>
      <c r="AQ31" s="2082"/>
      <c r="AR31" s="2082"/>
      <c r="AS31" s="1660"/>
      <c r="AT31" s="2082" t="str">
        <f>IF(TITLE_NUMBER_PR_CHANGE="",IF(TITLE_NUMBER_PR="","",TITLE_NUMBER_PR),TITLE_NUMBER_PR_CHANGE)</f>
        <v>262-р</v>
      </c>
      <c r="AU31" s="2082"/>
      <c r="AV31" s="2082"/>
      <c r="AW31" s="2082"/>
      <c r="AX31" s="2082"/>
      <c r="AY31" s="2082"/>
      <c r="AZ31" s="2082"/>
      <c r="BA31" s="1660"/>
      <c r="BB31" s="2082" t="str">
        <f>IF(TITLE_NUMBER_PR_CHANGE="",IF(TITLE_NUMBER_PR="","",TITLE_NUMBER_PR),TITLE_NUMBER_PR_CHANGE)</f>
        <v>262-р</v>
      </c>
      <c r="BC31" s="2082"/>
      <c r="BD31" s="2082"/>
      <c r="BE31" s="2082"/>
      <c r="BF31" s="2082"/>
      <c r="BG31" s="2082"/>
      <c r="BH31" s="2082"/>
      <c r="BI31" s="1660"/>
      <c r="BJ31" s="2082" t="str">
        <f>IF(TITLE_NUMBER_PR_CHANGE="",IF(TITLE_NUMBER_PR="","",TITLE_NUMBER_PR),TITLE_NUMBER_PR_CHANGE)</f>
        <v>262-р</v>
      </c>
      <c r="BK31" s="2082"/>
      <c r="BL31" s="2082"/>
      <c r="BM31" s="2082"/>
      <c r="BN31" s="2082"/>
      <c r="BO31" s="2082"/>
      <c r="BP31" s="2082"/>
      <c r="BQ31" s="1660"/>
      <c r="BR31" s="2082" t="str">
        <f>IF(TITLE_NUMBER_PR_CHANGE="",IF(TITLE_NUMBER_PR="","",TITLE_NUMBER_PR),TITLE_NUMBER_PR_CHANGE)</f>
        <v>262-р</v>
      </c>
      <c r="BS31" s="2082"/>
      <c r="BT31" s="2082"/>
      <c r="BU31" s="2082"/>
      <c r="BV31" s="2082"/>
      <c r="BW31" s="2082"/>
      <c r="BX31" s="2082"/>
      <c r="BY31" s="1660"/>
      <c r="BZ31" s="2082" t="str">
        <f>IF(TITLE_NUMBER_PR_CHANGE="",IF(TITLE_NUMBER_PR="","",TITLE_NUMBER_PR),TITLE_NUMBER_PR_CHANGE)</f>
        <v>262-р</v>
      </c>
      <c r="CA31" s="2082"/>
      <c r="CB31" s="2082"/>
      <c r="CC31" s="2082"/>
      <c r="CD31" s="2082"/>
      <c r="CE31" s="2082"/>
      <c r="CF31" s="2082"/>
      <c r="CG31" s="1660"/>
      <c r="CH31" s="2082" t="str">
        <f>IF(TITLE_NUMBER_PR_CHANGE="",IF(TITLE_NUMBER_PR="","",TITLE_NUMBER_PR),TITLE_NUMBER_PR_CHANGE)</f>
        <v>262-р</v>
      </c>
      <c r="CI31" s="2082"/>
      <c r="CJ31" s="2082"/>
      <c r="CK31" s="2082"/>
      <c r="CL31" s="2082"/>
      <c r="CM31" s="2082"/>
      <c r="CN31" s="2082"/>
      <c r="CO31" s="1660"/>
      <c r="CP31" s="2082" t="str">
        <f>IF(TITLE_NUMBER_PR_CHANGE="",IF(TITLE_NUMBER_PR="","",TITLE_NUMBER_PR),TITLE_NUMBER_PR_CHANGE)</f>
        <v>262-р</v>
      </c>
      <c r="CQ31" s="2082"/>
      <c r="CR31" s="2082"/>
      <c r="CS31" s="2082"/>
      <c r="CT31" s="2082"/>
      <c r="CU31" s="2082"/>
      <c r="CV31" s="2082"/>
      <c r="CW31" s="1660"/>
      <c r="CX31" s="2082" t="str">
        <f>IF(TITLE_NUMBER_PR_CHANGE="",IF(TITLE_NUMBER_PR="","",TITLE_NUMBER_PR),TITLE_NUMBER_PR_CHANGE)</f>
        <v>262-р</v>
      </c>
      <c r="CY31" s="2082"/>
      <c r="CZ31" s="2082"/>
      <c r="DA31" s="2082"/>
      <c r="DB31" s="2082"/>
      <c r="DC31" s="2082"/>
      <c r="DD31" s="2082"/>
      <c r="DE31" s="1660"/>
      <c r="DF31" s="314"/>
      <c r="DG31" s="261"/>
      <c r="DH31" s="360"/>
      <c r="DI31" s="360"/>
      <c r="DJ31" s="360"/>
      <c r="DK31" s="360"/>
      <c r="DL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https://www.gov.spb.ru/static/writable/documents/2023/12/22/%D0%BE%D1%82_20.12.2023__262-%D1%80.pdf</v>
      </c>
      <c r="W32" s="2082"/>
      <c r="X32" s="2082"/>
      <c r="Y32" s="2082"/>
      <c r="Z32" s="2082"/>
      <c r="AA32" s="2082"/>
      <c r="AB32" s="2082"/>
      <c r="AC32" s="314"/>
      <c r="AD32" s="2082" t="str">
        <f>IF(TITLE_IST_PUB_CHANGE="",IF(TITLE_IST_PUB="","",TITLE_IST_PUB),TITLE_IST_PUB_CHANGE)</f>
        <v>https://www.gov.spb.ru/static/writable/documents/2023/12/22/%D0%BE%D1%82_20.12.2023__262-%D1%80.pdf</v>
      </c>
      <c r="AE32" s="2082"/>
      <c r="AF32" s="2082"/>
      <c r="AG32" s="2082"/>
      <c r="AH32" s="2082"/>
      <c r="AI32" s="2082"/>
      <c r="AJ32" s="2082"/>
      <c r="AK32" s="314"/>
      <c r="AL32" s="2082" t="str">
        <f>IF(TITLE_IST_PUB_CHANGE="",IF(TITLE_IST_PUB="","",TITLE_IST_PUB),TITLE_IST_PUB_CHANGE)</f>
        <v>https://www.gov.spb.ru/static/writable/documents/2023/12/22/%D0%BE%D1%82_20.12.2023__262-%D1%80.pdf</v>
      </c>
      <c r="AM32" s="2082"/>
      <c r="AN32" s="2082"/>
      <c r="AO32" s="2082"/>
      <c r="AP32" s="2082"/>
      <c r="AQ32" s="2082"/>
      <c r="AR32" s="2082"/>
      <c r="AS32" s="1660"/>
      <c r="AT32" s="2082" t="str">
        <f>IF(TITLE_IST_PUB_CHANGE="",IF(TITLE_IST_PUB="","",TITLE_IST_PUB),TITLE_IST_PUB_CHANGE)</f>
        <v>https://www.gov.spb.ru/static/writable/documents/2023/12/22/%D0%BE%D1%82_20.12.2023__262-%D1%80.pdf</v>
      </c>
      <c r="AU32" s="2082"/>
      <c r="AV32" s="2082"/>
      <c r="AW32" s="2082"/>
      <c r="AX32" s="2082"/>
      <c r="AY32" s="2082"/>
      <c r="AZ32" s="2082"/>
      <c r="BA32" s="1660"/>
      <c r="BB32" s="2082" t="str">
        <f>IF(TITLE_IST_PUB_CHANGE="",IF(TITLE_IST_PUB="","",TITLE_IST_PUB),TITLE_IST_PUB_CHANGE)</f>
        <v>https://www.gov.spb.ru/static/writable/documents/2023/12/22/%D0%BE%D1%82_20.12.2023__262-%D1%80.pdf</v>
      </c>
      <c r="BC32" s="2082"/>
      <c r="BD32" s="2082"/>
      <c r="BE32" s="2082"/>
      <c r="BF32" s="2082"/>
      <c r="BG32" s="2082"/>
      <c r="BH32" s="2082"/>
      <c r="BI32" s="1660"/>
      <c r="BJ32" s="2082" t="str">
        <f>IF(TITLE_IST_PUB_CHANGE="",IF(TITLE_IST_PUB="","",TITLE_IST_PUB),TITLE_IST_PUB_CHANGE)</f>
        <v>https://www.gov.spb.ru/static/writable/documents/2023/12/22/%D0%BE%D1%82_20.12.2023__262-%D1%80.pdf</v>
      </c>
      <c r="BK32" s="2082"/>
      <c r="BL32" s="2082"/>
      <c r="BM32" s="2082"/>
      <c r="BN32" s="2082"/>
      <c r="BO32" s="2082"/>
      <c r="BP32" s="2082"/>
      <c r="BQ32" s="1660"/>
      <c r="BR32" s="2082" t="str">
        <f>IF(TITLE_IST_PUB_CHANGE="",IF(TITLE_IST_PUB="","",TITLE_IST_PUB),TITLE_IST_PUB_CHANGE)</f>
        <v>https://www.gov.spb.ru/static/writable/documents/2023/12/22/%D0%BE%D1%82_20.12.2023__262-%D1%80.pdf</v>
      </c>
      <c r="BS32" s="2082"/>
      <c r="BT32" s="2082"/>
      <c r="BU32" s="2082"/>
      <c r="BV32" s="2082"/>
      <c r="BW32" s="2082"/>
      <c r="BX32" s="2082"/>
      <c r="BY32" s="1660"/>
      <c r="BZ32" s="2082" t="str">
        <f>IF(TITLE_IST_PUB_CHANGE="",IF(TITLE_IST_PUB="","",TITLE_IST_PUB),TITLE_IST_PUB_CHANGE)</f>
        <v>https://www.gov.spb.ru/static/writable/documents/2023/12/22/%D0%BE%D1%82_20.12.2023__262-%D1%80.pdf</v>
      </c>
      <c r="CA32" s="2082"/>
      <c r="CB32" s="2082"/>
      <c r="CC32" s="2082"/>
      <c r="CD32" s="2082"/>
      <c r="CE32" s="2082"/>
      <c r="CF32" s="2082"/>
      <c r="CG32" s="1660"/>
      <c r="CH32" s="2082" t="str">
        <f>IF(TITLE_IST_PUB_CHANGE="",IF(TITLE_IST_PUB="","",TITLE_IST_PUB),TITLE_IST_PUB_CHANGE)</f>
        <v>https://www.gov.spb.ru/static/writable/documents/2023/12/22/%D0%BE%D1%82_20.12.2023__262-%D1%80.pdf</v>
      </c>
      <c r="CI32" s="2082"/>
      <c r="CJ32" s="2082"/>
      <c r="CK32" s="2082"/>
      <c r="CL32" s="2082"/>
      <c r="CM32" s="2082"/>
      <c r="CN32" s="2082"/>
      <c r="CO32" s="1660"/>
      <c r="CP32" s="2082" t="str">
        <f>IF(TITLE_IST_PUB_CHANGE="",IF(TITLE_IST_PUB="","",TITLE_IST_PUB),TITLE_IST_PUB_CHANGE)</f>
        <v>https://www.gov.spb.ru/static/writable/documents/2023/12/22/%D0%BE%D1%82_20.12.2023__262-%D1%80.pdf</v>
      </c>
      <c r="CQ32" s="2082"/>
      <c r="CR32" s="2082"/>
      <c r="CS32" s="2082"/>
      <c r="CT32" s="2082"/>
      <c r="CU32" s="2082"/>
      <c r="CV32" s="2082"/>
      <c r="CW32" s="1660"/>
      <c r="CX32" s="2082" t="str">
        <f>IF(TITLE_IST_PUB_CHANGE="",IF(TITLE_IST_PUB="","",TITLE_IST_PUB),TITLE_IST_PUB_CHANGE)</f>
        <v>https://www.gov.spb.ru/static/writable/documents/2023/12/22/%D0%BE%D1%82_20.12.2023__262-%D1%80.pdf</v>
      </c>
      <c r="CY32" s="2082"/>
      <c r="CZ32" s="2082"/>
      <c r="DA32" s="2082"/>
      <c r="DB32" s="2082"/>
      <c r="DC32" s="2082"/>
      <c r="DD32" s="2082"/>
      <c r="DE32" s="1660"/>
      <c r="DF32" s="314"/>
      <c r="DG32" s="261"/>
      <c r="DH32" s="360"/>
      <c r="DI32" s="360"/>
      <c r="DJ32" s="360"/>
      <c r="DK32" s="360"/>
      <c r="DL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308"/>
      <c r="AM33" s="308"/>
      <c r="AN33" s="308"/>
      <c r="AO33" s="308"/>
      <c r="AP33" s="308"/>
      <c r="AQ33" s="308"/>
      <c r="AR33" s="308"/>
      <c r="AS33" s="308"/>
      <c r="AT33" s="308"/>
      <c r="AU33" s="308"/>
      <c r="AV33" s="308"/>
      <c r="AW33" s="308"/>
      <c r="AX33" s="308"/>
      <c r="AY33" s="308"/>
      <c r="AZ33" s="308"/>
      <c r="BA33" s="308"/>
      <c r="BB33" s="308"/>
      <c r="BC33" s="308"/>
      <c r="BD33" s="308"/>
      <c r="BE33" s="308"/>
      <c r="BF33" s="308"/>
      <c r="BG33" s="308"/>
      <c r="BH33" s="308"/>
      <c r="BI33" s="308"/>
      <c r="BJ33" s="308"/>
      <c r="BK33" s="308"/>
      <c r="BL33" s="308"/>
      <c r="BM33" s="308"/>
      <c r="BN33" s="308"/>
      <c r="BO33" s="308"/>
      <c r="BP33" s="308"/>
      <c r="BQ33" s="308"/>
      <c r="BR33" s="308"/>
      <c r="BS33" s="308"/>
      <c r="BT33" s="308"/>
      <c r="BU33" s="308"/>
      <c r="BV33" s="308"/>
      <c r="BW33" s="308"/>
      <c r="BX33" s="308"/>
      <c r="BY33" s="308"/>
      <c r="BZ33" s="308"/>
      <c r="CA33" s="308"/>
      <c r="CB33" s="308"/>
      <c r="CC33" s="308"/>
      <c r="CD33" s="308"/>
      <c r="CE33" s="308"/>
      <c r="CF33" s="308"/>
      <c r="CG33" s="308"/>
      <c r="CH33" s="308"/>
      <c r="CI33" s="308"/>
      <c r="CJ33" s="308"/>
      <c r="CK33" s="308"/>
      <c r="CL33" s="308"/>
      <c r="CM33" s="308"/>
      <c r="CN33" s="308"/>
      <c r="CO33" s="308"/>
      <c r="CP33" s="308"/>
      <c r="CQ33" s="308"/>
      <c r="CR33" s="308"/>
      <c r="CS33" s="308"/>
      <c r="CT33" s="308"/>
      <c r="CU33" s="308"/>
      <c r="CV33" s="308"/>
      <c r="CW33" s="308"/>
      <c r="CX33" s="308"/>
      <c r="CY33" s="308"/>
      <c r="CZ33" s="308"/>
      <c r="DA33" s="308"/>
      <c r="DB33" s="308"/>
      <c r="DC33" s="308"/>
      <c r="DD33" s="308"/>
      <c r="DE33" s="308"/>
      <c r="DF33" s="505"/>
    </row>
    <row s="1877" customFormat="1" customHeight="1" ht="18.75" hidden="1">
      <c r="A34" s="1385"/>
      <c r="B34" s="1385"/>
      <c r="C34" s="1385"/>
      <c r="D34" s="1385"/>
      <c r="E34" s="1385"/>
      <c r="F34" s="1385"/>
      <c r="G34" s="1385"/>
      <c r="H34" s="1385"/>
      <c r="I34" s="1385"/>
      <c r="J34" s="1385"/>
      <c r="K34" s="1385"/>
      <c r="L34" s="1386"/>
      <c r="M34" s="1385"/>
      <c r="N34" s="1385"/>
      <c r="O34" s="1385"/>
      <c r="S34" s="2080" t="s">
        <v>436</v>
      </c>
      <c r="T34" s="2080"/>
      <c r="U34" s="1389"/>
      <c r="V34" s="2081" t="str">
        <f>IF(TITLE_DATE_PR_CHANGE="",IF(TITLE_DATE_PR="","",TITLE_DATE_PR),TITLE_DATE_PR_CHANGE)</f>
        <v>45280.49324074074</v>
      </c>
      <c r="W34" s="2081"/>
      <c r="X34" s="2081"/>
      <c r="Y34" s="2081"/>
      <c r="Z34" s="2081"/>
      <c r="AA34" s="2081"/>
      <c r="AB34" s="2081"/>
      <c r="AC34" s="314"/>
      <c r="AD34" s="2081" t="str">
        <f>IF(TITLE_DATE_PR_CHANGE="",IF(TITLE_DATE_PR="","",TITLE_DATE_PR),TITLE_DATE_PR_CHANGE)</f>
        <v>45280.49324074074</v>
      </c>
      <c r="AE34" s="2081"/>
      <c r="AF34" s="2081"/>
      <c r="AG34" s="2081"/>
      <c r="AH34" s="2081"/>
      <c r="AI34" s="2081"/>
      <c r="AJ34" s="2081"/>
      <c r="AK34" s="314"/>
      <c r="AL34" s="2081" t="str">
        <f>IF(TITLE_DATE_PR_CHANGE="",IF(TITLE_DATE_PR="","",TITLE_DATE_PR),TITLE_DATE_PR_CHANGE)</f>
        <v>45280.49324074074</v>
      </c>
      <c r="AM34" s="2081"/>
      <c r="AN34" s="2081"/>
      <c r="AO34" s="2081"/>
      <c r="AP34" s="2081"/>
      <c r="AQ34" s="2081"/>
      <c r="AR34" s="2081"/>
      <c r="AS34" s="1660"/>
      <c r="AT34" s="2081" t="str">
        <f>IF(TITLE_DATE_PR_CHANGE="",IF(TITLE_DATE_PR="","",TITLE_DATE_PR),TITLE_DATE_PR_CHANGE)</f>
        <v>45280.49324074074</v>
      </c>
      <c r="AU34" s="2081"/>
      <c r="AV34" s="2081"/>
      <c r="AW34" s="2081"/>
      <c r="AX34" s="2081"/>
      <c r="AY34" s="2081"/>
      <c r="AZ34" s="2081"/>
      <c r="BA34" s="1660"/>
      <c r="BB34" s="2081" t="str">
        <f>IF(TITLE_DATE_PR_CHANGE="",IF(TITLE_DATE_PR="","",TITLE_DATE_PR),TITLE_DATE_PR_CHANGE)</f>
        <v>45280.49324074074</v>
      </c>
      <c r="BC34" s="2081"/>
      <c r="BD34" s="2081"/>
      <c r="BE34" s="2081"/>
      <c r="BF34" s="2081"/>
      <c r="BG34" s="2081"/>
      <c r="BH34" s="2081"/>
      <c r="BI34" s="1660"/>
      <c r="BJ34" s="2081" t="str">
        <f>IF(TITLE_DATE_PR_CHANGE="",IF(TITLE_DATE_PR="","",TITLE_DATE_PR),TITLE_DATE_PR_CHANGE)</f>
        <v>45280.49324074074</v>
      </c>
      <c r="BK34" s="2081"/>
      <c r="BL34" s="2081"/>
      <c r="BM34" s="2081"/>
      <c r="BN34" s="2081"/>
      <c r="BO34" s="2081"/>
      <c r="BP34" s="2081"/>
      <c r="BQ34" s="1660"/>
      <c r="BR34" s="2081" t="str">
        <f>IF(TITLE_DATE_PR_CHANGE="",IF(TITLE_DATE_PR="","",TITLE_DATE_PR),TITLE_DATE_PR_CHANGE)</f>
        <v>45280.49324074074</v>
      </c>
      <c r="BS34" s="2081"/>
      <c r="BT34" s="2081"/>
      <c r="BU34" s="2081"/>
      <c r="BV34" s="2081"/>
      <c r="BW34" s="2081"/>
      <c r="BX34" s="2081"/>
      <c r="BY34" s="1660"/>
      <c r="BZ34" s="2081" t="str">
        <f>IF(TITLE_DATE_PR_CHANGE="",IF(TITLE_DATE_PR="","",TITLE_DATE_PR),TITLE_DATE_PR_CHANGE)</f>
        <v>45280.49324074074</v>
      </c>
      <c r="CA34" s="2081"/>
      <c r="CB34" s="2081"/>
      <c r="CC34" s="2081"/>
      <c r="CD34" s="2081"/>
      <c r="CE34" s="2081"/>
      <c r="CF34" s="2081"/>
      <c r="CG34" s="1660"/>
      <c r="CH34" s="2081" t="str">
        <f>IF(TITLE_DATE_PR_CHANGE="",IF(TITLE_DATE_PR="","",TITLE_DATE_PR),TITLE_DATE_PR_CHANGE)</f>
        <v>45280.49324074074</v>
      </c>
      <c r="CI34" s="2081"/>
      <c r="CJ34" s="2081"/>
      <c r="CK34" s="2081"/>
      <c r="CL34" s="2081"/>
      <c r="CM34" s="2081"/>
      <c r="CN34" s="2081"/>
      <c r="CO34" s="1660"/>
      <c r="CP34" s="2081" t="str">
        <f>IF(TITLE_DATE_PR_CHANGE="",IF(TITLE_DATE_PR="","",TITLE_DATE_PR),TITLE_DATE_PR_CHANGE)</f>
        <v>45280.49324074074</v>
      </c>
      <c r="CQ34" s="2081"/>
      <c r="CR34" s="2081"/>
      <c r="CS34" s="2081"/>
      <c r="CT34" s="2081"/>
      <c r="CU34" s="2081"/>
      <c r="CV34" s="2081"/>
      <c r="CW34" s="1660"/>
      <c r="CX34" s="2081" t="str">
        <f>IF(TITLE_DATE_PR_CHANGE="",IF(TITLE_DATE_PR="","",TITLE_DATE_PR),TITLE_DATE_PR_CHANGE)</f>
        <v>45280.49324074074</v>
      </c>
      <c r="CY34" s="2081"/>
      <c r="CZ34" s="2081"/>
      <c r="DA34" s="2081"/>
      <c r="DB34" s="2081"/>
      <c r="DC34" s="2081"/>
      <c r="DD34" s="2081"/>
      <c r="DE34" s="1660"/>
      <c r="DF34" s="314"/>
      <c r="DG34" s="261"/>
      <c r="DH34" s="360"/>
      <c r="DI34" s="360"/>
      <c r="DJ34" s="360"/>
      <c r="DK34" s="360"/>
      <c r="DL34" s="360"/>
    </row>
    <row s="1877" customFormat="1" customHeight="1" ht="18.75" hidden="1">
      <c r="A35" s="1385"/>
      <c r="B35" s="1385"/>
      <c r="C35" s="1385"/>
      <c r="D35" s="1385"/>
      <c r="E35" s="1385"/>
      <c r="F35" s="1385"/>
      <c r="G35" s="1385"/>
      <c r="H35" s="1385"/>
      <c r="I35" s="1385"/>
      <c r="J35" s="1385"/>
      <c r="K35" s="1385"/>
      <c r="L35" s="1386"/>
      <c r="M35" s="1385"/>
      <c r="N35" s="1385"/>
      <c r="O35" s="1385"/>
      <c r="S35" s="2080" t="s">
        <v>437</v>
      </c>
      <c r="T35" s="2080"/>
      <c r="U35" s="1389"/>
      <c r="V35" s="2082" t="str">
        <f>IF(TITLE_NUMBER_PR_CHANGE="",IF(TITLE_NUMBER_PR="","",TITLE_NUMBER_PR),TITLE_NUMBER_PR_CHANGE)</f>
        <v>262-р</v>
      </c>
      <c r="W35" s="2082"/>
      <c r="X35" s="2082"/>
      <c r="Y35" s="2082"/>
      <c r="Z35" s="2082"/>
      <c r="AA35" s="2082"/>
      <c r="AB35" s="2082"/>
      <c r="AC35" s="314"/>
      <c r="AD35" s="2082" t="str">
        <f>IF(TITLE_NUMBER_PR_CHANGE="",IF(TITLE_NUMBER_PR="","",TITLE_NUMBER_PR),TITLE_NUMBER_PR_CHANGE)</f>
        <v>262-р</v>
      </c>
      <c r="AE35" s="2082"/>
      <c r="AF35" s="2082"/>
      <c r="AG35" s="2082"/>
      <c r="AH35" s="2082"/>
      <c r="AI35" s="2082"/>
      <c r="AJ35" s="2082"/>
      <c r="AK35" s="314"/>
      <c r="AL35" s="2082" t="str">
        <f>IF(TITLE_NUMBER_PR_CHANGE="",IF(TITLE_NUMBER_PR="","",TITLE_NUMBER_PR),TITLE_NUMBER_PR_CHANGE)</f>
        <v>262-р</v>
      </c>
      <c r="AM35" s="2082"/>
      <c r="AN35" s="2082"/>
      <c r="AO35" s="2082"/>
      <c r="AP35" s="2082"/>
      <c r="AQ35" s="2082"/>
      <c r="AR35" s="2082"/>
      <c r="AS35" s="1660"/>
      <c r="AT35" s="2082" t="str">
        <f>IF(TITLE_NUMBER_PR_CHANGE="",IF(TITLE_NUMBER_PR="","",TITLE_NUMBER_PR),TITLE_NUMBER_PR_CHANGE)</f>
        <v>262-р</v>
      </c>
      <c r="AU35" s="2082"/>
      <c r="AV35" s="2082"/>
      <c r="AW35" s="2082"/>
      <c r="AX35" s="2082"/>
      <c r="AY35" s="2082"/>
      <c r="AZ35" s="2082"/>
      <c r="BA35" s="1660"/>
      <c r="BB35" s="2082" t="str">
        <f>IF(TITLE_NUMBER_PR_CHANGE="",IF(TITLE_NUMBER_PR="","",TITLE_NUMBER_PR),TITLE_NUMBER_PR_CHANGE)</f>
        <v>262-р</v>
      </c>
      <c r="BC35" s="2082"/>
      <c r="BD35" s="2082"/>
      <c r="BE35" s="2082"/>
      <c r="BF35" s="2082"/>
      <c r="BG35" s="2082"/>
      <c r="BH35" s="2082"/>
      <c r="BI35" s="1660"/>
      <c r="BJ35" s="2082" t="str">
        <f>IF(TITLE_NUMBER_PR_CHANGE="",IF(TITLE_NUMBER_PR="","",TITLE_NUMBER_PR),TITLE_NUMBER_PR_CHANGE)</f>
        <v>262-р</v>
      </c>
      <c r="BK35" s="2082"/>
      <c r="BL35" s="2082"/>
      <c r="BM35" s="2082"/>
      <c r="BN35" s="2082"/>
      <c r="BO35" s="2082"/>
      <c r="BP35" s="2082"/>
      <c r="BQ35" s="1660"/>
      <c r="BR35" s="2082" t="str">
        <f>IF(TITLE_NUMBER_PR_CHANGE="",IF(TITLE_NUMBER_PR="","",TITLE_NUMBER_PR),TITLE_NUMBER_PR_CHANGE)</f>
        <v>262-р</v>
      </c>
      <c r="BS35" s="2082"/>
      <c r="BT35" s="2082"/>
      <c r="BU35" s="2082"/>
      <c r="BV35" s="2082"/>
      <c r="BW35" s="2082"/>
      <c r="BX35" s="2082"/>
      <c r="BY35" s="1660"/>
      <c r="BZ35" s="2082" t="str">
        <f>IF(TITLE_NUMBER_PR_CHANGE="",IF(TITLE_NUMBER_PR="","",TITLE_NUMBER_PR),TITLE_NUMBER_PR_CHANGE)</f>
        <v>262-р</v>
      </c>
      <c r="CA35" s="2082"/>
      <c r="CB35" s="2082"/>
      <c r="CC35" s="2082"/>
      <c r="CD35" s="2082"/>
      <c r="CE35" s="2082"/>
      <c r="CF35" s="2082"/>
      <c r="CG35" s="1660"/>
      <c r="CH35" s="2082" t="str">
        <f>IF(TITLE_NUMBER_PR_CHANGE="",IF(TITLE_NUMBER_PR="","",TITLE_NUMBER_PR),TITLE_NUMBER_PR_CHANGE)</f>
        <v>262-р</v>
      </c>
      <c r="CI35" s="2082"/>
      <c r="CJ35" s="2082"/>
      <c r="CK35" s="2082"/>
      <c r="CL35" s="2082"/>
      <c r="CM35" s="2082"/>
      <c r="CN35" s="2082"/>
      <c r="CO35" s="1660"/>
      <c r="CP35" s="2082" t="str">
        <f>IF(TITLE_NUMBER_PR_CHANGE="",IF(TITLE_NUMBER_PR="","",TITLE_NUMBER_PR),TITLE_NUMBER_PR_CHANGE)</f>
        <v>262-р</v>
      </c>
      <c r="CQ35" s="2082"/>
      <c r="CR35" s="2082"/>
      <c r="CS35" s="2082"/>
      <c r="CT35" s="2082"/>
      <c r="CU35" s="2082"/>
      <c r="CV35" s="2082"/>
      <c r="CW35" s="1660"/>
      <c r="CX35" s="2082" t="str">
        <f>IF(TITLE_NUMBER_PR_CHANGE="",IF(TITLE_NUMBER_PR="","",TITLE_NUMBER_PR),TITLE_NUMBER_PR_CHANGE)</f>
        <v>262-р</v>
      </c>
      <c r="CY35" s="2082"/>
      <c r="CZ35" s="2082"/>
      <c r="DA35" s="2082"/>
      <c r="DB35" s="2082"/>
      <c r="DC35" s="2082"/>
      <c r="DD35" s="2082"/>
      <c r="DE35" s="1660"/>
      <c r="DF35" s="314"/>
      <c r="DG35" s="261"/>
      <c r="DH35" s="360"/>
      <c r="DI35" s="360"/>
      <c r="DJ35" s="360"/>
      <c r="DK35" s="360"/>
      <c r="DL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438</v>
      </c>
      <c r="AD36" s="314"/>
      <c r="AE36" s="314"/>
      <c r="AF36" s="314"/>
      <c r="AG36" s="314"/>
      <c r="AH36" s="314"/>
      <c r="AI36" s="314"/>
      <c r="AJ36" s="314"/>
      <c r="AK36" s="259" t="s">
        <v>438</v>
      </c>
      <c r="AL36" s="1660"/>
      <c r="AM36" s="1660"/>
      <c r="AN36" s="1660"/>
      <c r="AO36" s="1660"/>
      <c r="AP36" s="1660"/>
      <c r="AQ36" s="1660"/>
      <c r="AR36" s="1660"/>
      <c r="AS36" s="1667" t="s">
        <v>438</v>
      </c>
      <c r="AT36" s="1660"/>
      <c r="AU36" s="1660"/>
      <c r="AV36" s="1660"/>
      <c r="AW36" s="1660"/>
      <c r="AX36" s="1660"/>
      <c r="AY36" s="1660"/>
      <c r="AZ36" s="1660"/>
      <c r="BA36" s="1667" t="s">
        <v>438</v>
      </c>
      <c r="BB36" s="1660"/>
      <c r="BC36" s="1660"/>
      <c r="BD36" s="1660"/>
      <c r="BE36" s="1660"/>
      <c r="BF36" s="1660"/>
      <c r="BG36" s="1660"/>
      <c r="BH36" s="1660"/>
      <c r="BI36" s="1667" t="s">
        <v>438</v>
      </c>
      <c r="BJ36" s="1660"/>
      <c r="BK36" s="1660"/>
      <c r="BL36" s="1660"/>
      <c r="BM36" s="1660"/>
      <c r="BN36" s="1660"/>
      <c r="BO36" s="1660"/>
      <c r="BP36" s="1660"/>
      <c r="BQ36" s="1667" t="s">
        <v>438</v>
      </c>
      <c r="BR36" s="1660"/>
      <c r="BS36" s="1660"/>
      <c r="BT36" s="1660"/>
      <c r="BU36" s="1660"/>
      <c r="BV36" s="1660"/>
      <c r="BW36" s="1660"/>
      <c r="BX36" s="1660"/>
      <c r="BY36" s="1667" t="s">
        <v>438</v>
      </c>
      <c r="BZ36" s="1660"/>
      <c r="CA36" s="1660"/>
      <c r="CB36" s="1660"/>
      <c r="CC36" s="1660"/>
      <c r="CD36" s="1660"/>
      <c r="CE36" s="1660"/>
      <c r="CF36" s="1660"/>
      <c r="CG36" s="1667" t="s">
        <v>438</v>
      </c>
      <c r="CH36" s="1660"/>
      <c r="CI36" s="1660"/>
      <c r="CJ36" s="1660"/>
      <c r="CK36" s="1660"/>
      <c r="CL36" s="1660"/>
      <c r="CM36" s="1660"/>
      <c r="CN36" s="1660"/>
      <c r="CO36" s="1667" t="s">
        <v>438</v>
      </c>
      <c r="CP36" s="1660"/>
      <c r="CQ36" s="1660"/>
      <c r="CR36" s="1660"/>
      <c r="CS36" s="1660"/>
      <c r="CT36" s="1660"/>
      <c r="CU36" s="1660"/>
      <c r="CV36" s="1660"/>
      <c r="CW36" s="1667" t="s">
        <v>438</v>
      </c>
      <c r="CX36" s="1660"/>
      <c r="CY36" s="1660"/>
      <c r="CZ36" s="1660"/>
      <c r="DA36" s="1660"/>
      <c r="DB36" s="1660"/>
      <c r="DC36" s="1660"/>
      <c r="DD36" s="1660"/>
      <c r="DE36" s="1667" t="s">
        <v>438</v>
      </c>
      <c r="DH36" s="360"/>
      <c r="DI36" s="360"/>
      <c r="DJ36" s="360"/>
      <c r="DK36" s="360"/>
      <c r="DL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c r="AL37" s="2106" t="s">
        <v>163</v>
      </c>
      <c r="AM37" s="2106"/>
      <c r="AN37" s="2106"/>
      <c r="AO37" s="2106"/>
      <c r="AP37" s="2106"/>
      <c r="AQ37" s="2106"/>
      <c r="AR37" s="2106"/>
      <c r="AS37" s="2106"/>
      <c r="AT37" s="2106" t="s">
        <v>163</v>
      </c>
      <c r="AU37" s="2106"/>
      <c r="AV37" s="2106"/>
      <c r="AW37" s="2106"/>
      <c r="AX37" s="2106"/>
      <c r="AY37" s="2106"/>
      <c r="AZ37" s="2106"/>
      <c r="BA37" s="2106"/>
      <c r="BB37" s="2106" t="s">
        <v>163</v>
      </c>
      <c r="BC37" s="2106"/>
      <c r="BD37" s="2106"/>
      <c r="BE37" s="2106"/>
      <c r="BF37" s="2106"/>
      <c r="BG37" s="2106"/>
      <c r="BH37" s="2106"/>
      <c r="BI37" s="2106"/>
      <c r="BJ37" s="2106" t="s">
        <v>163</v>
      </c>
      <c r="BK37" s="2106"/>
      <c r="BL37" s="2106"/>
      <c r="BM37" s="2106"/>
      <c r="BN37" s="2106"/>
      <c r="BO37" s="2106"/>
      <c r="BP37" s="2106"/>
      <c r="BQ37" s="2106"/>
      <c r="BR37" s="2106" t="s">
        <v>163</v>
      </c>
      <c r="BS37" s="2106"/>
      <c r="BT37" s="2106"/>
      <c r="BU37" s="2106"/>
      <c r="BV37" s="2106"/>
      <c r="BW37" s="2106"/>
      <c r="BX37" s="2106"/>
      <c r="BY37" s="2106"/>
      <c r="BZ37" s="2106" t="s">
        <v>163</v>
      </c>
      <c r="CA37" s="2106"/>
      <c r="CB37" s="2106"/>
      <c r="CC37" s="2106"/>
      <c r="CD37" s="2106"/>
      <c r="CE37" s="2106"/>
      <c r="CF37" s="2106"/>
      <c r="CG37" s="2106"/>
      <c r="CH37" s="2106" t="s">
        <v>163</v>
      </c>
      <c r="CI37" s="2106"/>
      <c r="CJ37" s="2106"/>
      <c r="CK37" s="2106"/>
      <c r="CL37" s="2106"/>
      <c r="CM37" s="2106"/>
      <c r="CN37" s="2106"/>
      <c r="CO37" s="2106"/>
      <c r="CP37" s="2106" t="s">
        <v>163</v>
      </c>
      <c r="CQ37" s="2106"/>
      <c r="CR37" s="2106"/>
      <c r="CS37" s="2106"/>
      <c r="CT37" s="2106"/>
      <c r="CU37" s="2106"/>
      <c r="CV37" s="2106"/>
      <c r="CW37" s="2106"/>
      <c r="CX37" s="2106" t="s">
        <v>163</v>
      </c>
      <c r="CY37" s="2106"/>
      <c r="CZ37" s="2106"/>
      <c r="DA37" s="2106"/>
      <c r="DB37" s="2106"/>
      <c r="DC37" s="2106"/>
      <c r="DD37" s="2106"/>
      <c r="DE37" s="2106"/>
    </row>
    <row customHeight="1" ht="14.25">
      <c r="Q38" s="368"/>
      <c r="R38" s="368"/>
      <c r="S38" s="1953" t="s">
        <v>312</v>
      </c>
      <c r="T38" s="1953"/>
      <c r="U38" s="1953"/>
      <c r="V38" s="1953"/>
      <c r="W38" s="1953"/>
      <c r="X38" s="1953"/>
      <c r="Y38" s="1953"/>
      <c r="Z38" s="1953"/>
      <c r="AA38" s="1953"/>
      <c r="AB38" s="1953"/>
      <c r="AC38" s="1953"/>
      <c r="AD38" s="1953"/>
      <c r="AE38" s="1953"/>
      <c r="AF38" s="1953"/>
      <c r="AG38" s="1953"/>
      <c r="AH38" s="1953"/>
      <c r="AI38" s="1953"/>
      <c r="AJ38" s="1953"/>
      <c r="AK38" s="1953"/>
      <c r="AL38" s="2017" t="s">
        <v>312</v>
      </c>
      <c r="AM38" s="2017"/>
      <c r="AN38" s="2017"/>
      <c r="AO38" s="2017"/>
      <c r="AP38" s="2017"/>
      <c r="AQ38" s="2017"/>
      <c r="AR38" s="2017"/>
      <c r="AS38" s="2017"/>
      <c r="AT38" s="2017" t="s">
        <v>312</v>
      </c>
      <c r="AU38" s="2017"/>
      <c r="AV38" s="2017"/>
      <c r="AW38" s="2017"/>
      <c r="AX38" s="2017"/>
      <c r="AY38" s="2017"/>
      <c r="AZ38" s="2017"/>
      <c r="BA38" s="2017"/>
      <c r="BB38" s="2017" t="s">
        <v>312</v>
      </c>
      <c r="BC38" s="2017"/>
      <c r="BD38" s="2017"/>
      <c r="BE38" s="2017"/>
      <c r="BF38" s="2017"/>
      <c r="BG38" s="2017"/>
      <c r="BH38" s="2017"/>
      <c r="BI38" s="2017"/>
      <c r="BJ38" s="2017" t="s">
        <v>312</v>
      </c>
      <c r="BK38" s="2017"/>
      <c r="BL38" s="2017"/>
      <c r="BM38" s="2017"/>
      <c r="BN38" s="2017"/>
      <c r="BO38" s="2017"/>
      <c r="BP38" s="2017"/>
      <c r="BQ38" s="2017"/>
      <c r="BR38" s="2017" t="s">
        <v>312</v>
      </c>
      <c r="BS38" s="2017"/>
      <c r="BT38" s="2017"/>
      <c r="BU38" s="2017"/>
      <c r="BV38" s="2017"/>
      <c r="BW38" s="2017"/>
      <c r="BX38" s="2017"/>
      <c r="BY38" s="2017"/>
      <c r="BZ38" s="2017" t="s">
        <v>312</v>
      </c>
      <c r="CA38" s="2017"/>
      <c r="CB38" s="2017"/>
      <c r="CC38" s="2017"/>
      <c r="CD38" s="2017"/>
      <c r="CE38" s="2017"/>
      <c r="CF38" s="2017"/>
      <c r="CG38" s="2017"/>
      <c r="CH38" s="2017" t="s">
        <v>312</v>
      </c>
      <c r="CI38" s="2017"/>
      <c r="CJ38" s="2017"/>
      <c r="CK38" s="2017"/>
      <c r="CL38" s="2017"/>
      <c r="CM38" s="2017"/>
      <c r="CN38" s="2017"/>
      <c r="CO38" s="2017"/>
      <c r="CP38" s="2017" t="s">
        <v>312</v>
      </c>
      <c r="CQ38" s="2017"/>
      <c r="CR38" s="2017"/>
      <c r="CS38" s="2017"/>
      <c r="CT38" s="2017"/>
      <c r="CU38" s="2017"/>
      <c r="CV38" s="2017"/>
      <c r="CW38" s="2017"/>
      <c r="CX38" s="2017" t="s">
        <v>312</v>
      </c>
      <c r="CY38" s="2017"/>
      <c r="CZ38" s="2017"/>
      <c r="DA38" s="2017"/>
      <c r="DB38" s="2017"/>
      <c r="DC38" s="2017"/>
      <c r="DD38" s="2017"/>
      <c r="DE38" s="2017"/>
      <c r="DF38" s="1953"/>
      <c r="DG38" s="1953"/>
    </row>
    <row customHeight="1" ht="14.25">
      <c r="Q39" s="368"/>
      <c r="R39" s="368"/>
      <c r="S39" s="2107" t="s">
        <v>87</v>
      </c>
      <c r="T39" s="2044" t="s">
        <v>439</v>
      </c>
      <c r="U39" s="281"/>
      <c r="V39" s="2108" t="s">
        <v>440</v>
      </c>
      <c r="W39" s="2109"/>
      <c r="X39" s="2109"/>
      <c r="Y39" s="2109"/>
      <c r="Z39" s="2109"/>
      <c r="AA39" s="2109"/>
      <c r="AB39" s="2110"/>
      <c r="AC39" s="2111" t="s">
        <v>441</v>
      </c>
      <c r="AD39" s="2108" t="s">
        <v>440</v>
      </c>
      <c r="AE39" s="2109"/>
      <c r="AF39" s="2109"/>
      <c r="AG39" s="2109"/>
      <c r="AH39" s="2109"/>
      <c r="AI39" s="2109"/>
      <c r="AJ39" s="2110"/>
      <c r="AK39" s="2111" t="s">
        <v>442</v>
      </c>
      <c r="AL39" s="2224" t="s">
        <v>440</v>
      </c>
      <c r="AM39" s="2225"/>
      <c r="AN39" s="2225"/>
      <c r="AO39" s="2225"/>
      <c r="AP39" s="2225"/>
      <c r="AQ39" s="2225"/>
      <c r="AR39" s="2226"/>
      <c r="AS39" s="2111" t="s">
        <v>441</v>
      </c>
      <c r="AT39" s="2224" t="s">
        <v>440</v>
      </c>
      <c r="AU39" s="2225"/>
      <c r="AV39" s="2225"/>
      <c r="AW39" s="2225"/>
      <c r="AX39" s="2225"/>
      <c r="AY39" s="2225"/>
      <c r="AZ39" s="2226"/>
      <c r="BA39" s="2111" t="s">
        <v>441</v>
      </c>
      <c r="BB39" s="2224" t="s">
        <v>440</v>
      </c>
      <c r="BC39" s="2225"/>
      <c r="BD39" s="2225"/>
      <c r="BE39" s="2225"/>
      <c r="BF39" s="2225"/>
      <c r="BG39" s="2225"/>
      <c r="BH39" s="2226"/>
      <c r="BI39" s="2111" t="s">
        <v>441</v>
      </c>
      <c r="BJ39" s="2224" t="s">
        <v>440</v>
      </c>
      <c r="BK39" s="2225"/>
      <c r="BL39" s="2225"/>
      <c r="BM39" s="2225"/>
      <c r="BN39" s="2225"/>
      <c r="BO39" s="2225"/>
      <c r="BP39" s="2226"/>
      <c r="BQ39" s="2111" t="s">
        <v>441</v>
      </c>
      <c r="BR39" s="2224" t="s">
        <v>440</v>
      </c>
      <c r="BS39" s="2225"/>
      <c r="BT39" s="2225"/>
      <c r="BU39" s="2225"/>
      <c r="BV39" s="2225"/>
      <c r="BW39" s="2225"/>
      <c r="BX39" s="2226"/>
      <c r="BY39" s="2111" t="s">
        <v>441</v>
      </c>
      <c r="BZ39" s="2224" t="s">
        <v>440</v>
      </c>
      <c r="CA39" s="2225"/>
      <c r="CB39" s="2225"/>
      <c r="CC39" s="2225"/>
      <c r="CD39" s="2225"/>
      <c r="CE39" s="2225"/>
      <c r="CF39" s="2226"/>
      <c r="CG39" s="2111" t="s">
        <v>441</v>
      </c>
      <c r="CH39" s="2224" t="s">
        <v>440</v>
      </c>
      <c r="CI39" s="2225"/>
      <c r="CJ39" s="2225"/>
      <c r="CK39" s="2225"/>
      <c r="CL39" s="2225"/>
      <c r="CM39" s="2225"/>
      <c r="CN39" s="2226"/>
      <c r="CO39" s="2111" t="s">
        <v>441</v>
      </c>
      <c r="CP39" s="2224" t="s">
        <v>440</v>
      </c>
      <c r="CQ39" s="2225"/>
      <c r="CR39" s="2225"/>
      <c r="CS39" s="2225"/>
      <c r="CT39" s="2225"/>
      <c r="CU39" s="2225"/>
      <c r="CV39" s="2226"/>
      <c r="CW39" s="2111" t="s">
        <v>441</v>
      </c>
      <c r="CX39" s="2224" t="s">
        <v>440</v>
      </c>
      <c r="CY39" s="2225"/>
      <c r="CZ39" s="2225"/>
      <c r="DA39" s="2225"/>
      <c r="DB39" s="2225"/>
      <c r="DC39" s="2225"/>
      <c r="DD39" s="2226"/>
      <c r="DE39" s="2111" t="s">
        <v>441</v>
      </c>
      <c r="DF39" s="2114" t="s">
        <v>443</v>
      </c>
      <c r="DG39" s="1953"/>
    </row>
    <row customHeight="1" ht="33.75">
      <c r="Q40" s="368"/>
      <c r="R40" s="368"/>
      <c r="S40" s="2107"/>
      <c r="T40" s="2044"/>
      <c r="U40" s="1026"/>
      <c r="V40" s="2117" t="s">
        <v>444</v>
      </c>
      <c r="W40" s="2098"/>
      <c r="X40" s="2100" t="s">
        <v>446</v>
      </c>
      <c r="Y40" s="2102"/>
      <c r="Z40" s="2100" t="s">
        <v>447</v>
      </c>
      <c r="AA40" s="2101"/>
      <c r="AB40" s="2102"/>
      <c r="AC40" s="2112"/>
      <c r="AD40" s="2117" t="s">
        <v>444</v>
      </c>
      <c r="AE40" s="2098"/>
      <c r="AF40" s="2100" t="s">
        <v>446</v>
      </c>
      <c r="AG40" s="2102"/>
      <c r="AH40" s="2100" t="s">
        <v>447</v>
      </c>
      <c r="AI40" s="2101"/>
      <c r="AJ40" s="2102"/>
      <c r="AK40" s="2112"/>
      <c r="AL40" s="2015" t="s">
        <v>444</v>
      </c>
      <c r="AM40" s="2830"/>
      <c r="AN40" s="1937" t="s">
        <v>446</v>
      </c>
      <c r="AO40" s="1939"/>
      <c r="AP40" s="1937" t="s">
        <v>447</v>
      </c>
      <c r="AQ40" s="2016"/>
      <c r="AR40" s="1939"/>
      <c r="AS40" s="2112"/>
      <c r="AT40" s="2015" t="s">
        <v>444</v>
      </c>
      <c r="AU40" s="2830"/>
      <c r="AV40" s="1937" t="s">
        <v>446</v>
      </c>
      <c r="AW40" s="1939"/>
      <c r="AX40" s="1937" t="s">
        <v>447</v>
      </c>
      <c r="AY40" s="2016"/>
      <c r="AZ40" s="1939"/>
      <c r="BA40" s="2112"/>
      <c r="BB40" s="2015" t="s">
        <v>444</v>
      </c>
      <c r="BC40" s="2830"/>
      <c r="BD40" s="1937" t="s">
        <v>446</v>
      </c>
      <c r="BE40" s="1939"/>
      <c r="BF40" s="1937" t="s">
        <v>447</v>
      </c>
      <c r="BG40" s="2016"/>
      <c r="BH40" s="1939"/>
      <c r="BI40" s="2112"/>
      <c r="BJ40" s="2015" t="s">
        <v>444</v>
      </c>
      <c r="BK40" s="2830"/>
      <c r="BL40" s="1937" t="s">
        <v>446</v>
      </c>
      <c r="BM40" s="1939"/>
      <c r="BN40" s="1937" t="s">
        <v>447</v>
      </c>
      <c r="BO40" s="2016"/>
      <c r="BP40" s="1939"/>
      <c r="BQ40" s="2112"/>
      <c r="BR40" s="2015" t="s">
        <v>444</v>
      </c>
      <c r="BS40" s="2830"/>
      <c r="BT40" s="1937" t="s">
        <v>446</v>
      </c>
      <c r="BU40" s="1939"/>
      <c r="BV40" s="1937" t="s">
        <v>447</v>
      </c>
      <c r="BW40" s="2016"/>
      <c r="BX40" s="1939"/>
      <c r="BY40" s="2112"/>
      <c r="BZ40" s="2015" t="s">
        <v>444</v>
      </c>
      <c r="CA40" s="2830"/>
      <c r="CB40" s="1937" t="s">
        <v>446</v>
      </c>
      <c r="CC40" s="1939"/>
      <c r="CD40" s="1937" t="s">
        <v>447</v>
      </c>
      <c r="CE40" s="2016"/>
      <c r="CF40" s="1939"/>
      <c r="CG40" s="2112"/>
      <c r="CH40" s="2015" t="s">
        <v>444</v>
      </c>
      <c r="CI40" s="2830"/>
      <c r="CJ40" s="1937" t="s">
        <v>446</v>
      </c>
      <c r="CK40" s="1939"/>
      <c r="CL40" s="1937" t="s">
        <v>447</v>
      </c>
      <c r="CM40" s="2016"/>
      <c r="CN40" s="1939"/>
      <c r="CO40" s="2112"/>
      <c r="CP40" s="2015" t="s">
        <v>444</v>
      </c>
      <c r="CQ40" s="2830"/>
      <c r="CR40" s="1937" t="s">
        <v>446</v>
      </c>
      <c r="CS40" s="1939"/>
      <c r="CT40" s="1937" t="s">
        <v>447</v>
      </c>
      <c r="CU40" s="2016"/>
      <c r="CV40" s="1939"/>
      <c r="CW40" s="2112"/>
      <c r="CX40" s="2015" t="s">
        <v>444</v>
      </c>
      <c r="CY40" s="2830"/>
      <c r="CZ40" s="1937" t="s">
        <v>446</v>
      </c>
      <c r="DA40" s="1939"/>
      <c r="DB40" s="1937" t="s">
        <v>447</v>
      </c>
      <c r="DC40" s="2016"/>
      <c r="DD40" s="1939"/>
      <c r="DE40" s="2112"/>
      <c r="DF40" s="2115"/>
      <c r="DG40" s="1953"/>
    </row>
    <row customHeight="1" ht="33.75">
      <c r="A41" s="1387"/>
      <c r="B41" s="1387" t="s">
        <v>134</v>
      </c>
      <c r="C41" s="1387" t="s">
        <v>135</v>
      </c>
      <c r="D41" s="1387" t="s">
        <v>136</v>
      </c>
      <c r="E41" s="1381" t="s">
        <v>448</v>
      </c>
      <c r="F41" s="1381" t="s">
        <v>449</v>
      </c>
      <c r="G41" s="1381" t="s">
        <v>450</v>
      </c>
      <c r="H41" s="1381" t="s">
        <v>451</v>
      </c>
      <c r="I41" s="1381" t="s">
        <v>452</v>
      </c>
      <c r="J41" s="1381" t="s">
        <v>453</v>
      </c>
      <c r="K41" s="1381" t="s">
        <v>454</v>
      </c>
      <c r="L41" s="1381" t="s">
        <v>429</v>
      </c>
      <c r="Q41" s="368"/>
      <c r="R41" s="368"/>
      <c r="S41" s="2107"/>
      <c r="T41" s="2044"/>
      <c r="U41" s="282"/>
      <c r="V41" s="2118"/>
      <c r="W41" s="2099"/>
      <c r="X41" s="1224" t="s">
        <v>455</v>
      </c>
      <c r="Y41" s="1224" t="s">
        <v>456</v>
      </c>
      <c r="Z41" s="1355" t="s">
        <v>457</v>
      </c>
      <c r="AA41" s="2103" t="s">
        <v>458</v>
      </c>
      <c r="AB41" s="2104"/>
      <c r="AC41" s="2113"/>
      <c r="AD41" s="2118"/>
      <c r="AE41" s="2099"/>
      <c r="AF41" s="1224" t="s">
        <v>455</v>
      </c>
      <c r="AG41" s="1224" t="s">
        <v>456</v>
      </c>
      <c r="AH41" s="1355" t="s">
        <v>457</v>
      </c>
      <c r="AI41" s="2103" t="s">
        <v>458</v>
      </c>
      <c r="AJ41" s="2104"/>
      <c r="AK41" s="2113"/>
      <c r="AL41" s="2072"/>
      <c r="AM41" s="797"/>
      <c r="AN41" s="2360" t="s">
        <v>455</v>
      </c>
      <c r="AO41" s="2360" t="s">
        <v>456</v>
      </c>
      <c r="AP41" s="2360" t="s">
        <v>457</v>
      </c>
      <c r="AQ41" s="2050" t="s">
        <v>458</v>
      </c>
      <c r="AR41" s="2066"/>
      <c r="AS41" s="2113"/>
      <c r="AT41" s="2072"/>
      <c r="AU41" s="797"/>
      <c r="AV41" s="2360" t="s">
        <v>455</v>
      </c>
      <c r="AW41" s="2360" t="s">
        <v>456</v>
      </c>
      <c r="AX41" s="2360" t="s">
        <v>457</v>
      </c>
      <c r="AY41" s="2050" t="s">
        <v>458</v>
      </c>
      <c r="AZ41" s="2066"/>
      <c r="BA41" s="2113"/>
      <c r="BB41" s="2072"/>
      <c r="BC41" s="797"/>
      <c r="BD41" s="2360" t="s">
        <v>455</v>
      </c>
      <c r="BE41" s="2360" t="s">
        <v>456</v>
      </c>
      <c r="BF41" s="2360" t="s">
        <v>457</v>
      </c>
      <c r="BG41" s="2050" t="s">
        <v>458</v>
      </c>
      <c r="BH41" s="2066"/>
      <c r="BI41" s="2113"/>
      <c r="BJ41" s="2072"/>
      <c r="BK41" s="797"/>
      <c r="BL41" s="2360" t="s">
        <v>455</v>
      </c>
      <c r="BM41" s="2360" t="s">
        <v>456</v>
      </c>
      <c r="BN41" s="2360" t="s">
        <v>457</v>
      </c>
      <c r="BO41" s="2050" t="s">
        <v>458</v>
      </c>
      <c r="BP41" s="2066"/>
      <c r="BQ41" s="2113"/>
      <c r="BR41" s="2072"/>
      <c r="BS41" s="797"/>
      <c r="BT41" s="2360" t="s">
        <v>455</v>
      </c>
      <c r="BU41" s="2360" t="s">
        <v>456</v>
      </c>
      <c r="BV41" s="2360" t="s">
        <v>457</v>
      </c>
      <c r="BW41" s="2050" t="s">
        <v>458</v>
      </c>
      <c r="BX41" s="2066"/>
      <c r="BY41" s="2113"/>
      <c r="BZ41" s="2072"/>
      <c r="CA41" s="797"/>
      <c r="CB41" s="2360" t="s">
        <v>455</v>
      </c>
      <c r="CC41" s="2360" t="s">
        <v>456</v>
      </c>
      <c r="CD41" s="2360" t="s">
        <v>457</v>
      </c>
      <c r="CE41" s="2050" t="s">
        <v>458</v>
      </c>
      <c r="CF41" s="2066"/>
      <c r="CG41" s="2113"/>
      <c r="CH41" s="2072"/>
      <c r="CI41" s="797"/>
      <c r="CJ41" s="2360" t="s">
        <v>455</v>
      </c>
      <c r="CK41" s="2360" t="s">
        <v>456</v>
      </c>
      <c r="CL41" s="2360" t="s">
        <v>457</v>
      </c>
      <c r="CM41" s="2050" t="s">
        <v>458</v>
      </c>
      <c r="CN41" s="2066"/>
      <c r="CO41" s="2113"/>
      <c r="CP41" s="2072"/>
      <c r="CQ41" s="797"/>
      <c r="CR41" s="2360" t="s">
        <v>455</v>
      </c>
      <c r="CS41" s="2360" t="s">
        <v>456</v>
      </c>
      <c r="CT41" s="2360" t="s">
        <v>457</v>
      </c>
      <c r="CU41" s="2050" t="s">
        <v>458</v>
      </c>
      <c r="CV41" s="2066"/>
      <c r="CW41" s="2113"/>
      <c r="CX41" s="2072"/>
      <c r="CY41" s="797"/>
      <c r="CZ41" s="2360" t="s">
        <v>455</v>
      </c>
      <c r="DA41" s="2360" t="s">
        <v>456</v>
      </c>
      <c r="DB41" s="2360" t="s">
        <v>457</v>
      </c>
      <c r="DC41" s="2050" t="s">
        <v>458</v>
      </c>
      <c r="DD41" s="2066"/>
      <c r="DE41" s="2113"/>
      <c r="DF41" s="2116"/>
      <c r="DG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2105">
        <f>OFFSET(AL42,0,-1)+1</f>
        <v>3</v>
      </c>
      <c r="AM42" s="2105"/>
      <c r="AN42" s="2105">
        <f>OFFSET(AN42,0,-1)+1</f>
        <v>1</v>
      </c>
      <c r="AO42" s="2105">
        <f>OFFSET(AO42,0,-1)+1</f>
        <v>2</v>
      </c>
      <c r="AP42" s="2105">
        <f>OFFSET(AP42,0,-1)+1</f>
        <v>3</v>
      </c>
      <c r="AQ42" s="2105">
        <f>OFFSET(AQ42,0,-1)+1</f>
        <v>4</v>
      </c>
      <c r="AR42" s="2105"/>
      <c r="AS42" s="2105">
        <f>OFFSET(AS42,0,-2)+1</f>
        <v>5</v>
      </c>
      <c r="AT42" s="2105">
        <f>OFFSET(AT42,0,-1)+1</f>
        <v>3</v>
      </c>
      <c r="AU42" s="2105"/>
      <c r="AV42" s="2105">
        <f>OFFSET(AV42,0,-1)+1</f>
        <v>1</v>
      </c>
      <c r="AW42" s="2105">
        <f>OFFSET(AW42,0,-1)+1</f>
        <v>2</v>
      </c>
      <c r="AX42" s="2105">
        <f>OFFSET(AX42,0,-1)+1</f>
        <v>3</v>
      </c>
      <c r="AY42" s="2105">
        <f>OFFSET(AY42,0,-1)+1</f>
        <v>4</v>
      </c>
      <c r="AZ42" s="2105"/>
      <c r="BA42" s="2105">
        <f>OFFSET(BA42,0,-2)+1</f>
        <v>5</v>
      </c>
      <c r="BB42" s="2105">
        <f>OFFSET(BB42,0,-1)+1</f>
        <v>3</v>
      </c>
      <c r="BC42" s="2105"/>
      <c r="BD42" s="2105">
        <f>OFFSET(BD42,0,-1)+1</f>
        <v>1</v>
      </c>
      <c r="BE42" s="2105">
        <f>OFFSET(BE42,0,-1)+1</f>
        <v>2</v>
      </c>
      <c r="BF42" s="2105">
        <f>OFFSET(BF42,0,-1)+1</f>
        <v>3</v>
      </c>
      <c r="BG42" s="2105">
        <f>OFFSET(BG42,0,-1)+1</f>
        <v>4</v>
      </c>
      <c r="BH42" s="2105"/>
      <c r="BI42" s="2105">
        <f>OFFSET(BI42,0,-2)+1</f>
        <v>5</v>
      </c>
      <c r="BJ42" s="2105">
        <f>OFFSET(BJ42,0,-1)+1</f>
        <v>3</v>
      </c>
      <c r="BK42" s="2105"/>
      <c r="BL42" s="2105">
        <f>OFFSET(BL42,0,-1)+1</f>
        <v>1</v>
      </c>
      <c r="BM42" s="2105">
        <f>OFFSET(BM42,0,-1)+1</f>
        <v>2</v>
      </c>
      <c r="BN42" s="2105">
        <f>OFFSET(BN42,0,-1)+1</f>
        <v>3</v>
      </c>
      <c r="BO42" s="2105">
        <f>OFFSET(BO42,0,-1)+1</f>
        <v>4</v>
      </c>
      <c r="BP42" s="2105"/>
      <c r="BQ42" s="2105">
        <f>OFFSET(BQ42,0,-2)+1</f>
        <v>5</v>
      </c>
      <c r="BR42" s="2105">
        <f>OFFSET(BR42,0,-1)+1</f>
        <v>3</v>
      </c>
      <c r="BS42" s="2105"/>
      <c r="BT42" s="2105">
        <f>OFFSET(BT42,0,-1)+1</f>
        <v>1</v>
      </c>
      <c r="BU42" s="2105">
        <f>OFFSET(BU42,0,-1)+1</f>
        <v>2</v>
      </c>
      <c r="BV42" s="2105">
        <f>OFFSET(BV42,0,-1)+1</f>
        <v>3</v>
      </c>
      <c r="BW42" s="2105">
        <f>OFFSET(BW42,0,-1)+1</f>
        <v>4</v>
      </c>
      <c r="BX42" s="2105"/>
      <c r="BY42" s="2105">
        <f>OFFSET(BY42,0,-2)+1</f>
        <v>5</v>
      </c>
      <c r="BZ42" s="2105">
        <f>OFFSET(BZ42,0,-1)+1</f>
        <v>3</v>
      </c>
      <c r="CA42" s="2105"/>
      <c r="CB42" s="2105">
        <f>OFFSET(CB42,0,-1)+1</f>
        <v>1</v>
      </c>
      <c r="CC42" s="2105">
        <f>OFFSET(CC42,0,-1)+1</f>
        <v>2</v>
      </c>
      <c r="CD42" s="2105">
        <f>OFFSET(CD42,0,-1)+1</f>
        <v>3</v>
      </c>
      <c r="CE42" s="2105">
        <f>OFFSET(CE42,0,-1)+1</f>
        <v>4</v>
      </c>
      <c r="CF42" s="2105"/>
      <c r="CG42" s="2105">
        <f>OFFSET(CG42,0,-2)+1</f>
        <v>5</v>
      </c>
      <c r="CH42" s="2105">
        <f>OFFSET(CH42,0,-1)+1</f>
        <v>3</v>
      </c>
      <c r="CI42" s="2105"/>
      <c r="CJ42" s="2105">
        <f>OFFSET(CJ42,0,-1)+1</f>
        <v>1</v>
      </c>
      <c r="CK42" s="2105">
        <f>OFFSET(CK42,0,-1)+1</f>
        <v>2</v>
      </c>
      <c r="CL42" s="2105">
        <f>OFFSET(CL42,0,-1)+1</f>
        <v>3</v>
      </c>
      <c r="CM42" s="2105">
        <f>OFFSET(CM42,0,-1)+1</f>
        <v>4</v>
      </c>
      <c r="CN42" s="2105"/>
      <c r="CO42" s="2105">
        <f>OFFSET(CO42,0,-2)+1</f>
        <v>5</v>
      </c>
      <c r="CP42" s="2105">
        <f>OFFSET(CP42,0,-1)+1</f>
        <v>3</v>
      </c>
      <c r="CQ42" s="2105"/>
      <c r="CR42" s="2105">
        <f>OFFSET(CR42,0,-1)+1</f>
        <v>1</v>
      </c>
      <c r="CS42" s="2105">
        <f>OFFSET(CS42,0,-1)+1</f>
        <v>2</v>
      </c>
      <c r="CT42" s="2105">
        <f>OFFSET(CT42,0,-1)+1</f>
        <v>3</v>
      </c>
      <c r="CU42" s="2105">
        <f>OFFSET(CU42,0,-1)+1</f>
        <v>4</v>
      </c>
      <c r="CV42" s="2105"/>
      <c r="CW42" s="2105">
        <f>OFFSET(CW42,0,-2)+1</f>
        <v>5</v>
      </c>
      <c r="CX42" s="2105">
        <f>OFFSET(CX42,0,-1)+1</f>
        <v>3</v>
      </c>
      <c r="CY42" s="2105"/>
      <c r="CZ42" s="2105">
        <f>OFFSET(CZ42,0,-1)+1</f>
        <v>1</v>
      </c>
      <c r="DA42" s="2105">
        <f>OFFSET(DA42,0,-1)+1</f>
        <v>2</v>
      </c>
      <c r="DB42" s="2105">
        <f>OFFSET(DB42,0,-1)+1</f>
        <v>3</v>
      </c>
      <c r="DC42" s="2105">
        <f>OFFSET(DC42,0,-1)+1</f>
        <v>4</v>
      </c>
      <c r="DD42" s="2105"/>
      <c r="DE42" s="2105">
        <f>OFFSET(DE42,0,-2)+1</f>
        <v>5</v>
      </c>
      <c r="DF42" s="1250">
        <f>OFFSET(DF42,0,-1)</f>
        <v>5</v>
      </c>
      <c r="DG42" s="1352">
        <f>OFFSET(DG42,0,-1)+1</f>
        <v>6</v>
      </c>
      <c r="DH42" s="507"/>
      <c r="DI42" s="507"/>
      <c r="DJ42" s="507"/>
      <c r="DK42" s="507"/>
      <c r="DL42" s="507"/>
    </row>
    <row customHeight="1" ht="21">
      <c r="A43" s="1380" t="s">
        <v>190</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1</v>
      </c>
      <c r="T43" s="278" t="s">
        <v>122</v>
      </c>
      <c r="U43" s="280"/>
      <c r="V43" s="2083"/>
      <c r="W43" s="2084"/>
      <c r="X43" s="2084"/>
      <c r="Y43" s="2084"/>
      <c r="Z43" s="2084"/>
      <c r="AA43" s="2084"/>
      <c r="AB43" s="2084"/>
      <c r="AC43" s="2085"/>
      <c r="AD43" s="2083" t="str">
        <f>INDEX(PT_DIFFERENTIATION_NTAR,MATCH(A43,PT_DIFFERENTIATION_NTAR_ID,0))</f>
        <v>Тариф на теплоноситель, поставляемый ПАО "ТГК-1" потребителям, расположенным на территории Санкт-Петербурга</v>
      </c>
      <c r="AE43" s="2084"/>
      <c r="AF43" s="2084"/>
      <c r="AG43" s="2084"/>
      <c r="AH43" s="2084"/>
      <c r="AI43" s="2084"/>
      <c r="AJ43" s="2084"/>
      <c r="AK43" s="2084"/>
      <c r="AL43" s="2083"/>
      <c r="AM43" s="2084"/>
      <c r="AN43" s="2084"/>
      <c r="AO43" s="2084"/>
      <c r="AP43" s="2084"/>
      <c r="AQ43" s="2084"/>
      <c r="AR43" s="2084"/>
      <c r="AS43" s="2085"/>
      <c r="AT43" s="2083"/>
      <c r="AU43" s="2084"/>
      <c r="AV43" s="2084"/>
      <c r="AW43" s="2084"/>
      <c r="AX43" s="2084"/>
      <c r="AY43" s="2084"/>
      <c r="AZ43" s="2084"/>
      <c r="BA43" s="2085"/>
      <c r="BB43" s="2083"/>
      <c r="BC43" s="2084"/>
      <c r="BD43" s="2084"/>
      <c r="BE43" s="2084"/>
      <c r="BF43" s="2084"/>
      <c r="BG43" s="2084"/>
      <c r="BH43" s="2084"/>
      <c r="BI43" s="2085"/>
      <c r="BJ43" s="2083"/>
      <c r="BK43" s="2084"/>
      <c r="BL43" s="2084"/>
      <c r="BM43" s="2084"/>
      <c r="BN43" s="2084"/>
      <c r="BO43" s="2084"/>
      <c r="BP43" s="2084"/>
      <c r="BQ43" s="2085"/>
      <c r="BR43" s="2083"/>
      <c r="BS43" s="2084"/>
      <c r="BT43" s="2084"/>
      <c r="BU43" s="2084"/>
      <c r="BV43" s="2084"/>
      <c r="BW43" s="2084"/>
      <c r="BX43" s="2084"/>
      <c r="BY43" s="2085"/>
      <c r="BZ43" s="2083"/>
      <c r="CA43" s="2084"/>
      <c r="CB43" s="2084"/>
      <c r="CC43" s="2084"/>
      <c r="CD43" s="2084"/>
      <c r="CE43" s="2084"/>
      <c r="CF43" s="2084"/>
      <c r="CG43" s="2085"/>
      <c r="CH43" s="2083"/>
      <c r="CI43" s="2084"/>
      <c r="CJ43" s="2084"/>
      <c r="CK43" s="2084"/>
      <c r="CL43" s="2084"/>
      <c r="CM43" s="2084"/>
      <c r="CN43" s="2084"/>
      <c r="CO43" s="2085"/>
      <c r="CP43" s="2083"/>
      <c r="CQ43" s="2084"/>
      <c r="CR43" s="2084"/>
      <c r="CS43" s="2084"/>
      <c r="CT43" s="2084"/>
      <c r="CU43" s="2084"/>
      <c r="CV43" s="2084"/>
      <c r="CW43" s="2085"/>
      <c r="CX43" s="2083"/>
      <c r="CY43" s="2084"/>
      <c r="CZ43" s="2084"/>
      <c r="DA43" s="2084"/>
      <c r="DB43" s="2084"/>
      <c r="DC43" s="2084"/>
      <c r="DD43" s="2084"/>
      <c r="DE43" s="2085"/>
      <c r="DF43" s="2085"/>
      <c r="DG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I43" s="496"/>
      <c r="DJ43" s="496" t="str">
        <f>IF(T43="","",T43)</f>
        <v>Наименование тарифа</v>
      </c>
      <c r="DK43" s="496"/>
      <c r="DL43" s="496"/>
    </row>
    <row customHeight="1" ht="21">
      <c r="A44" s="1380" t="s">
        <v>190</v>
      </c>
      <c r="B44" s="1380" t="s">
        <v>191</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1.1</v>
      </c>
      <c r="T44" s="290" t="s">
        <v>411</v>
      </c>
      <c r="U44" s="280"/>
      <c r="V44" s="2083"/>
      <c r="W44" s="2084"/>
      <c r="X44" s="2084"/>
      <c r="Y44" s="2084"/>
      <c r="Z44" s="2084"/>
      <c r="AA44" s="2084"/>
      <c r="AB44" s="2084"/>
      <c r="AC44" s="2085"/>
      <c r="AD44" s="2083" t="str">
        <f>INDEX(PT_DIFFERENTIATION_TER,MATCH(B44,PT_DIFFERENTIATION_TER_ID,0))</f>
        <v>без дифференциации</v>
      </c>
      <c r="AE44" s="2084"/>
      <c r="AF44" s="2084"/>
      <c r="AG44" s="2084"/>
      <c r="AH44" s="2084"/>
      <c r="AI44" s="2084"/>
      <c r="AJ44" s="2084"/>
      <c r="AK44" s="2084"/>
      <c r="AL44" s="2083"/>
      <c r="AM44" s="2084"/>
      <c r="AN44" s="2084"/>
      <c r="AO44" s="2084"/>
      <c r="AP44" s="2084"/>
      <c r="AQ44" s="2084"/>
      <c r="AR44" s="2084"/>
      <c r="AS44" s="2085"/>
      <c r="AT44" s="2083"/>
      <c r="AU44" s="2084"/>
      <c r="AV44" s="2084"/>
      <c r="AW44" s="2084"/>
      <c r="AX44" s="2084"/>
      <c r="AY44" s="2084"/>
      <c r="AZ44" s="2084"/>
      <c r="BA44" s="2085"/>
      <c r="BB44" s="2083"/>
      <c r="BC44" s="2084"/>
      <c r="BD44" s="2084"/>
      <c r="BE44" s="2084"/>
      <c r="BF44" s="2084"/>
      <c r="BG44" s="2084"/>
      <c r="BH44" s="2084"/>
      <c r="BI44" s="2085"/>
      <c r="BJ44" s="2083"/>
      <c r="BK44" s="2084"/>
      <c r="BL44" s="2084"/>
      <c r="BM44" s="2084"/>
      <c r="BN44" s="2084"/>
      <c r="BO44" s="2084"/>
      <c r="BP44" s="2084"/>
      <c r="BQ44" s="2085"/>
      <c r="BR44" s="2083"/>
      <c r="BS44" s="2084"/>
      <c r="BT44" s="2084"/>
      <c r="BU44" s="2084"/>
      <c r="BV44" s="2084"/>
      <c r="BW44" s="2084"/>
      <c r="BX44" s="2084"/>
      <c r="BY44" s="2085"/>
      <c r="BZ44" s="2083"/>
      <c r="CA44" s="2084"/>
      <c r="CB44" s="2084"/>
      <c r="CC44" s="2084"/>
      <c r="CD44" s="2084"/>
      <c r="CE44" s="2084"/>
      <c r="CF44" s="2084"/>
      <c r="CG44" s="2085"/>
      <c r="CH44" s="2083"/>
      <c r="CI44" s="2084"/>
      <c r="CJ44" s="2084"/>
      <c r="CK44" s="2084"/>
      <c r="CL44" s="2084"/>
      <c r="CM44" s="2084"/>
      <c r="CN44" s="2084"/>
      <c r="CO44" s="2085"/>
      <c r="CP44" s="2083"/>
      <c r="CQ44" s="2084"/>
      <c r="CR44" s="2084"/>
      <c r="CS44" s="2084"/>
      <c r="CT44" s="2084"/>
      <c r="CU44" s="2084"/>
      <c r="CV44" s="2084"/>
      <c r="CW44" s="2085"/>
      <c r="CX44" s="2083"/>
      <c r="CY44" s="2084"/>
      <c r="CZ44" s="2084"/>
      <c r="DA44" s="2084"/>
      <c r="DB44" s="2084"/>
      <c r="DC44" s="2084"/>
      <c r="DD44" s="2084"/>
      <c r="DE44" s="2085"/>
      <c r="DF44" s="2085"/>
      <c r="DG44" s="1273" t="s">
        <v>412</v>
      </c>
      <c r="DI44" s="496"/>
      <c r="DJ44" s="496" t="str">
        <f>IF(T44="","",T44)</f>
        <v>Территория действия тарифа</v>
      </c>
      <c r="DK44" s="496"/>
      <c r="DL44" s="496"/>
    </row>
    <row customHeight="1" ht="23.25">
      <c r="A45" s="1380" t="s">
        <v>190</v>
      </c>
      <c r="B45" s="1380" t="s">
        <v>191</v>
      </c>
      <c r="C45" s="1380" t="s">
        <v>192</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1.1.1</v>
      </c>
      <c r="T45" s="291" t="s">
        <v>413</v>
      </c>
      <c r="U45" s="280"/>
      <c r="V45" s="2083"/>
      <c r="W45" s="2084"/>
      <c r="X45" s="2084"/>
      <c r="Y45" s="2084"/>
      <c r="Z45" s="2084"/>
      <c r="AA45" s="2084"/>
      <c r="AB45" s="2084"/>
      <c r="AC45" s="2085"/>
      <c r="AD45" s="2083" t="str">
        <f>INDEX(PT_DIFFERENTIATION_CS,MATCH(C45,PT_DIFFERENTIATION_CS_ID,0))</f>
        <v>без дифференциации</v>
      </c>
      <c r="AE45" s="2084"/>
      <c r="AF45" s="2084"/>
      <c r="AG45" s="2084"/>
      <c r="AH45" s="2084"/>
      <c r="AI45" s="2084"/>
      <c r="AJ45" s="2084"/>
      <c r="AK45" s="2084"/>
      <c r="AL45" s="2083"/>
      <c r="AM45" s="2084"/>
      <c r="AN45" s="2084"/>
      <c r="AO45" s="2084"/>
      <c r="AP45" s="2084"/>
      <c r="AQ45" s="2084"/>
      <c r="AR45" s="2084"/>
      <c r="AS45" s="2085"/>
      <c r="AT45" s="2083"/>
      <c r="AU45" s="2084"/>
      <c r="AV45" s="2084"/>
      <c r="AW45" s="2084"/>
      <c r="AX45" s="2084"/>
      <c r="AY45" s="2084"/>
      <c r="AZ45" s="2084"/>
      <c r="BA45" s="2085"/>
      <c r="BB45" s="2083"/>
      <c r="BC45" s="2084"/>
      <c r="BD45" s="2084"/>
      <c r="BE45" s="2084"/>
      <c r="BF45" s="2084"/>
      <c r="BG45" s="2084"/>
      <c r="BH45" s="2084"/>
      <c r="BI45" s="2085"/>
      <c r="BJ45" s="2083"/>
      <c r="BK45" s="2084"/>
      <c r="BL45" s="2084"/>
      <c r="BM45" s="2084"/>
      <c r="BN45" s="2084"/>
      <c r="BO45" s="2084"/>
      <c r="BP45" s="2084"/>
      <c r="BQ45" s="2085"/>
      <c r="BR45" s="2083"/>
      <c r="BS45" s="2084"/>
      <c r="BT45" s="2084"/>
      <c r="BU45" s="2084"/>
      <c r="BV45" s="2084"/>
      <c r="BW45" s="2084"/>
      <c r="BX45" s="2084"/>
      <c r="BY45" s="2085"/>
      <c r="BZ45" s="2083"/>
      <c r="CA45" s="2084"/>
      <c r="CB45" s="2084"/>
      <c r="CC45" s="2084"/>
      <c r="CD45" s="2084"/>
      <c r="CE45" s="2084"/>
      <c r="CF45" s="2084"/>
      <c r="CG45" s="2085"/>
      <c r="CH45" s="2083"/>
      <c r="CI45" s="2084"/>
      <c r="CJ45" s="2084"/>
      <c r="CK45" s="2084"/>
      <c r="CL45" s="2084"/>
      <c r="CM45" s="2084"/>
      <c r="CN45" s="2084"/>
      <c r="CO45" s="2085"/>
      <c r="CP45" s="2083"/>
      <c r="CQ45" s="2084"/>
      <c r="CR45" s="2084"/>
      <c r="CS45" s="2084"/>
      <c r="CT45" s="2084"/>
      <c r="CU45" s="2084"/>
      <c r="CV45" s="2084"/>
      <c r="CW45" s="2085"/>
      <c r="CX45" s="2083"/>
      <c r="CY45" s="2084"/>
      <c r="CZ45" s="2084"/>
      <c r="DA45" s="2084"/>
      <c r="DB45" s="2084"/>
      <c r="DC45" s="2084"/>
      <c r="DD45" s="2084"/>
      <c r="DE45" s="2085"/>
      <c r="DF45" s="2085"/>
      <c r="DG45" s="1273" t="s">
        <v>414</v>
      </c>
      <c r="DI45" s="496"/>
      <c r="DJ45" s="496" t="str">
        <f>IF(T45="","",T45)</f>
        <v>Наименование системы теплоснабжения </v>
      </c>
      <c r="DK45" s="496"/>
      <c r="DL45" s="496"/>
    </row>
    <row customHeight="1" ht="21">
      <c r="A46" s="1380" t="s">
        <v>190</v>
      </c>
      <c r="B46" s="1380" t="s">
        <v>191</v>
      </c>
      <c r="C46" s="1380" t="s">
        <v>192</v>
      </c>
      <c r="D46" s="1380" t="s">
        <v>193</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1.1.1.1</v>
      </c>
      <c r="T46" s="292" t="s">
        <v>415</v>
      </c>
      <c r="U46" s="280"/>
      <c r="V46" s="2083"/>
      <c r="W46" s="2084"/>
      <c r="X46" s="2084"/>
      <c r="Y46" s="2084"/>
      <c r="Z46" s="2084"/>
      <c r="AA46" s="2084"/>
      <c r="AB46" s="2084"/>
      <c r="AC46" s="2085"/>
      <c r="AD46" s="2083" t="str">
        <f>INDEX(PT_DIFFERENTIATION_IST_TE,MATCH(D46,PT_DIFFERENTIATION_IST_TE_ID,0))</f>
        <v>без дифференциации</v>
      </c>
      <c r="AE46" s="2084"/>
      <c r="AF46" s="2084"/>
      <c r="AG46" s="2084"/>
      <c r="AH46" s="2084"/>
      <c r="AI46" s="2084"/>
      <c r="AJ46" s="2084"/>
      <c r="AK46" s="2084"/>
      <c r="AL46" s="2083"/>
      <c r="AM46" s="2084"/>
      <c r="AN46" s="2084"/>
      <c r="AO46" s="2084"/>
      <c r="AP46" s="2084"/>
      <c r="AQ46" s="2084"/>
      <c r="AR46" s="2084"/>
      <c r="AS46" s="2085"/>
      <c r="AT46" s="2083"/>
      <c r="AU46" s="2084"/>
      <c r="AV46" s="2084"/>
      <c r="AW46" s="2084"/>
      <c r="AX46" s="2084"/>
      <c r="AY46" s="2084"/>
      <c r="AZ46" s="2084"/>
      <c r="BA46" s="2085"/>
      <c r="BB46" s="2083"/>
      <c r="BC46" s="2084"/>
      <c r="BD46" s="2084"/>
      <c r="BE46" s="2084"/>
      <c r="BF46" s="2084"/>
      <c r="BG46" s="2084"/>
      <c r="BH46" s="2084"/>
      <c r="BI46" s="2085"/>
      <c r="BJ46" s="2083"/>
      <c r="BK46" s="2084"/>
      <c r="BL46" s="2084"/>
      <c r="BM46" s="2084"/>
      <c r="BN46" s="2084"/>
      <c r="BO46" s="2084"/>
      <c r="BP46" s="2084"/>
      <c r="BQ46" s="2085"/>
      <c r="BR46" s="2083"/>
      <c r="BS46" s="2084"/>
      <c r="BT46" s="2084"/>
      <c r="BU46" s="2084"/>
      <c r="BV46" s="2084"/>
      <c r="BW46" s="2084"/>
      <c r="BX46" s="2084"/>
      <c r="BY46" s="2085"/>
      <c r="BZ46" s="2083"/>
      <c r="CA46" s="2084"/>
      <c r="CB46" s="2084"/>
      <c r="CC46" s="2084"/>
      <c r="CD46" s="2084"/>
      <c r="CE46" s="2084"/>
      <c r="CF46" s="2084"/>
      <c r="CG46" s="2085"/>
      <c r="CH46" s="2083"/>
      <c r="CI46" s="2084"/>
      <c r="CJ46" s="2084"/>
      <c r="CK46" s="2084"/>
      <c r="CL46" s="2084"/>
      <c r="CM46" s="2084"/>
      <c r="CN46" s="2084"/>
      <c r="CO46" s="2085"/>
      <c r="CP46" s="2083"/>
      <c r="CQ46" s="2084"/>
      <c r="CR46" s="2084"/>
      <c r="CS46" s="2084"/>
      <c r="CT46" s="2084"/>
      <c r="CU46" s="2084"/>
      <c r="CV46" s="2084"/>
      <c r="CW46" s="2085"/>
      <c r="CX46" s="2083"/>
      <c r="CY46" s="2084"/>
      <c r="CZ46" s="2084"/>
      <c r="DA46" s="2084"/>
      <c r="DB46" s="2084"/>
      <c r="DC46" s="2084"/>
      <c r="DD46" s="2084"/>
      <c r="DE46" s="2085"/>
      <c r="DF46" s="2085"/>
      <c r="DG46" s="1273" t="s">
        <v>416</v>
      </c>
      <c r="DI46" s="496"/>
      <c r="DJ46" s="496" t="str">
        <f>IF(T46="","",T46)</f>
        <v>Источник тепловой энергии  </v>
      </c>
      <c r="DK46" s="496"/>
      <c r="DL46" s="496"/>
    </row>
    <row s="1667" customFormat="1" customHeight="1" ht="0">
      <c r="A47" s="1360" t="s">
        <v>190</v>
      </c>
      <c r="B47" s="1360" t="s">
        <v>191</v>
      </c>
      <c r="C47" s="1360" t="s">
        <v>192</v>
      </c>
      <c r="D47" s="1360" t="s">
        <v>193</v>
      </c>
      <c r="E47" s="2090"/>
      <c r="F47" s="2090"/>
      <c r="G47" s="2090"/>
      <c r="H47" s="2090"/>
      <c r="I47" s="2091" t="str">
        <f>S46&amp;".1"</f>
        <v>1.1.1.1.1</v>
      </c>
      <c r="J47" s="1360"/>
      <c r="K47" s="1360"/>
      <c r="L47" s="1363" t="s">
        <v>417</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29"/>
      <c r="AM47" s="2130"/>
      <c r="AN47" s="2130"/>
      <c r="AO47" s="2130"/>
      <c r="AP47" s="2130"/>
      <c r="AQ47" s="2130"/>
      <c r="AR47" s="2130"/>
      <c r="AS47" s="2131"/>
      <c r="AT47" s="2129"/>
      <c r="AU47" s="2130"/>
      <c r="AV47" s="2130"/>
      <c r="AW47" s="2130"/>
      <c r="AX47" s="2130"/>
      <c r="AY47" s="2130"/>
      <c r="AZ47" s="2130"/>
      <c r="BA47" s="2131"/>
      <c r="BB47" s="2129"/>
      <c r="BC47" s="2130"/>
      <c r="BD47" s="2130"/>
      <c r="BE47" s="2130"/>
      <c r="BF47" s="2130"/>
      <c r="BG47" s="2130"/>
      <c r="BH47" s="2130"/>
      <c r="BI47" s="2131"/>
      <c r="BJ47" s="2129"/>
      <c r="BK47" s="2130"/>
      <c r="BL47" s="2130"/>
      <c r="BM47" s="2130"/>
      <c r="BN47" s="2130"/>
      <c r="BO47" s="2130"/>
      <c r="BP47" s="2130"/>
      <c r="BQ47" s="2131"/>
      <c r="BR47" s="2129"/>
      <c r="BS47" s="2130"/>
      <c r="BT47" s="2130"/>
      <c r="BU47" s="2130"/>
      <c r="BV47" s="2130"/>
      <c r="BW47" s="2130"/>
      <c r="BX47" s="2130"/>
      <c r="BY47" s="2131"/>
      <c r="BZ47" s="2129"/>
      <c r="CA47" s="2130"/>
      <c r="CB47" s="2130"/>
      <c r="CC47" s="2130"/>
      <c r="CD47" s="2130"/>
      <c r="CE47" s="2130"/>
      <c r="CF47" s="2130"/>
      <c r="CG47" s="2131"/>
      <c r="CH47" s="2129"/>
      <c r="CI47" s="2130"/>
      <c r="CJ47" s="2130"/>
      <c r="CK47" s="2130"/>
      <c r="CL47" s="2130"/>
      <c r="CM47" s="2130"/>
      <c r="CN47" s="2130"/>
      <c r="CO47" s="2131"/>
      <c r="CP47" s="2129"/>
      <c r="CQ47" s="2130"/>
      <c r="CR47" s="2130"/>
      <c r="CS47" s="2130"/>
      <c r="CT47" s="2130"/>
      <c r="CU47" s="2130"/>
      <c r="CV47" s="2130"/>
      <c r="CW47" s="2131"/>
      <c r="CX47" s="2129"/>
      <c r="CY47" s="2130"/>
      <c r="CZ47" s="2130"/>
      <c r="DA47" s="2130"/>
      <c r="DB47" s="2130"/>
      <c r="DC47" s="2130"/>
      <c r="DD47" s="2130"/>
      <c r="DE47" s="2131"/>
      <c r="DF47" s="2131"/>
      <c r="DG47" s="1402"/>
      <c r="DI47" s="496"/>
      <c r="DJ47" s="496" t="str">
        <f>IF(T47="","",T47)</f>
        <v/>
      </c>
      <c r="DK47" s="496"/>
      <c r="DL47" s="496"/>
    </row>
    <row customHeight="1" ht="21">
      <c r="A48" s="1380" t="s">
        <v>190</v>
      </c>
      <c r="B48" s="1380" t="s">
        <v>191</v>
      </c>
      <c r="C48" s="1380" t="s">
        <v>192</v>
      </c>
      <c r="D48" s="1380" t="s">
        <v>193</v>
      </c>
      <c r="E48" s="2090"/>
      <c r="F48" s="2090"/>
      <c r="G48" s="2090"/>
      <c r="H48" s="2090"/>
      <c r="I48" s="2092"/>
      <c r="J48" s="2091" t="str">
        <f>S46&amp;".1"</f>
        <v>1.1.1.1.1</v>
      </c>
      <c r="K48" s="1380"/>
      <c r="L48" s="1381" t="s">
        <v>420</v>
      </c>
      <c r="P48" s="2093"/>
      <c r="Q48" s="2093">
        <v>1</v>
      </c>
      <c r="R48" s="345"/>
      <c r="S48" s="1353" t="str">
        <f>$J48</f>
        <v>1.1.1.1.1</v>
      </c>
      <c r="T48" s="267" t="s">
        <v>421</v>
      </c>
      <c r="U48" s="280"/>
      <c r="V48" s="2077"/>
      <c r="W48" s="2078"/>
      <c r="X48" s="2078"/>
      <c r="Y48" s="2078"/>
      <c r="Z48" s="2078"/>
      <c r="AA48" s="2078"/>
      <c r="AB48" s="2078"/>
      <c r="AC48" s="2079"/>
      <c r="AD48" s="2077" t="s">
        <v>465</v>
      </c>
      <c r="AE48" s="2078"/>
      <c r="AF48" s="2078"/>
      <c r="AG48" s="2078"/>
      <c r="AH48" s="2078"/>
      <c r="AI48" s="2078"/>
      <c r="AJ48" s="2078"/>
      <c r="AK48" s="2078"/>
      <c r="AL48" s="2077"/>
      <c r="AM48" s="2078"/>
      <c r="AN48" s="2078"/>
      <c r="AO48" s="2078"/>
      <c r="AP48" s="2078"/>
      <c r="AQ48" s="2078"/>
      <c r="AR48" s="2078"/>
      <c r="AS48" s="2079"/>
      <c r="AT48" s="2077"/>
      <c r="AU48" s="2078"/>
      <c r="AV48" s="2078"/>
      <c r="AW48" s="2078"/>
      <c r="AX48" s="2078"/>
      <c r="AY48" s="2078"/>
      <c r="AZ48" s="2078"/>
      <c r="BA48" s="2079"/>
      <c r="BB48" s="2077"/>
      <c r="BC48" s="2078"/>
      <c r="BD48" s="2078"/>
      <c r="BE48" s="2078"/>
      <c r="BF48" s="2078"/>
      <c r="BG48" s="2078"/>
      <c r="BH48" s="2078"/>
      <c r="BI48" s="2079"/>
      <c r="BJ48" s="2077"/>
      <c r="BK48" s="2078"/>
      <c r="BL48" s="2078"/>
      <c r="BM48" s="2078"/>
      <c r="BN48" s="2078"/>
      <c r="BO48" s="2078"/>
      <c r="BP48" s="2078"/>
      <c r="BQ48" s="2079"/>
      <c r="BR48" s="2077"/>
      <c r="BS48" s="2078"/>
      <c r="BT48" s="2078"/>
      <c r="BU48" s="2078"/>
      <c r="BV48" s="2078"/>
      <c r="BW48" s="2078"/>
      <c r="BX48" s="2078"/>
      <c r="BY48" s="2079"/>
      <c r="BZ48" s="2077"/>
      <c r="CA48" s="2078"/>
      <c r="CB48" s="2078"/>
      <c r="CC48" s="2078"/>
      <c r="CD48" s="2078"/>
      <c r="CE48" s="2078"/>
      <c r="CF48" s="2078"/>
      <c r="CG48" s="2079"/>
      <c r="CH48" s="2077"/>
      <c r="CI48" s="2078"/>
      <c r="CJ48" s="2078"/>
      <c r="CK48" s="2078"/>
      <c r="CL48" s="2078"/>
      <c r="CM48" s="2078"/>
      <c r="CN48" s="2078"/>
      <c r="CO48" s="2079"/>
      <c r="CP48" s="2077"/>
      <c r="CQ48" s="2078"/>
      <c r="CR48" s="2078"/>
      <c r="CS48" s="2078"/>
      <c r="CT48" s="2078"/>
      <c r="CU48" s="2078"/>
      <c r="CV48" s="2078"/>
      <c r="CW48" s="2079"/>
      <c r="CX48" s="2077"/>
      <c r="CY48" s="2078"/>
      <c r="CZ48" s="2078"/>
      <c r="DA48" s="2078"/>
      <c r="DB48" s="2078"/>
      <c r="DC48" s="2078"/>
      <c r="DD48" s="2078"/>
      <c r="DE48" s="2079"/>
      <c r="DF48" s="2079"/>
      <c r="DG48" s="1273" t="s">
        <v>422</v>
      </c>
      <c r="DI48" s="496"/>
      <c r="DJ48" s="496" t="str">
        <f>IF(T48="","",T48)</f>
        <v>Группа потребителей</v>
      </c>
      <c r="DK48" s="496"/>
      <c r="DL48" s="496"/>
    </row>
    <row customHeight="1" ht="21">
      <c r="A49" s="1380" t="s">
        <v>190</v>
      </c>
      <c r="B49" s="1380" t="s">
        <v>191</v>
      </c>
      <c r="C49" s="1380" t="s">
        <v>192</v>
      </c>
      <c r="D49" s="1380" t="s">
        <v>193</v>
      </c>
      <c r="E49" s="2090"/>
      <c r="F49" s="2090"/>
      <c r="G49" s="2090"/>
      <c r="H49" s="2090"/>
      <c r="I49" s="2092"/>
      <c r="J49" s="2092"/>
      <c r="K49" s="2091" t="str">
        <f>J48&amp;".1"</f>
        <v>1.1.1.1.1.1</v>
      </c>
      <c r="L49" s="1381" t="s">
        <v>423</v>
      </c>
      <c r="P49" s="2093"/>
      <c r="Q49" s="2093"/>
      <c r="R49" s="345">
        <v>1</v>
      </c>
      <c r="S49" s="1353" t="str">
        <f>$K49</f>
        <v>1.1.1.1.1.1</v>
      </c>
      <c r="T49" s="1364" t="s">
        <v>460</v>
      </c>
      <c r="U49" s="280"/>
      <c r="V49" s="746"/>
      <c r="W49" s="312"/>
      <c r="X49" s="746"/>
      <c r="Y49" s="1272"/>
      <c r="Z49" s="2094"/>
      <c r="AA49" s="1963" t="s">
        <v>61</v>
      </c>
      <c r="AB49" s="2094"/>
      <c r="AC49" s="1963" t="s">
        <v>61</v>
      </c>
      <c r="AD49" s="746">
        <v>43.42</v>
      </c>
      <c r="AE49" s="312"/>
      <c r="AF49" s="746"/>
      <c r="AG49" s="1272"/>
      <c r="AH49" s="2425">
        <v>45292.659375</v>
      </c>
      <c r="AI49" s="1963" t="s">
        <v>61</v>
      </c>
      <c r="AJ49" s="2096">
        <v>45473.65945601852</v>
      </c>
      <c r="AK49" s="1963" t="s">
        <v>61</v>
      </c>
      <c r="AL49" s="746">
        <v>45.76</v>
      </c>
      <c r="AM49" s="312"/>
      <c r="AN49" s="746"/>
      <c r="AO49" s="1272"/>
      <c r="AP49" s="2425">
        <v>45474.65954861111</v>
      </c>
      <c r="AQ49" s="1963" t="s">
        <v>61</v>
      </c>
      <c r="AR49" s="2425">
        <v>45657.65960648148</v>
      </c>
      <c r="AS49" s="1963" t="s">
        <v>61</v>
      </c>
      <c r="AT49" s="746">
        <v>45.76</v>
      </c>
      <c r="AU49" s="312"/>
      <c r="AV49" s="746"/>
      <c r="AW49" s="1272"/>
      <c r="AX49" s="2425">
        <v>45658.65974537037</v>
      </c>
      <c r="AY49" s="1963" t="s">
        <v>61</v>
      </c>
      <c r="AZ49" s="2425">
        <v>45838.65988425926</v>
      </c>
      <c r="BA49" s="1963" t="s">
        <v>61</v>
      </c>
      <c r="BB49" s="746">
        <v>50.17</v>
      </c>
      <c r="BC49" s="312"/>
      <c r="BD49" s="746"/>
      <c r="BE49" s="1272"/>
      <c r="BF49" s="2425">
        <v>45839.66002314815</v>
      </c>
      <c r="BG49" s="1963" t="s">
        <v>61</v>
      </c>
      <c r="BH49" s="2425">
        <v>46022.660150462965</v>
      </c>
      <c r="BI49" s="1963" t="s">
        <v>61</v>
      </c>
      <c r="BJ49" s="746">
        <v>50.17</v>
      </c>
      <c r="BK49" s="312"/>
      <c r="BL49" s="746"/>
      <c r="BM49" s="1272"/>
      <c r="BN49" s="2425">
        <v>46023.66034722222</v>
      </c>
      <c r="BO49" s="1963" t="s">
        <v>61</v>
      </c>
      <c r="BP49" s="2425">
        <v>46203.66045138889</v>
      </c>
      <c r="BQ49" s="1963" t="s">
        <v>61</v>
      </c>
      <c r="BR49" s="746">
        <v>51.55</v>
      </c>
      <c r="BS49" s="312"/>
      <c r="BT49" s="746"/>
      <c r="BU49" s="1272"/>
      <c r="BV49" s="2425">
        <v>46204.66061342593</v>
      </c>
      <c r="BW49" s="1963" t="s">
        <v>61</v>
      </c>
      <c r="BX49" s="2425">
        <v>46387.660729166666</v>
      </c>
      <c r="BY49" s="1963" t="s">
        <v>61</v>
      </c>
      <c r="BZ49" s="746">
        <v>51.55</v>
      </c>
      <c r="CA49" s="312"/>
      <c r="CB49" s="746"/>
      <c r="CC49" s="1272"/>
      <c r="CD49" s="2425">
        <v>46388.66090277778</v>
      </c>
      <c r="CE49" s="1963" t="s">
        <v>61</v>
      </c>
      <c r="CF49" s="2425">
        <v>46568.66100694444</v>
      </c>
      <c r="CG49" s="1963" t="s">
        <v>61</v>
      </c>
      <c r="CH49" s="746">
        <v>54.79</v>
      </c>
      <c r="CI49" s="312"/>
      <c r="CJ49" s="746"/>
      <c r="CK49" s="1272"/>
      <c r="CL49" s="2425">
        <v>46569.661145833335</v>
      </c>
      <c r="CM49" s="1963" t="s">
        <v>61</v>
      </c>
      <c r="CN49" s="2425">
        <v>46752.661261574074</v>
      </c>
      <c r="CO49" s="1963" t="s">
        <v>61</v>
      </c>
      <c r="CP49" s="746">
        <v>54.79</v>
      </c>
      <c r="CQ49" s="312"/>
      <c r="CR49" s="746"/>
      <c r="CS49" s="1272"/>
      <c r="CT49" s="2425">
        <v>46753.661458333336</v>
      </c>
      <c r="CU49" s="1963" t="s">
        <v>61</v>
      </c>
      <c r="CV49" s="2425">
        <v>46934.66155092593</v>
      </c>
      <c r="CW49" s="1963" t="s">
        <v>61</v>
      </c>
      <c r="CX49" s="746">
        <v>56.42</v>
      </c>
      <c r="CY49" s="312"/>
      <c r="CZ49" s="746"/>
      <c r="DA49" s="1272"/>
      <c r="DB49" s="2425">
        <v>46935.661724537036</v>
      </c>
      <c r="DC49" s="1963" t="s">
        <v>61</v>
      </c>
      <c r="DD49" s="2425">
        <v>47118.661828703705</v>
      </c>
      <c r="DE49" s="1963" t="s">
        <v>61</v>
      </c>
      <c r="DF49" s="1365"/>
      <c r="DG49" s="2119" t="s">
        <v>466</v>
      </c>
      <c r="DH49" s="507">
        <f>STRCHECKDATE(V50:DF50)</f>
      </c>
      <c r="DI49" s="496"/>
      <c r="DJ49" s="496" t="str">
        <f>IF(T49="","",T49)</f>
        <v>вода</v>
      </c>
      <c r="DK49" s="496"/>
      <c r="DL49" s="496"/>
    </row>
    <row customHeight="1" ht="0.75">
      <c r="A50" s="1380" t="s">
        <v>190</v>
      </c>
      <c r="B50" s="1380" t="s">
        <v>191</v>
      </c>
      <c r="C50" s="1380" t="s">
        <v>192</v>
      </c>
      <c r="D50" s="1380" t="s">
        <v>193</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45292.659375-45473.65945601852</v>
      </c>
      <c r="AH50" s="2095"/>
      <c r="AI50" s="1963"/>
      <c r="AJ50" s="2097"/>
      <c r="AK50" s="1963"/>
      <c r="AL50" s="312"/>
      <c r="AM50" s="312"/>
      <c r="AN50" s="312"/>
      <c r="AO50" s="316" t="str">
        <f>AP49&amp;"-"&amp;AR49</f>
        <v>45474.65954861111-45657.65960648148</v>
      </c>
      <c r="AP50" s="2134"/>
      <c r="AQ50" s="1963"/>
      <c r="AR50" s="2134"/>
      <c r="AS50" s="1963"/>
      <c r="AT50" s="312"/>
      <c r="AU50" s="312"/>
      <c r="AV50" s="312"/>
      <c r="AW50" s="316" t="str">
        <f>AX49&amp;"-"&amp;AZ49</f>
        <v>45658.65974537037-45838.65988425926</v>
      </c>
      <c r="AX50" s="2134"/>
      <c r="AY50" s="1963"/>
      <c r="AZ50" s="2134"/>
      <c r="BA50" s="1963"/>
      <c r="BB50" s="312"/>
      <c r="BC50" s="312"/>
      <c r="BD50" s="312"/>
      <c r="BE50" s="316" t="str">
        <f>BF49&amp;"-"&amp;BH49</f>
        <v>45839.66002314815-46022.660150462965</v>
      </c>
      <c r="BF50" s="2134"/>
      <c r="BG50" s="1963"/>
      <c r="BH50" s="2134"/>
      <c r="BI50" s="1963"/>
      <c r="BJ50" s="312"/>
      <c r="BK50" s="312"/>
      <c r="BL50" s="312"/>
      <c r="BM50" s="316" t="str">
        <f>BN49&amp;"-"&amp;BP49</f>
        <v>46023.66034722222-46203.66045138889</v>
      </c>
      <c r="BN50" s="2134"/>
      <c r="BO50" s="1963"/>
      <c r="BP50" s="2134"/>
      <c r="BQ50" s="1963"/>
      <c r="BR50" s="312"/>
      <c r="BS50" s="312"/>
      <c r="BT50" s="312"/>
      <c r="BU50" s="316" t="str">
        <f>BV49&amp;"-"&amp;BX49</f>
        <v>46204.66061342593-46387.660729166666</v>
      </c>
      <c r="BV50" s="2134"/>
      <c r="BW50" s="1963"/>
      <c r="BX50" s="2134"/>
      <c r="BY50" s="1963"/>
      <c r="BZ50" s="312"/>
      <c r="CA50" s="312"/>
      <c r="CB50" s="312"/>
      <c r="CC50" s="316" t="str">
        <f>CD49&amp;"-"&amp;CF49</f>
        <v>46388.66090277778-46568.66100694444</v>
      </c>
      <c r="CD50" s="2134"/>
      <c r="CE50" s="1963"/>
      <c r="CF50" s="2134"/>
      <c r="CG50" s="1963"/>
      <c r="CH50" s="312"/>
      <c r="CI50" s="312"/>
      <c r="CJ50" s="312"/>
      <c r="CK50" s="316" t="str">
        <f>CL49&amp;"-"&amp;CN49</f>
        <v>46569.661145833335-46752.661261574074</v>
      </c>
      <c r="CL50" s="2134"/>
      <c r="CM50" s="1963"/>
      <c r="CN50" s="2134"/>
      <c r="CO50" s="1963"/>
      <c r="CP50" s="312"/>
      <c r="CQ50" s="312"/>
      <c r="CR50" s="312"/>
      <c r="CS50" s="316" t="str">
        <f>CT49&amp;"-"&amp;CV49</f>
        <v>46753.661458333336-46934.66155092593</v>
      </c>
      <c r="CT50" s="2134"/>
      <c r="CU50" s="1963"/>
      <c r="CV50" s="2134"/>
      <c r="CW50" s="1963"/>
      <c r="CX50" s="312"/>
      <c r="CY50" s="312"/>
      <c r="CZ50" s="312"/>
      <c r="DA50" s="316" t="str">
        <f>DB49&amp;"-"&amp;DD49</f>
        <v>46935.661724537036-47118.661828703705</v>
      </c>
      <c r="DB50" s="2134"/>
      <c r="DC50" s="1963"/>
      <c r="DD50" s="2134"/>
      <c r="DE50" s="1963"/>
      <c r="DF50" s="1366"/>
      <c r="DG50" s="2120"/>
      <c r="DI50" s="496"/>
      <c r="DJ50" s="496" t="str">
        <f>IF(T50="","",T50)</f>
        <v/>
      </c>
      <c r="DK50" s="496"/>
      <c r="DL50" s="496"/>
    </row>
    <row customHeight="1" ht="11.25">
      <c r="A51" s="1380" t="s">
        <v>190</v>
      </c>
      <c r="B51" s="1380" t="s">
        <v>191</v>
      </c>
      <c r="C51" s="1380" t="s">
        <v>192</v>
      </c>
      <c r="D51" s="1380" t="s">
        <v>193</v>
      </c>
      <c r="E51" s="2090"/>
      <c r="F51" s="2090"/>
      <c r="G51" s="2090"/>
      <c r="H51" s="2090"/>
      <c r="I51" s="2092"/>
      <c r="J51" s="2091"/>
      <c r="K51" s="1380"/>
      <c r="L51" s="1381"/>
      <c r="P51" s="2093"/>
      <c r="Q51" s="2093"/>
      <c r="R51" s="344"/>
      <c r="S51" s="1295"/>
      <c r="T51" s="268" t="s">
        <v>425</v>
      </c>
      <c r="U51" s="359"/>
      <c r="V51" s="359"/>
      <c r="W51" s="359"/>
      <c r="X51" s="359"/>
      <c r="Y51" s="359"/>
      <c r="Z51" s="359"/>
      <c r="AA51" s="359"/>
      <c r="AB51" s="359"/>
      <c r="AC51" s="359"/>
      <c r="AD51" s="359"/>
      <c r="AE51" s="359"/>
      <c r="AF51" s="359"/>
      <c r="AG51" s="359"/>
      <c r="AH51" s="359"/>
      <c r="AI51" s="359"/>
      <c r="AJ51" s="359"/>
      <c r="AK51" s="359"/>
      <c r="AL51" s="4641"/>
      <c r="AM51" s="4642"/>
      <c r="AN51" s="4643"/>
      <c r="AO51" s="4644"/>
      <c r="AP51" s="4645"/>
      <c r="AQ51" s="4646"/>
      <c r="AR51" s="4647"/>
      <c r="AS51" s="4648"/>
      <c r="AT51" s="4649"/>
      <c r="AU51" s="4650"/>
      <c r="AV51" s="4651"/>
      <c r="AW51" s="4652"/>
      <c r="AX51" s="4653"/>
      <c r="AY51" s="4654"/>
      <c r="AZ51" s="4655"/>
      <c r="BA51" s="4656"/>
      <c r="BB51" s="4657"/>
      <c r="BC51" s="4658"/>
      <c r="BD51" s="4659"/>
      <c r="BE51" s="4660"/>
      <c r="BF51" s="4661"/>
      <c r="BG51" s="4662"/>
      <c r="BH51" s="4663"/>
      <c r="BI51" s="4664"/>
      <c r="BJ51" s="4665"/>
      <c r="BK51" s="4666"/>
      <c r="BL51" s="4667"/>
      <c r="BM51" s="4668"/>
      <c r="BN51" s="4669"/>
      <c r="BO51" s="4670"/>
      <c r="BP51" s="4671"/>
      <c r="BQ51" s="4672"/>
      <c r="BR51" s="4673"/>
      <c r="BS51" s="4674"/>
      <c r="BT51" s="4675"/>
      <c r="BU51" s="4676"/>
      <c r="BV51" s="4677"/>
      <c r="BW51" s="4678"/>
      <c r="BX51" s="4679"/>
      <c r="BY51" s="4680"/>
      <c r="BZ51" s="4681"/>
      <c r="CA51" s="4682"/>
      <c r="CB51" s="4683"/>
      <c r="CC51" s="4684"/>
      <c r="CD51" s="4685"/>
      <c r="CE51" s="4686"/>
      <c r="CF51" s="4687"/>
      <c r="CG51" s="4688"/>
      <c r="CH51" s="4689"/>
      <c r="CI51" s="4690"/>
      <c r="CJ51" s="4691"/>
      <c r="CK51" s="4692"/>
      <c r="CL51" s="4693"/>
      <c r="CM51" s="4694"/>
      <c r="CN51" s="4695"/>
      <c r="CO51" s="4696"/>
      <c r="CP51" s="4697"/>
      <c r="CQ51" s="4698"/>
      <c r="CR51" s="4699"/>
      <c r="CS51" s="4700"/>
      <c r="CT51" s="4701"/>
      <c r="CU51" s="4702"/>
      <c r="CV51" s="4703"/>
      <c r="CW51" s="4704"/>
      <c r="CX51" s="4705"/>
      <c r="CY51" s="4706"/>
      <c r="CZ51" s="4707"/>
      <c r="DA51" s="4708"/>
      <c r="DB51" s="4709"/>
      <c r="DC51" s="4710"/>
      <c r="DD51" s="4711"/>
      <c r="DE51" s="4712"/>
      <c r="DF51" s="311"/>
      <c r="DG51" s="2121"/>
      <c r="DI51" s="496"/>
      <c r="DJ51" s="496" t="str">
        <f>IF(T51="","",T51)</f>
        <v>Добавить вид теплоносителя (параметры теплоносителя)</v>
      </c>
      <c r="DK51" s="496"/>
      <c r="DL51" s="496"/>
    </row>
    <row customHeight="1" ht="11.25">
      <c r="A52" s="1380" t="s">
        <v>190</v>
      </c>
      <c r="B52" s="1380" t="s">
        <v>191</v>
      </c>
      <c r="C52" s="1380" t="s">
        <v>192</v>
      </c>
      <c r="D52" s="1380" t="s">
        <v>193</v>
      </c>
      <c r="E52" s="2090"/>
      <c r="F52" s="2090"/>
      <c r="G52" s="2090"/>
      <c r="H52" s="2090"/>
      <c r="I52" s="2091"/>
      <c r="J52" s="1380"/>
      <c r="K52" s="1380"/>
      <c r="L52" s="1381"/>
      <c r="P52" s="2093"/>
      <c r="Q52" s="1348"/>
      <c r="R52" s="344"/>
      <c r="S52" s="1295"/>
      <c r="T52" s="356" t="s">
        <v>426</v>
      </c>
      <c r="U52" s="359"/>
      <c r="V52" s="359"/>
      <c r="W52" s="359"/>
      <c r="X52" s="359"/>
      <c r="Y52" s="359"/>
      <c r="Z52" s="359"/>
      <c r="AA52" s="359"/>
      <c r="AB52" s="359"/>
      <c r="AC52" s="358"/>
      <c r="AD52" s="359"/>
      <c r="AE52" s="359"/>
      <c r="AF52" s="359"/>
      <c r="AG52" s="359"/>
      <c r="AH52" s="359"/>
      <c r="AI52" s="359"/>
      <c r="AJ52" s="359"/>
      <c r="AK52" s="358"/>
      <c r="AL52" s="4713"/>
      <c r="AM52" s="4714"/>
      <c r="AN52" s="4715"/>
      <c r="AO52" s="4716"/>
      <c r="AP52" s="4717"/>
      <c r="AQ52" s="4718"/>
      <c r="AR52" s="4719"/>
      <c r="AS52" s="4720"/>
      <c r="AT52" s="4721"/>
      <c r="AU52" s="4722"/>
      <c r="AV52" s="4723"/>
      <c r="AW52" s="4724"/>
      <c r="AX52" s="4725"/>
      <c r="AY52" s="4726"/>
      <c r="AZ52" s="4727"/>
      <c r="BA52" s="4728"/>
      <c r="BB52" s="4729"/>
      <c r="BC52" s="4730"/>
      <c r="BD52" s="4731"/>
      <c r="BE52" s="4732"/>
      <c r="BF52" s="4733"/>
      <c r="BG52" s="4734"/>
      <c r="BH52" s="4735"/>
      <c r="BI52" s="4736"/>
      <c r="BJ52" s="4737"/>
      <c r="BK52" s="4738"/>
      <c r="BL52" s="4739"/>
      <c r="BM52" s="4740"/>
      <c r="BN52" s="4741"/>
      <c r="BO52" s="4742"/>
      <c r="BP52" s="4743"/>
      <c r="BQ52" s="4744"/>
      <c r="BR52" s="4745"/>
      <c r="BS52" s="4746"/>
      <c r="BT52" s="4747"/>
      <c r="BU52" s="4748"/>
      <c r="BV52" s="4749"/>
      <c r="BW52" s="4750"/>
      <c r="BX52" s="4751"/>
      <c r="BY52" s="4752"/>
      <c r="BZ52" s="4753"/>
      <c r="CA52" s="4754"/>
      <c r="CB52" s="4755"/>
      <c r="CC52" s="4756"/>
      <c r="CD52" s="4757"/>
      <c r="CE52" s="4758"/>
      <c r="CF52" s="4759"/>
      <c r="CG52" s="4760"/>
      <c r="CH52" s="4761"/>
      <c r="CI52" s="4762"/>
      <c r="CJ52" s="4763"/>
      <c r="CK52" s="4764"/>
      <c r="CL52" s="4765"/>
      <c r="CM52" s="4766"/>
      <c r="CN52" s="4767"/>
      <c r="CO52" s="4768"/>
      <c r="CP52" s="4769"/>
      <c r="CQ52" s="4770"/>
      <c r="CR52" s="4771"/>
      <c r="CS52" s="4772"/>
      <c r="CT52" s="4773"/>
      <c r="CU52" s="4774"/>
      <c r="CV52" s="4775"/>
      <c r="CW52" s="4776"/>
      <c r="CX52" s="4777"/>
      <c r="CY52" s="4778"/>
      <c r="CZ52" s="4779"/>
      <c r="DA52" s="4780"/>
      <c r="DB52" s="4781"/>
      <c r="DC52" s="4782"/>
      <c r="DD52" s="4783"/>
      <c r="DE52" s="4784"/>
      <c r="DF52" s="359"/>
      <c r="DG52" s="283"/>
      <c r="DI52" s="496"/>
      <c r="DJ52" s="496" t="str">
        <f>IF(T52="","",T52)</f>
        <v>Добавить группу потребителей</v>
      </c>
      <c r="DK52" s="496"/>
      <c r="DL52" s="496"/>
    </row>
    <row customHeight="1" ht="0">
      <c r="A53" s="1380" t="s">
        <v>190</v>
      </c>
      <c r="B53" s="1380" t="s">
        <v>191</v>
      </c>
      <c r="C53" s="1380" t="s">
        <v>192</v>
      </c>
      <c r="D53" s="1380" t="s">
        <v>193</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5"/>
      <c r="AN53" s="1405"/>
      <c r="AO53" s="1405"/>
      <c r="AP53" s="1405"/>
      <c r="AQ53" s="1405"/>
      <c r="AR53" s="1405"/>
      <c r="AS53" s="1405"/>
      <c r="AT53" s="1405"/>
      <c r="AU53" s="1405"/>
      <c r="AV53" s="1405"/>
      <c r="AW53" s="1405"/>
      <c r="AX53" s="1405"/>
      <c r="AY53" s="1405"/>
      <c r="AZ53" s="1405"/>
      <c r="BA53" s="1405"/>
      <c r="BB53" s="1405"/>
      <c r="BC53" s="1405"/>
      <c r="BD53" s="1405"/>
      <c r="BE53" s="1405"/>
      <c r="BF53" s="1405"/>
      <c r="BG53" s="1405"/>
      <c r="BH53" s="1405"/>
      <c r="BI53" s="1405"/>
      <c r="BJ53" s="1405"/>
      <c r="BK53" s="1405"/>
      <c r="BL53" s="1405"/>
      <c r="BM53" s="1405"/>
      <c r="BN53" s="1405"/>
      <c r="BO53" s="1405"/>
      <c r="BP53" s="1405"/>
      <c r="BQ53" s="1405"/>
      <c r="BR53" s="1405"/>
      <c r="BS53" s="1405"/>
      <c r="BT53" s="1405"/>
      <c r="BU53" s="1405"/>
      <c r="BV53" s="1405"/>
      <c r="BW53" s="1405"/>
      <c r="BX53" s="1405"/>
      <c r="BY53" s="1405"/>
      <c r="BZ53" s="1405"/>
      <c r="CA53" s="1405"/>
      <c r="CB53" s="1405"/>
      <c r="CC53" s="1405"/>
      <c r="CD53" s="1405"/>
      <c r="CE53" s="1405"/>
      <c r="CF53" s="1405"/>
      <c r="CG53" s="1405"/>
      <c r="CH53" s="1405"/>
      <c r="CI53" s="1405"/>
      <c r="CJ53" s="1405"/>
      <c r="CK53" s="1405"/>
      <c r="CL53" s="1405"/>
      <c r="CM53" s="1405"/>
      <c r="CN53" s="1405"/>
      <c r="CO53" s="1405"/>
      <c r="CP53" s="1405"/>
      <c r="CQ53" s="1405"/>
      <c r="CR53" s="1405"/>
      <c r="CS53" s="1405"/>
      <c r="CT53" s="1405"/>
      <c r="CU53" s="1405"/>
      <c r="CV53" s="1405"/>
      <c r="CW53" s="1405"/>
      <c r="CX53" s="1405"/>
      <c r="CY53" s="1405"/>
      <c r="CZ53" s="1405"/>
      <c r="DA53" s="1405"/>
      <c r="DB53" s="1405"/>
      <c r="DC53" s="1405"/>
      <c r="DD53" s="1405"/>
      <c r="DE53" s="1405"/>
      <c r="DF53" s="1405"/>
      <c r="DG53" s="1406"/>
      <c r="DI53" s="496"/>
      <c r="DJ53" s="496" t="str">
        <f>IF(T53="","",T53)</f>
        <v/>
      </c>
      <c r="DK53" s="496"/>
      <c r="DL53" s="496"/>
    </row>
    <row s="1667" customFormat="1" customHeight="1" ht="0.75">
      <c r="A54" s="1360" t="s">
        <v>190</v>
      </c>
      <c r="B54" s="1360" t="s">
        <v>191</v>
      </c>
      <c r="C54" s="1360" t="s">
        <v>192</v>
      </c>
      <c r="D54" s="1331"/>
      <c r="E54" s="2090"/>
      <c r="F54" s="2090"/>
      <c r="G54" s="2089"/>
      <c r="H54" s="1331"/>
      <c r="I54" s="1331"/>
      <c r="J54" s="1331"/>
      <c r="K54" s="1331"/>
      <c r="L54" s="1356"/>
      <c r="M54" s="1332"/>
      <c r="N54" s="1332"/>
      <c r="P54" s="1333"/>
      <c r="Q54" s="1334"/>
      <c r="R54" s="1333"/>
      <c r="S54" s="1339"/>
      <c r="T54" s="1342" t="s">
        <v>160</v>
      </c>
      <c r="U54" s="1341"/>
      <c r="V54" s="1341"/>
      <c r="W54" s="1341"/>
      <c r="X54" s="1341"/>
      <c r="Y54" s="1341"/>
      <c r="Z54" s="1341"/>
      <c r="AA54" s="1341"/>
      <c r="AB54" s="1341"/>
      <c r="AC54" s="1341"/>
      <c r="AD54" s="1341"/>
      <c r="AE54" s="1341"/>
      <c r="AF54" s="1341"/>
      <c r="AG54" s="1341"/>
      <c r="AH54" s="1341"/>
      <c r="AI54" s="1341"/>
      <c r="AJ54" s="1341"/>
      <c r="AK54" s="1341"/>
      <c r="AL54" s="1341"/>
      <c r="AM54" s="1341"/>
      <c r="AN54" s="1341"/>
      <c r="AO54" s="1341"/>
      <c r="AP54" s="1341"/>
      <c r="AQ54" s="1341"/>
      <c r="AR54" s="1341"/>
      <c r="AS54" s="1341"/>
      <c r="AT54" s="1341"/>
      <c r="AU54" s="1341"/>
      <c r="AV54" s="1341"/>
      <c r="AW54" s="1341"/>
      <c r="AX54" s="1341"/>
      <c r="AY54" s="1341"/>
      <c r="AZ54" s="1341"/>
      <c r="BA54" s="1341"/>
      <c r="BB54" s="1341"/>
      <c r="BC54" s="1341"/>
      <c r="BD54" s="1341"/>
      <c r="BE54" s="1341"/>
      <c r="BF54" s="1341"/>
      <c r="BG54" s="1341"/>
      <c r="BH54" s="1341"/>
      <c r="BI54" s="1341"/>
      <c r="BJ54" s="1341"/>
      <c r="BK54" s="1341"/>
      <c r="BL54" s="1341"/>
      <c r="BM54" s="1341"/>
      <c r="BN54" s="1341"/>
      <c r="BO54" s="1341"/>
      <c r="BP54" s="1341"/>
      <c r="BQ54" s="1341"/>
      <c r="BR54" s="1341"/>
      <c r="BS54" s="1341"/>
      <c r="BT54" s="1341"/>
      <c r="BU54" s="1341"/>
      <c r="BV54" s="1341"/>
      <c r="BW54" s="1341"/>
      <c r="BX54" s="1341"/>
      <c r="BY54" s="1341"/>
      <c r="BZ54" s="1341"/>
      <c r="CA54" s="1341"/>
      <c r="CB54" s="1341"/>
      <c r="CC54" s="1341"/>
      <c r="CD54" s="1341"/>
      <c r="CE54" s="1341"/>
      <c r="CF54" s="1341"/>
      <c r="CG54" s="1341"/>
      <c r="CH54" s="1341"/>
      <c r="CI54" s="1341"/>
      <c r="CJ54" s="1341"/>
      <c r="CK54" s="1341"/>
      <c r="CL54" s="1341"/>
      <c r="CM54" s="1341"/>
      <c r="CN54" s="1341"/>
      <c r="CO54" s="1341"/>
      <c r="CP54" s="1341"/>
      <c r="CQ54" s="1341"/>
      <c r="CR54" s="1341"/>
      <c r="CS54" s="1341"/>
      <c r="CT54" s="1341"/>
      <c r="CU54" s="1341"/>
      <c r="CV54" s="1341"/>
      <c r="CW54" s="1341"/>
      <c r="CX54" s="1341"/>
      <c r="CY54" s="1341"/>
      <c r="CZ54" s="1341"/>
      <c r="DA54" s="1341"/>
      <c r="DB54" s="1341"/>
      <c r="DC54" s="1341"/>
      <c r="DD54" s="1341"/>
      <c r="DE54" s="1341"/>
      <c r="DF54" s="1341"/>
      <c r="DG54" s="1341"/>
      <c r="DI54" s="783"/>
      <c r="DJ54" s="783" t="str">
        <f>IF(T54="","",T54)</f>
        <v>Добавить источник для дифференциации</v>
      </c>
      <c r="DK54" s="783"/>
      <c r="DL54" s="783"/>
    </row>
    <row s="1667" customFormat="1" customHeight="1" ht="0.75">
      <c r="A55" s="1360" t="s">
        <v>190</v>
      </c>
      <c r="B55" s="1360" t="s">
        <v>191</v>
      </c>
      <c r="C55" s="1331"/>
      <c r="D55" s="1331"/>
      <c r="E55" s="2090"/>
      <c r="F55" s="2089"/>
      <c r="G55" s="1331"/>
      <c r="H55" s="1331"/>
      <c r="I55" s="1331"/>
      <c r="J55" s="1331"/>
      <c r="K55" s="1331"/>
      <c r="L55" s="1356"/>
      <c r="M55" s="1338"/>
      <c r="N55" s="1338"/>
      <c r="P55" s="1333"/>
      <c r="Q55" s="1334"/>
      <c r="R55" s="1333"/>
      <c r="S55" s="1339"/>
      <c r="T55" s="1342" t="s">
        <v>161</v>
      </c>
      <c r="U55" s="1341"/>
      <c r="V55" s="1341"/>
      <c r="W55" s="1341"/>
      <c r="X55" s="1341"/>
      <c r="Y55" s="1341"/>
      <c r="Z55" s="1341"/>
      <c r="AA55" s="1341"/>
      <c r="AB55" s="1341"/>
      <c r="AC55" s="1341"/>
      <c r="AD55" s="1341"/>
      <c r="AE55" s="1341"/>
      <c r="AF55" s="1341"/>
      <c r="AG55" s="1341"/>
      <c r="AH55" s="1341"/>
      <c r="AI55" s="1341"/>
      <c r="AJ55" s="1341"/>
      <c r="AK55" s="1341"/>
      <c r="AL55" s="1341"/>
      <c r="AM55" s="1341"/>
      <c r="AN55" s="1341"/>
      <c r="AO55" s="1341"/>
      <c r="AP55" s="1341"/>
      <c r="AQ55" s="1341"/>
      <c r="AR55" s="1341"/>
      <c r="AS55" s="1341"/>
      <c r="AT55" s="1341"/>
      <c r="AU55" s="1341"/>
      <c r="AV55" s="1341"/>
      <c r="AW55" s="1341"/>
      <c r="AX55" s="1341"/>
      <c r="AY55" s="1341"/>
      <c r="AZ55" s="1341"/>
      <c r="BA55" s="1341"/>
      <c r="BB55" s="1341"/>
      <c r="BC55" s="1341"/>
      <c r="BD55" s="1341"/>
      <c r="BE55" s="1341"/>
      <c r="BF55" s="1341"/>
      <c r="BG55" s="1341"/>
      <c r="BH55" s="1341"/>
      <c r="BI55" s="1341"/>
      <c r="BJ55" s="1341"/>
      <c r="BK55" s="1341"/>
      <c r="BL55" s="1341"/>
      <c r="BM55" s="1341"/>
      <c r="BN55" s="1341"/>
      <c r="BO55" s="1341"/>
      <c r="BP55" s="1341"/>
      <c r="BQ55" s="1341"/>
      <c r="BR55" s="1341"/>
      <c r="BS55" s="1341"/>
      <c r="BT55" s="1341"/>
      <c r="BU55" s="1341"/>
      <c r="BV55" s="1341"/>
      <c r="BW55" s="1341"/>
      <c r="BX55" s="1341"/>
      <c r="BY55" s="1341"/>
      <c r="BZ55" s="1341"/>
      <c r="CA55" s="1341"/>
      <c r="CB55" s="1341"/>
      <c r="CC55" s="1341"/>
      <c r="CD55" s="1341"/>
      <c r="CE55" s="1341"/>
      <c r="CF55" s="1341"/>
      <c r="CG55" s="1341"/>
      <c r="CH55" s="1341"/>
      <c r="CI55" s="1341"/>
      <c r="CJ55" s="1341"/>
      <c r="CK55" s="1341"/>
      <c r="CL55" s="1341"/>
      <c r="CM55" s="1341"/>
      <c r="CN55" s="1341"/>
      <c r="CO55" s="1341"/>
      <c r="CP55" s="1341"/>
      <c r="CQ55" s="1341"/>
      <c r="CR55" s="1341"/>
      <c r="CS55" s="1341"/>
      <c r="CT55" s="1341"/>
      <c r="CU55" s="1341"/>
      <c r="CV55" s="1341"/>
      <c r="CW55" s="1341"/>
      <c r="CX55" s="1341"/>
      <c r="CY55" s="1341"/>
      <c r="CZ55" s="1341"/>
      <c r="DA55" s="1341"/>
      <c r="DB55" s="1341"/>
      <c r="DC55" s="1341"/>
      <c r="DD55" s="1341"/>
      <c r="DE55" s="1341"/>
      <c r="DF55" s="1341"/>
      <c r="DG55" s="1341"/>
      <c r="DI55" s="783"/>
      <c r="DJ55" s="783" t="str">
        <f>IF(T55="","",T55)</f>
        <v>Добавить централизованную систему для дифференциации</v>
      </c>
      <c r="DK55" s="783"/>
      <c r="DL55" s="783"/>
    </row>
    <row s="1667" customFormat="1" customHeight="1" ht="0.75">
      <c r="A56" s="1360" t="s">
        <v>190</v>
      </c>
      <c r="B56" s="1360"/>
      <c r="C56" s="1360"/>
      <c r="D56" s="1360"/>
      <c r="E56" s="2089"/>
      <c r="F56" s="1360"/>
      <c r="G56" s="1360"/>
      <c r="H56" s="1360"/>
      <c r="I56" s="1360"/>
      <c r="J56" s="1360"/>
      <c r="K56" s="1360"/>
      <c r="L56" s="1363"/>
      <c r="M56" s="1338"/>
      <c r="N56" s="1338"/>
      <c r="O56" s="514"/>
      <c r="P56" s="376"/>
      <c r="Q56" s="1361"/>
      <c r="R56" s="376"/>
      <c r="S56" s="1339"/>
      <c r="T56" s="1342" t="s">
        <v>162</v>
      </c>
      <c r="U56" s="1341"/>
      <c r="V56" s="1341"/>
      <c r="W56" s="1341"/>
      <c r="X56" s="1341"/>
      <c r="Y56" s="1341"/>
      <c r="Z56" s="1341"/>
      <c r="AA56" s="1341"/>
      <c r="AB56" s="1341"/>
      <c r="AC56" s="1341"/>
      <c r="AD56" s="1341"/>
      <c r="AE56" s="1341"/>
      <c r="AF56" s="1341"/>
      <c r="AG56" s="1341"/>
      <c r="AH56" s="1341"/>
      <c r="AI56" s="1341"/>
      <c r="AJ56" s="1341"/>
      <c r="AK56" s="1341"/>
      <c r="AL56" s="1341"/>
      <c r="AM56" s="1341"/>
      <c r="AN56" s="1341"/>
      <c r="AO56" s="1341"/>
      <c r="AP56" s="1341"/>
      <c r="AQ56" s="1341"/>
      <c r="AR56" s="1341"/>
      <c r="AS56" s="1341"/>
      <c r="AT56" s="1341"/>
      <c r="AU56" s="1341"/>
      <c r="AV56" s="1341"/>
      <c r="AW56" s="1341"/>
      <c r="AX56" s="1341"/>
      <c r="AY56" s="1341"/>
      <c r="AZ56" s="1341"/>
      <c r="BA56" s="1341"/>
      <c r="BB56" s="1341"/>
      <c r="BC56" s="1341"/>
      <c r="BD56" s="1341"/>
      <c r="BE56" s="1341"/>
      <c r="BF56" s="1341"/>
      <c r="BG56" s="1341"/>
      <c r="BH56" s="1341"/>
      <c r="BI56" s="1341"/>
      <c r="BJ56" s="1341"/>
      <c r="BK56" s="1341"/>
      <c r="BL56" s="1341"/>
      <c r="BM56" s="1341"/>
      <c r="BN56" s="1341"/>
      <c r="BO56" s="1341"/>
      <c r="BP56" s="1341"/>
      <c r="BQ56" s="1341"/>
      <c r="BR56" s="1341"/>
      <c r="BS56" s="1341"/>
      <c r="BT56" s="1341"/>
      <c r="BU56" s="1341"/>
      <c r="BV56" s="1341"/>
      <c r="BW56" s="1341"/>
      <c r="BX56" s="1341"/>
      <c r="BY56" s="1341"/>
      <c r="BZ56" s="1341"/>
      <c r="CA56" s="1341"/>
      <c r="CB56" s="1341"/>
      <c r="CC56" s="1341"/>
      <c r="CD56" s="1341"/>
      <c r="CE56" s="1341"/>
      <c r="CF56" s="1341"/>
      <c r="CG56" s="1341"/>
      <c r="CH56" s="1341"/>
      <c r="CI56" s="1341"/>
      <c r="CJ56" s="1341"/>
      <c r="CK56" s="1341"/>
      <c r="CL56" s="1341"/>
      <c r="CM56" s="1341"/>
      <c r="CN56" s="1341"/>
      <c r="CO56" s="1341"/>
      <c r="CP56" s="1341"/>
      <c r="CQ56" s="1341"/>
      <c r="CR56" s="1341"/>
      <c r="CS56" s="1341"/>
      <c r="CT56" s="1341"/>
      <c r="CU56" s="1341"/>
      <c r="CV56" s="1341"/>
      <c r="CW56" s="1341"/>
      <c r="CX56" s="1341"/>
      <c r="CY56" s="1341"/>
      <c r="CZ56" s="1341"/>
      <c r="DA56" s="1341"/>
      <c r="DB56" s="1341"/>
      <c r="DC56" s="1341"/>
      <c r="DD56" s="1341"/>
      <c r="DE56" s="1341"/>
      <c r="DF56" s="1341"/>
      <c r="DG56" s="1341"/>
      <c r="DI56" s="496"/>
      <c r="DJ56" s="496" t="str">
        <f>IF(T56="","",T56)</f>
        <v>Добавить территорию для дифференциации</v>
      </c>
      <c r="DK56" s="496"/>
      <c r="DL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179</v>
      </c>
      <c r="U57" s="1341"/>
      <c r="V57" s="1341"/>
      <c r="W57" s="1341"/>
      <c r="X57" s="1341"/>
      <c r="Y57" s="1341"/>
      <c r="Z57" s="1341"/>
      <c r="AA57" s="1341"/>
      <c r="AB57" s="1341"/>
      <c r="AC57" s="1341"/>
      <c r="AD57" s="1341"/>
      <c r="AE57" s="1341"/>
      <c r="AF57" s="1341"/>
      <c r="AG57" s="1341"/>
      <c r="AH57" s="1341"/>
      <c r="AI57" s="1341"/>
      <c r="AJ57" s="1341"/>
      <c r="AK57" s="1341"/>
      <c r="AL57" s="1341"/>
      <c r="AM57" s="1341"/>
      <c r="AN57" s="1341"/>
      <c r="AO57" s="1341"/>
      <c r="AP57" s="1341"/>
      <c r="AQ57" s="1341"/>
      <c r="AR57" s="1341"/>
      <c r="AS57" s="1341"/>
      <c r="AT57" s="1341"/>
      <c r="AU57" s="1341"/>
      <c r="AV57" s="1341"/>
      <c r="AW57" s="1341"/>
      <c r="AX57" s="1341"/>
      <c r="AY57" s="1341"/>
      <c r="AZ57" s="1341"/>
      <c r="BA57" s="1341"/>
      <c r="BB57" s="1341"/>
      <c r="BC57" s="1341"/>
      <c r="BD57" s="1341"/>
      <c r="BE57" s="1341"/>
      <c r="BF57" s="1341"/>
      <c r="BG57" s="1341"/>
      <c r="BH57" s="1341"/>
      <c r="BI57" s="1341"/>
      <c r="BJ57" s="1341"/>
      <c r="BK57" s="1341"/>
      <c r="BL57" s="1341"/>
      <c r="BM57" s="1341"/>
      <c r="BN57" s="1341"/>
      <c r="BO57" s="1341"/>
      <c r="BP57" s="1341"/>
      <c r="BQ57" s="1341"/>
      <c r="BR57" s="1341"/>
      <c r="BS57" s="1341"/>
      <c r="BT57" s="1341"/>
      <c r="BU57" s="1341"/>
      <c r="BV57" s="1341"/>
      <c r="BW57" s="1341"/>
      <c r="BX57" s="1341"/>
      <c r="BY57" s="1341"/>
      <c r="BZ57" s="1341"/>
      <c r="CA57" s="1341"/>
      <c r="CB57" s="1341"/>
      <c r="CC57" s="1341"/>
      <c r="CD57" s="1341"/>
      <c r="CE57" s="1341"/>
      <c r="CF57" s="1341"/>
      <c r="CG57" s="1341"/>
      <c r="CH57" s="1341"/>
      <c r="CI57" s="1341"/>
      <c r="CJ57" s="1341"/>
      <c r="CK57" s="1341"/>
      <c r="CL57" s="1341"/>
      <c r="CM57" s="1341"/>
      <c r="CN57" s="1341"/>
      <c r="CO57" s="1341"/>
      <c r="CP57" s="1341"/>
      <c r="CQ57" s="1341"/>
      <c r="CR57" s="1341"/>
      <c r="CS57" s="1341"/>
      <c r="CT57" s="1341"/>
      <c r="CU57" s="1341"/>
      <c r="CV57" s="1341"/>
      <c r="CW57" s="1341"/>
      <c r="CX57" s="1341"/>
      <c r="CY57" s="1341"/>
      <c r="CZ57" s="1341"/>
      <c r="DA57" s="1341"/>
      <c r="DB57" s="1341"/>
      <c r="DC57" s="1341"/>
      <c r="DD57" s="1341"/>
      <c r="DE57" s="1341"/>
      <c r="DF57" s="1341"/>
      <c r="DG57" s="1341"/>
      <c r="DI57" s="783"/>
      <c r="DJ57" s="783" t="str">
        <f>IF(T57="","",T57)</f>
        <v>Добавить наименование тарифа</v>
      </c>
      <c r="DK57" s="783"/>
      <c r="DL57" s="783"/>
    </row>
    <row customHeight="1" ht="11.25">
      <c r="M58" s="1155"/>
      <c r="N58" s="1155"/>
      <c r="O58" s="533"/>
      <c r="P58" s="1150"/>
      <c r="Q58" s="1150"/>
      <c r="R58" s="1150"/>
      <c r="S58" s="1150"/>
      <c r="AL58" s="1660"/>
      <c r="AM58" s="1660"/>
      <c r="AN58" s="1660"/>
      <c r="AO58" s="1660"/>
      <c r="AP58" s="1660"/>
      <c r="AQ58" s="1660"/>
      <c r="AR58" s="1660"/>
      <c r="AS58" s="1660"/>
      <c r="AT58" s="1660"/>
      <c r="AU58" s="1660"/>
      <c r="AV58" s="1660"/>
      <c r="AW58" s="1660"/>
      <c r="AX58" s="1660"/>
      <c r="AY58" s="1660"/>
      <c r="AZ58" s="1660"/>
      <c r="BA58" s="1660"/>
      <c r="BB58" s="1660"/>
      <c r="BC58" s="1660"/>
      <c r="BD58" s="1660"/>
      <c r="BE58" s="1660"/>
      <c r="BF58" s="1660"/>
      <c r="BG58" s="1660"/>
      <c r="BH58" s="1660"/>
      <c r="BI58" s="1660"/>
      <c r="BJ58" s="1660"/>
      <c r="BK58" s="1660"/>
      <c r="BL58" s="1660"/>
      <c r="BM58" s="1660"/>
      <c r="BN58" s="1660"/>
      <c r="BO58" s="1660"/>
      <c r="BP58" s="1660"/>
      <c r="BQ58" s="1660"/>
      <c r="BR58" s="1660"/>
      <c r="BS58" s="1660"/>
      <c r="BT58" s="1660"/>
      <c r="BU58" s="1660"/>
      <c r="BV58" s="1660"/>
      <c r="BW58" s="1660"/>
      <c r="BX58" s="1660"/>
      <c r="BY58" s="1660"/>
      <c r="BZ58" s="1660"/>
      <c r="CA58" s="1660"/>
      <c r="CB58" s="1660"/>
      <c r="CC58" s="1660"/>
      <c r="CD58" s="1660"/>
      <c r="CE58" s="1660"/>
      <c r="CF58" s="1660"/>
      <c r="CG58" s="1660"/>
      <c r="CH58" s="1660"/>
      <c r="CI58" s="1660"/>
      <c r="CJ58" s="1660"/>
      <c r="CK58" s="1660"/>
      <c r="CL58" s="1660"/>
      <c r="CM58" s="1660"/>
      <c r="CN58" s="1660"/>
      <c r="CO58" s="1660"/>
      <c r="CP58" s="1660"/>
      <c r="CQ58" s="1660"/>
      <c r="CR58" s="1660"/>
      <c r="CS58" s="1660"/>
      <c r="CT58" s="1660"/>
      <c r="CU58" s="1660"/>
      <c r="CV58" s="1660"/>
      <c r="CW58" s="1660"/>
      <c r="CX58" s="1660"/>
      <c r="CY58" s="1660"/>
      <c r="CZ58" s="1660"/>
      <c r="DA58" s="1660"/>
      <c r="DB58" s="1660"/>
      <c r="DC58" s="1660"/>
      <c r="DD58" s="1660"/>
      <c r="DE58" s="1660"/>
      <c r="DH58" s="1150"/>
      <c r="DI58" s="1150"/>
      <c r="DJ58" s="1150"/>
      <c r="DK58" s="1150"/>
      <c r="DL58" s="1150"/>
    </row>
    <row customHeight="1" ht="18.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215"/>
      <c r="AM59" s="2215"/>
      <c r="AN59" s="2215"/>
      <c r="AO59" s="2215"/>
      <c r="AP59" s="2215"/>
      <c r="AQ59" s="2215"/>
      <c r="AR59" s="2215"/>
      <c r="AS59" s="2215"/>
      <c r="AT59" s="2215"/>
      <c r="AU59" s="2215"/>
      <c r="AV59" s="2215"/>
      <c r="AW59" s="2215"/>
      <c r="AX59" s="2215"/>
      <c r="AY59" s="2215"/>
      <c r="AZ59" s="2215"/>
      <c r="BA59" s="2215"/>
      <c r="BB59" s="2215"/>
      <c r="BC59" s="2215"/>
      <c r="BD59" s="2215"/>
      <c r="BE59" s="2215"/>
      <c r="BF59" s="2215"/>
      <c r="BG59" s="2215"/>
      <c r="BH59" s="2215"/>
      <c r="BI59" s="2215"/>
      <c r="BJ59" s="2215"/>
      <c r="BK59" s="2215"/>
      <c r="BL59" s="2215"/>
      <c r="BM59" s="2215"/>
      <c r="BN59" s="2215"/>
      <c r="BO59" s="2215"/>
      <c r="BP59" s="2215"/>
      <c r="BQ59" s="2215"/>
      <c r="BR59" s="2215"/>
      <c r="BS59" s="2215"/>
      <c r="BT59" s="2215"/>
      <c r="BU59" s="2215"/>
      <c r="BV59" s="2215"/>
      <c r="BW59" s="2215"/>
      <c r="BX59" s="2215"/>
      <c r="BY59" s="2215"/>
      <c r="BZ59" s="2215"/>
      <c r="CA59" s="2215"/>
      <c r="CB59" s="2215"/>
      <c r="CC59" s="2215"/>
      <c r="CD59" s="2215"/>
      <c r="CE59" s="2215"/>
      <c r="CF59" s="2215"/>
      <c r="CG59" s="2215"/>
      <c r="CH59" s="2215"/>
      <c r="CI59" s="2215"/>
      <c r="CJ59" s="2215"/>
      <c r="CK59" s="2215"/>
      <c r="CL59" s="2215"/>
      <c r="CM59" s="2215"/>
      <c r="CN59" s="2215"/>
      <c r="CO59" s="2215"/>
      <c r="CP59" s="2215"/>
      <c r="CQ59" s="2215"/>
      <c r="CR59" s="2215"/>
      <c r="CS59" s="2215"/>
      <c r="CT59" s="2215"/>
      <c r="CU59" s="2215"/>
      <c r="CV59" s="2215"/>
      <c r="CW59" s="2215"/>
      <c r="CX59" s="2215"/>
      <c r="CY59" s="2215"/>
      <c r="CZ59" s="2215"/>
      <c r="DA59" s="2215"/>
      <c r="DB59" s="2215"/>
      <c r="DC59" s="2215"/>
      <c r="DD59" s="2215"/>
      <c r="DE59" s="2215"/>
      <c r="DF59" s="2088"/>
      <c r="DG59" s="2088"/>
    </row>
    <row customHeight="1" ht="27.75">
      <c r="O60" s="533"/>
      <c r="T60" s="2088"/>
      <c r="U60" s="2088"/>
      <c r="V60" s="2088"/>
      <c r="W60" s="2088"/>
      <c r="X60" s="2088"/>
      <c r="Y60" s="2088"/>
      <c r="Z60" s="2088"/>
      <c r="AA60" s="2088"/>
      <c r="AB60" s="2088"/>
      <c r="AC60" s="2088"/>
      <c r="AD60" s="2088"/>
      <c r="AE60" s="2088"/>
      <c r="AF60" s="2088"/>
      <c r="AG60" s="2088"/>
      <c r="AH60" s="2088"/>
      <c r="AI60" s="2088"/>
      <c r="AJ60" s="2088"/>
      <c r="AK60" s="2088"/>
      <c r="AL60" s="2215"/>
      <c r="AM60" s="2215"/>
      <c r="AN60" s="2215"/>
      <c r="AO60" s="2215"/>
      <c r="AP60" s="2215"/>
      <c r="AQ60" s="2215"/>
      <c r="AR60" s="2215"/>
      <c r="AS60" s="2215"/>
      <c r="AT60" s="2215"/>
      <c r="AU60" s="2215"/>
      <c r="AV60" s="2215"/>
      <c r="AW60" s="2215"/>
      <c r="AX60" s="2215"/>
      <c r="AY60" s="2215"/>
      <c r="AZ60" s="2215"/>
      <c r="BA60" s="2215"/>
      <c r="BB60" s="2215"/>
      <c r="BC60" s="2215"/>
      <c r="BD60" s="2215"/>
      <c r="BE60" s="2215"/>
      <c r="BF60" s="2215"/>
      <c r="BG60" s="2215"/>
      <c r="BH60" s="2215"/>
      <c r="BI60" s="2215"/>
      <c r="BJ60" s="2215"/>
      <c r="BK60" s="2215"/>
      <c r="BL60" s="2215"/>
      <c r="BM60" s="2215"/>
      <c r="BN60" s="2215"/>
      <c r="BO60" s="2215"/>
      <c r="BP60" s="2215"/>
      <c r="BQ60" s="2215"/>
      <c r="BR60" s="2215"/>
      <c r="BS60" s="2215"/>
      <c r="BT60" s="2215"/>
      <c r="BU60" s="2215"/>
      <c r="BV60" s="2215"/>
      <c r="BW60" s="2215"/>
      <c r="BX60" s="2215"/>
      <c r="BY60" s="2215"/>
      <c r="BZ60" s="2215"/>
      <c r="CA60" s="2215"/>
      <c r="CB60" s="2215"/>
      <c r="CC60" s="2215"/>
      <c r="CD60" s="2215"/>
      <c r="CE60" s="2215"/>
      <c r="CF60" s="2215"/>
      <c r="CG60" s="2215"/>
      <c r="CH60" s="2215"/>
      <c r="CI60" s="2215"/>
      <c r="CJ60" s="2215"/>
      <c r="CK60" s="2215"/>
      <c r="CL60" s="2215"/>
      <c r="CM60" s="2215"/>
      <c r="CN60" s="2215"/>
      <c r="CO60" s="2215"/>
      <c r="CP60" s="2215"/>
      <c r="CQ60" s="2215"/>
      <c r="CR60" s="2215"/>
      <c r="CS60" s="2215"/>
      <c r="CT60" s="2215"/>
      <c r="CU60" s="2215"/>
      <c r="CV60" s="2215"/>
      <c r="CW60" s="2215"/>
      <c r="CX60" s="2215"/>
      <c r="CY60" s="2215"/>
      <c r="CZ60" s="2215"/>
      <c r="DA60" s="2215"/>
      <c r="DB60" s="2215"/>
      <c r="DC60" s="2215"/>
      <c r="DD60" s="2215"/>
      <c r="DE60" s="2215"/>
      <c r="DF60" s="2088"/>
      <c r="DG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215"/>
      <c r="AM61" s="2215"/>
      <c r="AN61" s="2215"/>
      <c r="AO61" s="2215"/>
      <c r="AP61" s="2215"/>
      <c r="AQ61" s="2215"/>
      <c r="AR61" s="2215"/>
      <c r="AS61" s="2215"/>
      <c r="AT61" s="2215"/>
      <c r="AU61" s="2215"/>
      <c r="AV61" s="2215"/>
      <c r="AW61" s="2215"/>
      <c r="AX61" s="2215"/>
      <c r="AY61" s="2215"/>
      <c r="AZ61" s="2215"/>
      <c r="BA61" s="2215"/>
      <c r="BB61" s="2215"/>
      <c r="BC61" s="2215"/>
      <c r="BD61" s="2215"/>
      <c r="BE61" s="2215"/>
      <c r="BF61" s="2215"/>
      <c r="BG61" s="2215"/>
      <c r="BH61" s="2215"/>
      <c r="BI61" s="2215"/>
      <c r="BJ61" s="2215"/>
      <c r="BK61" s="2215"/>
      <c r="BL61" s="2215"/>
      <c r="BM61" s="2215"/>
      <c r="BN61" s="2215"/>
      <c r="BO61" s="2215"/>
      <c r="BP61" s="2215"/>
      <c r="BQ61" s="2215"/>
      <c r="BR61" s="2215"/>
      <c r="BS61" s="2215"/>
      <c r="BT61" s="2215"/>
      <c r="BU61" s="2215"/>
      <c r="BV61" s="2215"/>
      <c r="BW61" s="2215"/>
      <c r="BX61" s="2215"/>
      <c r="BY61" s="2215"/>
      <c r="BZ61" s="2215"/>
      <c r="CA61" s="2215"/>
      <c r="CB61" s="2215"/>
      <c r="CC61" s="2215"/>
      <c r="CD61" s="2215"/>
      <c r="CE61" s="2215"/>
      <c r="CF61" s="2215"/>
      <c r="CG61" s="2215"/>
      <c r="CH61" s="2215"/>
      <c r="CI61" s="2215"/>
      <c r="CJ61" s="2215"/>
      <c r="CK61" s="2215"/>
      <c r="CL61" s="2215"/>
      <c r="CM61" s="2215"/>
      <c r="CN61" s="2215"/>
      <c r="CO61" s="2215"/>
      <c r="CP61" s="2215"/>
      <c r="CQ61" s="2215"/>
      <c r="CR61" s="2215"/>
      <c r="CS61" s="2215"/>
      <c r="CT61" s="2215"/>
      <c r="CU61" s="2215"/>
      <c r="CV61" s="2215"/>
      <c r="CW61" s="2215"/>
      <c r="CX61" s="2215"/>
      <c r="CY61" s="2215"/>
      <c r="CZ61" s="2215"/>
      <c r="DA61" s="2215"/>
      <c r="DB61" s="2215"/>
      <c r="DC61" s="2215"/>
      <c r="DD61" s="2215"/>
      <c r="DE61" s="2215"/>
      <c r="DF61" s="2088"/>
      <c r="DG61" s="2088"/>
    </row>
    <row customHeight="1" ht="14.25">
      <c r="O62" s="533"/>
      <c r="AL62" s="1660"/>
      <c r="AM62" s="1660"/>
      <c r="AN62" s="1660"/>
      <c r="AO62" s="1660"/>
      <c r="AP62" s="1660"/>
      <c r="AQ62" s="1660"/>
      <c r="AR62" s="1660"/>
      <c r="AS62" s="1660"/>
      <c r="AT62" s="1660"/>
      <c r="AU62" s="1660"/>
      <c r="AV62" s="1660"/>
      <c r="AW62" s="1660"/>
      <c r="AX62" s="1660"/>
      <c r="AY62" s="1660"/>
      <c r="AZ62" s="1660"/>
      <c r="BA62" s="1660"/>
      <c r="BB62" s="1660"/>
      <c r="BC62" s="1660"/>
      <c r="BD62" s="1660"/>
      <c r="BE62" s="1660"/>
      <c r="BF62" s="1660"/>
      <c r="BG62" s="1660"/>
      <c r="BH62" s="1660"/>
      <c r="BI62" s="1660"/>
      <c r="BJ62" s="1660"/>
      <c r="BK62" s="1660"/>
      <c r="BL62" s="1660"/>
      <c r="BM62" s="1660"/>
      <c r="BN62" s="1660"/>
      <c r="BO62" s="1660"/>
      <c r="BP62" s="1660"/>
      <c r="BQ62" s="1660"/>
      <c r="BR62" s="1660"/>
      <c r="BS62" s="1660"/>
      <c r="BT62" s="1660"/>
      <c r="BU62" s="1660"/>
      <c r="BV62" s="1660"/>
      <c r="BW62" s="1660"/>
      <c r="BX62" s="1660"/>
      <c r="BY62" s="1660"/>
      <c r="BZ62" s="1660"/>
      <c r="CA62" s="1660"/>
      <c r="CB62" s="1660"/>
      <c r="CC62" s="1660"/>
      <c r="CD62" s="1660"/>
      <c r="CE62" s="1660"/>
      <c r="CF62" s="1660"/>
      <c r="CG62" s="1660"/>
      <c r="CH62" s="1660"/>
      <c r="CI62" s="1660"/>
      <c r="CJ62" s="1660"/>
      <c r="CK62" s="1660"/>
      <c r="CL62" s="1660"/>
      <c r="CM62" s="1660"/>
      <c r="CN62" s="1660"/>
      <c r="CO62" s="1660"/>
      <c r="CP62" s="1660"/>
      <c r="CQ62" s="1660"/>
      <c r="CR62" s="1660"/>
      <c r="CS62" s="1660"/>
      <c r="CT62" s="1660"/>
      <c r="CU62" s="1660"/>
      <c r="CV62" s="1660"/>
      <c r="CW62" s="1660"/>
      <c r="CX62" s="1660"/>
      <c r="CY62" s="1660"/>
      <c r="CZ62" s="1660"/>
      <c r="DA62" s="1660"/>
      <c r="DB62" s="1660"/>
      <c r="DC62" s="1660"/>
      <c r="DD62" s="1660"/>
      <c r="DE62" s="1660"/>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215"/>
      <c r="AM63" s="2215"/>
      <c r="AN63" s="2215"/>
      <c r="AO63" s="2215"/>
      <c r="AP63" s="2215"/>
      <c r="AQ63" s="2215"/>
      <c r="AR63" s="2215"/>
      <c r="AS63" s="2215"/>
      <c r="AT63" s="2215"/>
      <c r="AU63" s="2215"/>
      <c r="AV63" s="2215"/>
      <c r="AW63" s="2215"/>
      <c r="AX63" s="2215"/>
      <c r="AY63" s="2215"/>
      <c r="AZ63" s="2215"/>
      <c r="BA63" s="2215"/>
      <c r="BB63" s="2215"/>
      <c r="BC63" s="2215"/>
      <c r="BD63" s="2215"/>
      <c r="BE63" s="2215"/>
      <c r="BF63" s="2215"/>
      <c r="BG63" s="2215"/>
      <c r="BH63" s="2215"/>
      <c r="BI63" s="2215"/>
      <c r="BJ63" s="2215"/>
      <c r="BK63" s="2215"/>
      <c r="BL63" s="2215"/>
      <c r="BM63" s="2215"/>
      <c r="BN63" s="2215"/>
      <c r="BO63" s="2215"/>
      <c r="BP63" s="2215"/>
      <c r="BQ63" s="2215"/>
      <c r="BR63" s="2215"/>
      <c r="BS63" s="2215"/>
      <c r="BT63" s="2215"/>
      <c r="BU63" s="2215"/>
      <c r="BV63" s="2215"/>
      <c r="BW63" s="2215"/>
      <c r="BX63" s="2215"/>
      <c r="BY63" s="2215"/>
      <c r="BZ63" s="2215"/>
      <c r="CA63" s="2215"/>
      <c r="CB63" s="2215"/>
      <c r="CC63" s="2215"/>
      <c r="CD63" s="2215"/>
      <c r="CE63" s="2215"/>
      <c r="CF63" s="2215"/>
      <c r="CG63" s="2215"/>
      <c r="CH63" s="2215"/>
      <c r="CI63" s="2215"/>
      <c r="CJ63" s="2215"/>
      <c r="CK63" s="2215"/>
      <c r="CL63" s="2215"/>
      <c r="CM63" s="2215"/>
      <c r="CN63" s="2215"/>
      <c r="CO63" s="2215"/>
      <c r="CP63" s="2215"/>
      <c r="CQ63" s="2215"/>
      <c r="CR63" s="2215"/>
      <c r="CS63" s="2215"/>
      <c r="CT63" s="2215"/>
      <c r="CU63" s="2215"/>
      <c r="CV63" s="2215"/>
      <c r="CW63" s="2215"/>
      <c r="CX63" s="2215"/>
      <c r="CY63" s="2215"/>
      <c r="CZ63" s="2215"/>
      <c r="DA63" s="2215"/>
      <c r="DB63" s="2215"/>
      <c r="DC63" s="2215"/>
      <c r="DD63" s="2215"/>
      <c r="DE63" s="2215"/>
      <c r="DF63" s="2088"/>
      <c r="DG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215"/>
      <c r="AM64" s="2215"/>
      <c r="AN64" s="2215"/>
      <c r="AO64" s="2215"/>
      <c r="AP64" s="2215"/>
      <c r="AQ64" s="2215"/>
      <c r="AR64" s="2215"/>
      <c r="AS64" s="2215"/>
      <c r="AT64" s="2215"/>
      <c r="AU64" s="2215"/>
      <c r="AV64" s="2215"/>
      <c r="AW64" s="2215"/>
      <c r="AX64" s="2215"/>
      <c r="AY64" s="2215"/>
      <c r="AZ64" s="2215"/>
      <c r="BA64" s="2215"/>
      <c r="BB64" s="2215"/>
      <c r="BC64" s="2215"/>
      <c r="BD64" s="2215"/>
      <c r="BE64" s="2215"/>
      <c r="BF64" s="2215"/>
      <c r="BG64" s="2215"/>
      <c r="BH64" s="2215"/>
      <c r="BI64" s="2215"/>
      <c r="BJ64" s="2215"/>
      <c r="BK64" s="2215"/>
      <c r="BL64" s="2215"/>
      <c r="BM64" s="2215"/>
      <c r="BN64" s="2215"/>
      <c r="BO64" s="2215"/>
      <c r="BP64" s="2215"/>
      <c r="BQ64" s="2215"/>
      <c r="BR64" s="2215"/>
      <c r="BS64" s="2215"/>
      <c r="BT64" s="2215"/>
      <c r="BU64" s="2215"/>
      <c r="BV64" s="2215"/>
      <c r="BW64" s="2215"/>
      <c r="BX64" s="2215"/>
      <c r="BY64" s="2215"/>
      <c r="BZ64" s="2215"/>
      <c r="CA64" s="2215"/>
      <c r="CB64" s="2215"/>
      <c r="CC64" s="2215"/>
      <c r="CD64" s="2215"/>
      <c r="CE64" s="2215"/>
      <c r="CF64" s="2215"/>
      <c r="CG64" s="2215"/>
      <c r="CH64" s="2215"/>
      <c r="CI64" s="2215"/>
      <c r="CJ64" s="2215"/>
      <c r="CK64" s="2215"/>
      <c r="CL64" s="2215"/>
      <c r="CM64" s="2215"/>
      <c r="CN64" s="2215"/>
      <c r="CO64" s="2215"/>
      <c r="CP64" s="2215"/>
      <c r="CQ64" s="2215"/>
      <c r="CR64" s="2215"/>
      <c r="CS64" s="2215"/>
      <c r="CT64" s="2215"/>
      <c r="CU64" s="2215"/>
      <c r="CV64" s="2215"/>
      <c r="CW64" s="2215"/>
      <c r="CX64" s="2215"/>
      <c r="CY64" s="2215"/>
      <c r="CZ64" s="2215"/>
      <c r="DA64" s="2215"/>
      <c r="DB64" s="2215"/>
      <c r="DC64" s="2215"/>
      <c r="DD64" s="2215"/>
      <c r="DE64" s="2215"/>
      <c r="DF64" s="2088"/>
      <c r="DG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215"/>
      <c r="AM65" s="2215"/>
      <c r="AN65" s="2215"/>
      <c r="AO65" s="2215"/>
      <c r="AP65" s="2215"/>
      <c r="AQ65" s="2215"/>
      <c r="AR65" s="2215"/>
      <c r="AS65" s="2215"/>
      <c r="AT65" s="2215"/>
      <c r="AU65" s="2215"/>
      <c r="AV65" s="2215"/>
      <c r="AW65" s="2215"/>
      <c r="AX65" s="2215"/>
      <c r="AY65" s="2215"/>
      <c r="AZ65" s="2215"/>
      <c r="BA65" s="2215"/>
      <c r="BB65" s="2215"/>
      <c r="BC65" s="2215"/>
      <c r="BD65" s="2215"/>
      <c r="BE65" s="2215"/>
      <c r="BF65" s="2215"/>
      <c r="BG65" s="2215"/>
      <c r="BH65" s="2215"/>
      <c r="BI65" s="2215"/>
      <c r="BJ65" s="2215"/>
      <c r="BK65" s="2215"/>
      <c r="BL65" s="2215"/>
      <c r="BM65" s="2215"/>
      <c r="BN65" s="2215"/>
      <c r="BO65" s="2215"/>
      <c r="BP65" s="2215"/>
      <c r="BQ65" s="2215"/>
      <c r="BR65" s="2215"/>
      <c r="BS65" s="2215"/>
      <c r="BT65" s="2215"/>
      <c r="BU65" s="2215"/>
      <c r="BV65" s="2215"/>
      <c r="BW65" s="2215"/>
      <c r="BX65" s="2215"/>
      <c r="BY65" s="2215"/>
      <c r="BZ65" s="2215"/>
      <c r="CA65" s="2215"/>
      <c r="CB65" s="2215"/>
      <c r="CC65" s="2215"/>
      <c r="CD65" s="2215"/>
      <c r="CE65" s="2215"/>
      <c r="CF65" s="2215"/>
      <c r="CG65" s="2215"/>
      <c r="CH65" s="2215"/>
      <c r="CI65" s="2215"/>
      <c r="CJ65" s="2215"/>
      <c r="CK65" s="2215"/>
      <c r="CL65" s="2215"/>
      <c r="CM65" s="2215"/>
      <c r="CN65" s="2215"/>
      <c r="CO65" s="2215"/>
      <c r="CP65" s="2215"/>
      <c r="CQ65" s="2215"/>
      <c r="CR65" s="2215"/>
      <c r="CS65" s="2215"/>
      <c r="CT65" s="2215"/>
      <c r="CU65" s="2215"/>
      <c r="CV65" s="2215"/>
      <c r="CW65" s="2215"/>
      <c r="CX65" s="2215"/>
      <c r="CY65" s="2215"/>
      <c r="CZ65" s="2215"/>
      <c r="DA65" s="2215"/>
      <c r="DB65" s="2215"/>
      <c r="DC65" s="2215"/>
      <c r="DD65" s="2215"/>
      <c r="DE65" s="2215"/>
      <c r="DF65" s="2088"/>
      <c r="DG65" s="2088"/>
    </row>
  </sheetData>
  <sheetProtection formatColumns="0" formatRows="0" autoFilter="0" sort="0" insertRows="0" insertColumns="1" deleteRows="0" deleteColumns="0"/>
  <mergeCells count="320">
    <mergeCell ref="V47:AC47"/>
    <mergeCell ref="AD47:DF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DF38"/>
    <mergeCell ref="S26:AJ26"/>
    <mergeCell ref="S27:AJ27"/>
    <mergeCell ref="AC49:AC50"/>
    <mergeCell ref="AA49:AA50"/>
    <mergeCell ref="AB49:AB50"/>
    <mergeCell ref="AH49:AH50"/>
    <mergeCell ref="AI49:AI50"/>
    <mergeCell ref="DG8:DG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DG38:DG41"/>
    <mergeCell ref="S39:S41"/>
    <mergeCell ref="T39:T41"/>
    <mergeCell ref="V39:AB39"/>
    <mergeCell ref="AC39:AC41"/>
    <mergeCell ref="AD39:AJ39"/>
    <mergeCell ref="AK39:AK41"/>
    <mergeCell ref="DF39:DF41"/>
    <mergeCell ref="V40:V41"/>
    <mergeCell ref="W40:W41"/>
    <mergeCell ref="X40:Y40"/>
    <mergeCell ref="Z40:AB40"/>
    <mergeCell ref="AD40:AD41"/>
    <mergeCell ref="DG49:DG51"/>
    <mergeCell ref="T59:DG59"/>
    <mergeCell ref="T60:DG60"/>
    <mergeCell ref="AA42:AB42"/>
    <mergeCell ref="AI42:AJ42"/>
    <mergeCell ref="E43:E56"/>
    <mergeCell ref="V43:AC43"/>
    <mergeCell ref="AD43:DF43"/>
    <mergeCell ref="F44:F55"/>
    <mergeCell ref="V44:AC44"/>
    <mergeCell ref="AD44:DF44"/>
    <mergeCell ref="G45:G54"/>
    <mergeCell ref="V45:AC45"/>
    <mergeCell ref="AD45:DF45"/>
    <mergeCell ref="H46:H53"/>
    <mergeCell ref="V46:AC46"/>
    <mergeCell ref="AD46:DF46"/>
    <mergeCell ref="P47:P52"/>
    <mergeCell ref="J48:J51"/>
    <mergeCell ref="Q48:Q51"/>
    <mergeCell ref="V48:AC48"/>
    <mergeCell ref="AD48:DF48"/>
    <mergeCell ref="K49:K50"/>
    <mergeCell ref="Z49:Z50"/>
    <mergeCell ref="T64:DG64"/>
    <mergeCell ref="T65:DG65"/>
    <mergeCell ref="S35:T35"/>
    <mergeCell ref="V35:AB35"/>
    <mergeCell ref="AD35:AJ35"/>
    <mergeCell ref="S34:T34"/>
    <mergeCell ref="V34:AB34"/>
    <mergeCell ref="AD34:AJ34"/>
    <mergeCell ref="V2:AC2"/>
    <mergeCell ref="AD2:DF2"/>
    <mergeCell ref="V3:AC3"/>
    <mergeCell ref="AD3:DF3"/>
    <mergeCell ref="V4:AC4"/>
    <mergeCell ref="AD4:DF4"/>
    <mergeCell ref="V5:AC5"/>
    <mergeCell ref="AD5:DF5"/>
    <mergeCell ref="V6:AC6"/>
    <mergeCell ref="AD6:DF6"/>
    <mergeCell ref="V7:AC7"/>
    <mergeCell ref="AD7:DF7"/>
    <mergeCell ref="T63:DG63"/>
    <mergeCell ref="T61:DG61"/>
    <mergeCell ref="AJ49:AJ50"/>
    <mergeCell ref="AK49:AK50"/>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 ref="AX8:AX9"/>
    <mergeCell ref="AY8:AY9"/>
    <mergeCell ref="AZ8:AZ9"/>
    <mergeCell ref="BA8:BA9"/>
    <mergeCell ref="AT29:AZ29"/>
    <mergeCell ref="AT30:AZ30"/>
    <mergeCell ref="AT31:AZ31"/>
    <mergeCell ref="AT32:AZ32"/>
    <mergeCell ref="AT34:AZ34"/>
    <mergeCell ref="AT35:AZ35"/>
    <mergeCell ref="AT37:BA37"/>
    <mergeCell ref="AT39:AZ39"/>
    <mergeCell ref="BA39:BA41"/>
    <mergeCell ref="AT40:AT41"/>
    <mergeCell ref="AU40:AU41"/>
    <mergeCell ref="AV40:AW40"/>
    <mergeCell ref="AX40:AZ40"/>
    <mergeCell ref="AY41:AZ41"/>
    <mergeCell ref="AY42:AZ42"/>
    <mergeCell ref="AX49:AX50"/>
    <mergeCell ref="AY49:AY50"/>
    <mergeCell ref="AZ49:AZ50"/>
    <mergeCell ref="BA49:BA50"/>
    <mergeCell ref="BF8:BF9"/>
    <mergeCell ref="BG8:BG9"/>
    <mergeCell ref="BH8:BH9"/>
    <mergeCell ref="BI8:BI9"/>
    <mergeCell ref="BB29:BH29"/>
    <mergeCell ref="BB30:BH30"/>
    <mergeCell ref="BB31:BH31"/>
    <mergeCell ref="BB32:BH32"/>
    <mergeCell ref="BB34:BH34"/>
    <mergeCell ref="BB35:BH35"/>
    <mergeCell ref="BB37:BI37"/>
    <mergeCell ref="BB39:BH39"/>
    <mergeCell ref="BI39:BI41"/>
    <mergeCell ref="BB40:BB41"/>
    <mergeCell ref="BC40:BC41"/>
    <mergeCell ref="BD40:BE40"/>
    <mergeCell ref="BF40:BH40"/>
    <mergeCell ref="BG41:BH41"/>
    <mergeCell ref="BG42:BH42"/>
    <mergeCell ref="BF49:BF50"/>
    <mergeCell ref="BG49:BG50"/>
    <mergeCell ref="BH49:BH50"/>
    <mergeCell ref="BI49:BI50"/>
    <mergeCell ref="BN8:BN9"/>
    <mergeCell ref="BO8:BO9"/>
    <mergeCell ref="BP8:BP9"/>
    <mergeCell ref="BQ8:BQ9"/>
    <mergeCell ref="BJ29:BP29"/>
    <mergeCell ref="BJ30:BP30"/>
    <mergeCell ref="BJ31:BP31"/>
    <mergeCell ref="BJ32:BP32"/>
    <mergeCell ref="BJ34:BP34"/>
    <mergeCell ref="BJ35:BP35"/>
    <mergeCell ref="BJ37:BQ37"/>
    <mergeCell ref="BJ39:BP39"/>
    <mergeCell ref="BQ39:BQ41"/>
    <mergeCell ref="BJ40:BJ41"/>
    <mergeCell ref="BK40:BK41"/>
    <mergeCell ref="BL40:BM40"/>
    <mergeCell ref="BN40:BP40"/>
    <mergeCell ref="BO41:BP41"/>
    <mergeCell ref="BO42:BP42"/>
    <mergeCell ref="BN49:BN50"/>
    <mergeCell ref="BO49:BO50"/>
    <mergeCell ref="BP49:BP50"/>
    <mergeCell ref="BQ49:BQ50"/>
    <mergeCell ref="BV8:BV9"/>
    <mergeCell ref="BW8:BW9"/>
    <mergeCell ref="BX8:BX9"/>
    <mergeCell ref="BY8:BY9"/>
    <mergeCell ref="BR29:BX29"/>
    <mergeCell ref="BR30:BX30"/>
    <mergeCell ref="BR31:BX31"/>
    <mergeCell ref="BR32:BX32"/>
    <mergeCell ref="BR34:BX34"/>
    <mergeCell ref="BR35:BX35"/>
    <mergeCell ref="BR37:BY37"/>
    <mergeCell ref="BR39:BX39"/>
    <mergeCell ref="BY39:BY41"/>
    <mergeCell ref="BR40:BR41"/>
    <mergeCell ref="BS40:BS41"/>
    <mergeCell ref="BT40:BU40"/>
    <mergeCell ref="BV40:BX40"/>
    <mergeCell ref="BW41:BX41"/>
    <mergeCell ref="BW42:BX42"/>
    <mergeCell ref="BV49:BV50"/>
    <mergeCell ref="BW49:BW50"/>
    <mergeCell ref="BX49:BX50"/>
    <mergeCell ref="BY49:BY50"/>
    <mergeCell ref="CD8:CD9"/>
    <mergeCell ref="CE8:CE9"/>
    <mergeCell ref="CF8:CF9"/>
    <mergeCell ref="CG8:CG9"/>
    <mergeCell ref="BZ29:CF29"/>
    <mergeCell ref="BZ30:CF30"/>
    <mergeCell ref="BZ31:CF31"/>
    <mergeCell ref="BZ32:CF32"/>
    <mergeCell ref="BZ34:CF34"/>
    <mergeCell ref="BZ35:CF35"/>
    <mergeCell ref="BZ37:CG37"/>
    <mergeCell ref="BZ39:CF39"/>
    <mergeCell ref="CG39:CG41"/>
    <mergeCell ref="BZ40:BZ41"/>
    <mergeCell ref="CA40:CA41"/>
    <mergeCell ref="CB40:CC40"/>
    <mergeCell ref="CD40:CF40"/>
    <mergeCell ref="CE41:CF41"/>
    <mergeCell ref="CE42:CF42"/>
    <mergeCell ref="CD49:CD50"/>
    <mergeCell ref="CE49:CE50"/>
    <mergeCell ref="CF49:CF50"/>
    <mergeCell ref="CG49:CG50"/>
    <mergeCell ref="CL8:CL9"/>
    <mergeCell ref="CM8:CM9"/>
    <mergeCell ref="CN8:CN9"/>
    <mergeCell ref="CO8:CO9"/>
    <mergeCell ref="CH29:CN29"/>
    <mergeCell ref="CH30:CN30"/>
    <mergeCell ref="CH31:CN31"/>
    <mergeCell ref="CH32:CN32"/>
    <mergeCell ref="CH34:CN34"/>
    <mergeCell ref="CH35:CN35"/>
    <mergeCell ref="CH37:CO37"/>
    <mergeCell ref="CH39:CN39"/>
    <mergeCell ref="CO39:CO41"/>
    <mergeCell ref="CH40:CH41"/>
    <mergeCell ref="CI40:CI41"/>
    <mergeCell ref="CJ40:CK40"/>
    <mergeCell ref="CL40:CN40"/>
    <mergeCell ref="CM41:CN41"/>
    <mergeCell ref="CM42:CN42"/>
    <mergeCell ref="CL49:CL50"/>
    <mergeCell ref="CM49:CM50"/>
    <mergeCell ref="CN49:CN50"/>
    <mergeCell ref="CO49:CO50"/>
    <mergeCell ref="CT8:CT9"/>
    <mergeCell ref="CU8:CU9"/>
    <mergeCell ref="CV8:CV9"/>
    <mergeCell ref="CW8:CW9"/>
    <mergeCell ref="CP29:CV29"/>
    <mergeCell ref="CP30:CV30"/>
    <mergeCell ref="CP31:CV31"/>
    <mergeCell ref="CP32:CV32"/>
    <mergeCell ref="CP34:CV34"/>
    <mergeCell ref="CP35:CV35"/>
    <mergeCell ref="CP37:CW37"/>
    <mergeCell ref="CP39:CV39"/>
    <mergeCell ref="CW39:CW41"/>
    <mergeCell ref="CP40:CP41"/>
    <mergeCell ref="CQ40:CQ41"/>
    <mergeCell ref="CR40:CS40"/>
    <mergeCell ref="CT40:CV40"/>
    <mergeCell ref="CU41:CV41"/>
    <mergeCell ref="CU42:CV42"/>
    <mergeCell ref="CT49:CT50"/>
    <mergeCell ref="CU49:CU50"/>
    <mergeCell ref="CV49:CV50"/>
    <mergeCell ref="CW49:CW50"/>
    <mergeCell ref="DB8:DB9"/>
    <mergeCell ref="DC8:DC9"/>
    <mergeCell ref="DD8:DD9"/>
    <mergeCell ref="DE8:DE9"/>
    <mergeCell ref="CX29:DD29"/>
    <mergeCell ref="CX30:DD30"/>
    <mergeCell ref="CX31:DD31"/>
    <mergeCell ref="CX32:DD32"/>
    <mergeCell ref="CX34:DD34"/>
    <mergeCell ref="CX35:DD35"/>
    <mergeCell ref="CX37:DE37"/>
    <mergeCell ref="CX39:DD39"/>
    <mergeCell ref="DE39:DE41"/>
    <mergeCell ref="CX40:CX41"/>
    <mergeCell ref="CY40:CY41"/>
    <mergeCell ref="CZ40:DA40"/>
    <mergeCell ref="DB40:DD40"/>
    <mergeCell ref="DC41:DD41"/>
    <mergeCell ref="DC42:DD42"/>
    <mergeCell ref="DB49:DB50"/>
    <mergeCell ref="DC49:DC50"/>
    <mergeCell ref="DD49:DD50"/>
    <mergeCell ref="DE49:DE50"/>
  </mergeCells>
  <dataValidations count="8">
    <dataValidation allowBlank="1" sqref="S131123:DG131129 S196659:DG196665 S262195:DG262201 S327731:DG327737 S393267:DG393273 S458803:DG458809 S524339:DG524345 S589875:DG589881 S655411:DG655417 S720947:DG720953 S786483:DG786489 S852019:DG852025 S917555:DG917561 S983091:DG983097 S65587:DG65593"/>
    <dataValidation type="list" allowBlank="1" showInputMessage="1" errorTitle="Ошибка" error="Выберите значение из списка" prompt="Выберите значение из списка" sqref="V983088:DF983088 V65584:DF65584 V131120:DF131120 V196656:DF196656 V262192:DF262192 V327728:DF327728 V393264:DF393264 V458800:DF458800 V524336:DF524336 V589872:DF589872 V655408:DF655408 V720944:DF720944 V786480:DF786480 V852016:DF852016 V917552:DF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DG65579:DG65586 DG131115:DG131122 DG196651:DG196658 DG262187:DG262194 DG327723:DG327730 DG393259:DG393266 DG458795:DG458802 DG524331:DG524338 DG589867:DG589874 DG655403:DG655410 DG720939:DG720946 DG786475:DG786482 DG852011:DG852018 DG917547:DG917554 DG983083:DG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AX8 AZ8 AX49 AZ49 BF8 BH8 BF49 BH49 BN8 BP8 BN49 BP49 BV8 BX8 BV49 BX49 CD8 CF8 CD49 CF49 CL8 CN8 CL49 CN49 CT8 CV8 CT49 CV49 DB8 DD8 DB49 DD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DE393265 AK49 AQ49 AS49 AY49 BA49 BG49 BI49 BO49 BQ49 BW49 BY49 CE49 CG49 CM49 CO49 CU49 CW49 DC49 DE49 AK524337:DE524337 AK8 AQ8 AS8 AY8 BA8 BG8 BI8 BO8 BQ8 BW8 BY8 CE8 CG8 CM8 CO8 CU8 CW8 DC8 DE8 AK589873:DE589873 AK655409:DE655409 AK17 AK720945:DE720945 AK786481:DE786481 AK852017:DE852017 AK917553:DE917553 AK983089:DE983089 AK65585:DE65585 AK131121:DE131121 AK458801:DE458801 AI49 AK196657:DE196657 AI8 AC8 AA8 AI17 AK262193:DE262193 AA49 AC49 AK327729:DE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AW9 AW50 BE9 BE50 BM9 BM50 BU9 BU50 CC9 CC50 CK9 CK50 CS9 CS50 DA9 DA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8BA193-A008-870D-1176-709108F491B3}"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A1" s="1896"/>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410</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411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412</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413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414</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415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416</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417</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420</v>
      </c>
      <c r="M7" s="533"/>
      <c r="N7" s="1383"/>
      <c r="P7" s="2093"/>
      <c r="Q7" s="2093">
        <v>1</v>
      </c>
      <c r="R7" s="345"/>
      <c r="S7" s="1353">
        <f>$J7</f>
      </c>
      <c r="T7" s="267" t="s">
        <v>421</v>
      </c>
      <c r="U7" s="280"/>
      <c r="V7" s="2077"/>
      <c r="W7" s="2078"/>
      <c r="X7" s="2078"/>
      <c r="Y7" s="2078"/>
      <c r="Z7" s="2078"/>
      <c r="AA7" s="2078"/>
      <c r="AB7" s="2078"/>
      <c r="AC7" s="2079"/>
      <c r="AD7" s="2077"/>
      <c r="AE7" s="2078"/>
      <c r="AF7" s="2078"/>
      <c r="AG7" s="2078"/>
      <c r="AH7" s="2078"/>
      <c r="AI7" s="2078"/>
      <c r="AJ7" s="2078"/>
      <c r="AK7" s="2078"/>
      <c r="AL7" s="2079"/>
      <c r="AM7" s="1273" t="s">
        <v>422</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423</v>
      </c>
      <c r="M8" s="533"/>
      <c r="N8" s="1383"/>
      <c r="O8" s="1383"/>
      <c r="P8" s="2093"/>
      <c r="Q8" s="2093"/>
      <c r="R8" s="345">
        <v>1</v>
      </c>
      <c r="S8" s="1353">
        <f>$K8</f>
      </c>
      <c r="T8" s="1364"/>
      <c r="U8" s="280"/>
      <c r="V8" s="746"/>
      <c r="W8" s="312"/>
      <c r="X8" s="746"/>
      <c r="Y8" s="1272"/>
      <c r="Z8" s="2094"/>
      <c r="AA8" s="1963" t="s">
        <v>61</v>
      </c>
      <c r="AB8" s="2094"/>
      <c r="AC8" s="1963" t="s">
        <v>61</v>
      </c>
      <c r="AD8" s="746"/>
      <c r="AE8" s="312"/>
      <c r="AF8" s="746"/>
      <c r="AG8" s="1272"/>
      <c r="AH8" s="2094"/>
      <c r="AI8" s="1963" t="s">
        <v>61</v>
      </c>
      <c r="AJ8" s="2094"/>
      <c r="AK8" s="1963" t="s">
        <v>61</v>
      </c>
      <c r="AL8" s="312"/>
      <c r="AM8" s="2119" t="s">
        <v>424</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425</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426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160</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161</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162</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61</v>
      </c>
      <c r="AJ17" s="2087"/>
      <c r="AK17" s="2086" t="s">
        <v>61</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428</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429</v>
      </c>
      <c r="P22" s="1379"/>
      <c r="Q22" s="1388"/>
      <c r="R22" s="1388"/>
      <c r="S22" s="724"/>
      <c r="T22" s="1155" t="s">
        <v>430</v>
      </c>
      <c r="AA22" s="166" t="s">
        <v>431</v>
      </c>
      <c r="AC22" s="166" t="s">
        <v>432</v>
      </c>
      <c r="AD22" s="1155" t="s">
        <v>430</v>
      </c>
      <c r="AI22" s="166" t="s">
        <v>433</v>
      </c>
      <c r="AK22" s="166" t="s">
        <v>432</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75">
      <c r="Q26" s="368"/>
      <c r="R26" s="368"/>
      <c r="S26" s="2133"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3"/>
      <c r="U26" s="2133"/>
      <c r="V26" s="2133"/>
      <c r="W26" s="2133"/>
      <c r="X26" s="2133"/>
      <c r="Y26" s="2133"/>
      <c r="Z26" s="2133"/>
      <c r="AA26" s="2133"/>
      <c r="AB26" s="2133"/>
      <c r="AC26" s="2133"/>
      <c r="AD26" s="2133"/>
      <c r="AE26" s="2133"/>
      <c r="AF26" s="2133"/>
      <c r="AG26" s="2133"/>
      <c r="AH26" s="2133"/>
      <c r="AI26" s="2133"/>
      <c r="AJ26" s="2133"/>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тарифам Санкт-Петербурга</v>
      </c>
      <c r="W29" s="2082"/>
      <c r="X29" s="2082"/>
      <c r="Y29" s="2082"/>
      <c r="Z29" s="2082"/>
      <c r="AA29" s="2082"/>
      <c r="AB29" s="2082"/>
      <c r="AC29" s="314"/>
      <c r="AD29" s="2082" t="str">
        <f>IF(TITLE_NAME_OR_PR_CHANGE="",IF(TITLE_NAME_OR_PR="","",TITLE_NAME_OR_PR),TITLE_NAME_OR_PR_CHANGE)</f>
        <v>Комитет по тарифам Санкт-Петербурга</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434</v>
      </c>
      <c r="T30" s="2080"/>
      <c r="U30" s="1389"/>
      <c r="V30" s="2081" t="str">
        <f>IF(TITLE_DATE_PR_CHANGE="",IF(TITLE_DATE_PR="","",TITLE_DATE_PR),TITLE_DATE_PR_CHANGE)</f>
        <v>45280.49324074074</v>
      </c>
      <c r="W30" s="2081"/>
      <c r="X30" s="2081"/>
      <c r="Y30" s="2081"/>
      <c r="Z30" s="2081"/>
      <c r="AA30" s="2081"/>
      <c r="AB30" s="2081"/>
      <c r="AC30" s="314"/>
      <c r="AD30" s="2081" t="str">
        <f>IF(TITLE_DATE_PR_CHANGE="",IF(TITLE_DATE_PR="","",TITLE_DATE_PR),TITLE_DATE_PR_CHANGE)</f>
        <v>45280.49324074074</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435</v>
      </c>
      <c r="T31" s="2080"/>
      <c r="U31" s="1389"/>
      <c r="V31" s="2082" t="str">
        <f>IF(TITLE_NUMBER_PR_CHANGE="",IF(TITLE_NUMBER_PR="","",TITLE_NUMBER_PR),TITLE_NUMBER_PR_CHANGE)</f>
        <v>262-р</v>
      </c>
      <c r="W31" s="2082"/>
      <c r="X31" s="2082"/>
      <c r="Y31" s="2082"/>
      <c r="Z31" s="2082"/>
      <c r="AA31" s="2082"/>
      <c r="AB31" s="2082"/>
      <c r="AC31" s="314"/>
      <c r="AD31" s="2082" t="str">
        <f>IF(TITLE_NUMBER_PR_CHANGE="",IF(TITLE_NUMBER_PR="","",TITLE_NUMBER_PR),TITLE_NUMBER_PR_CHANGE)</f>
        <v>262-р</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https://www.gov.spb.ru/static/writable/documents/2023/12/22/%D0%BE%D1%82_20.12.2023__262-%D1%80.pdf</v>
      </c>
      <c r="W32" s="2082"/>
      <c r="X32" s="2082"/>
      <c r="Y32" s="2082"/>
      <c r="Z32" s="2082"/>
      <c r="AA32" s="2082"/>
      <c r="AB32" s="2082"/>
      <c r="AC32" s="314"/>
      <c r="AD32" s="2082" t="str">
        <f>IF(TITLE_IST_PUB_CHANGE="",IF(TITLE_IST_PUB="","",TITLE_IST_PUB),TITLE_IST_PUB_CHANGE)</f>
        <v>https://www.gov.spb.ru/static/writable/documents/2023/12/22/%D0%BE%D1%82_20.12.2023__262-%D1%80.pdf</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436</v>
      </c>
      <c r="T34" s="2080"/>
      <c r="U34" s="1389"/>
      <c r="V34" s="2081" t="str">
        <f>IF(TITLE_DATE_PR_CHANGE="",IF(TITLE_DATE_PR="","",TITLE_DATE_PR),TITLE_DATE_PR_CHANGE)</f>
        <v>45280.49324074074</v>
      </c>
      <c r="W34" s="2081"/>
      <c r="X34" s="2081"/>
      <c r="Y34" s="2081"/>
      <c r="Z34" s="2081"/>
      <c r="AA34" s="2081"/>
      <c r="AB34" s="2081"/>
      <c r="AC34" s="314"/>
      <c r="AD34" s="2081" t="str">
        <f>IF(TITLE_DATE_PR_CHANGE="",IF(TITLE_DATE_PR="","",TITLE_DATE_PR),TITLE_DATE_PR_CHANGE)</f>
        <v>45280.49324074074</v>
      </c>
      <c r="AE34" s="2081"/>
      <c r="AF34" s="2081"/>
      <c r="AG34" s="2081"/>
      <c r="AH34" s="2081"/>
      <c r="AI34" s="2081"/>
      <c r="AJ34" s="2081"/>
      <c r="AK34" s="314"/>
      <c r="AL34" s="314"/>
      <c r="AM34" s="261"/>
      <c r="AN34" s="360"/>
      <c r="AO34" s="360"/>
      <c r="AP34" s="360"/>
      <c r="AQ34" s="360"/>
      <c r="AR34" s="360"/>
    </row>
    <row s="1877" customFormat="1" customHeight="1" ht="18.75" hidden="1">
      <c r="A35" s="1385"/>
      <c r="B35" s="1385"/>
      <c r="C35" s="1385"/>
      <c r="D35" s="1385"/>
      <c r="E35" s="1385"/>
      <c r="F35" s="1385"/>
      <c r="G35" s="1385"/>
      <c r="H35" s="1385"/>
      <c r="I35" s="1385"/>
      <c r="J35" s="1385"/>
      <c r="K35" s="1385"/>
      <c r="L35" s="1386"/>
      <c r="M35" s="1385"/>
      <c r="N35" s="1385"/>
      <c r="O35" s="1385"/>
      <c r="S35" s="2080" t="s">
        <v>437</v>
      </c>
      <c r="T35" s="2080"/>
      <c r="U35" s="1389"/>
      <c r="V35" s="2082" t="str">
        <f>IF(TITLE_NUMBER_PR_CHANGE="",IF(TITLE_NUMBER_PR="","",TITLE_NUMBER_PR),TITLE_NUMBER_PR_CHANGE)</f>
        <v>262-р</v>
      </c>
      <c r="W35" s="2082"/>
      <c r="X35" s="2082"/>
      <c r="Y35" s="2082"/>
      <c r="Z35" s="2082"/>
      <c r="AA35" s="2082"/>
      <c r="AB35" s="2082"/>
      <c r="AC35" s="314"/>
      <c r="AD35" s="2082" t="str">
        <f>IF(TITLE_NUMBER_PR_CHANGE="",IF(TITLE_NUMBER_PR="","",TITLE_NUMBER_PR),TITLE_NUMBER_PR_CHANGE)</f>
        <v>262-р</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438</v>
      </c>
      <c r="AD36" s="314"/>
      <c r="AE36" s="314"/>
      <c r="AF36" s="314"/>
      <c r="AG36" s="314"/>
      <c r="AH36" s="314"/>
      <c r="AI36" s="314"/>
      <c r="AJ36" s="314"/>
      <c r="AK36" s="259" t="s">
        <v>438</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312</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313</v>
      </c>
    </row>
    <row customHeight="1" ht="14.25">
      <c r="Q39" s="368"/>
      <c r="R39" s="368"/>
      <c r="S39" s="2107" t="s">
        <v>87</v>
      </c>
      <c r="T39" s="2044" t="s">
        <v>439</v>
      </c>
      <c r="U39" s="281"/>
      <c r="V39" s="2108" t="s">
        <v>440</v>
      </c>
      <c r="W39" s="2109"/>
      <c r="X39" s="2109"/>
      <c r="Y39" s="2109"/>
      <c r="Z39" s="2109"/>
      <c r="AA39" s="2109"/>
      <c r="AB39" s="2110"/>
      <c r="AC39" s="2111" t="s">
        <v>441</v>
      </c>
      <c r="AD39" s="2108" t="s">
        <v>440</v>
      </c>
      <c r="AE39" s="2109"/>
      <c r="AF39" s="2109"/>
      <c r="AG39" s="2109"/>
      <c r="AH39" s="2109"/>
      <c r="AI39" s="2109"/>
      <c r="AJ39" s="2110"/>
      <c r="AK39" s="2111" t="s">
        <v>442</v>
      </c>
      <c r="AL39" s="2114" t="s">
        <v>443</v>
      </c>
      <c r="AM39" s="1953"/>
    </row>
    <row customHeight="1" ht="33.75">
      <c r="Q40" s="368"/>
      <c r="R40" s="368"/>
      <c r="S40" s="2107"/>
      <c r="T40" s="2044"/>
      <c r="U40" s="1026"/>
      <c r="V40" s="2117" t="s">
        <v>444</v>
      </c>
      <c r="W40" s="2098"/>
      <c r="X40" s="2100" t="s">
        <v>446</v>
      </c>
      <c r="Y40" s="2102"/>
      <c r="Z40" s="2100" t="s">
        <v>447</v>
      </c>
      <c r="AA40" s="2101"/>
      <c r="AB40" s="2102"/>
      <c r="AC40" s="2112"/>
      <c r="AD40" s="2117" t="s">
        <v>444</v>
      </c>
      <c r="AE40" s="2098"/>
      <c r="AF40" s="2100" t="s">
        <v>446</v>
      </c>
      <c r="AG40" s="2102"/>
      <c r="AH40" s="2100" t="s">
        <v>447</v>
      </c>
      <c r="AI40" s="2101"/>
      <c r="AJ40" s="2102"/>
      <c r="AK40" s="2112"/>
      <c r="AL40" s="2115"/>
      <c r="AM40" s="1953"/>
    </row>
    <row customHeight="1" ht="33.75">
      <c r="A41" s="1387"/>
      <c r="B41" s="1387" t="s">
        <v>134</v>
      </c>
      <c r="C41" s="1387" t="s">
        <v>135</v>
      </c>
      <c r="D41" s="1387" t="s">
        <v>136</v>
      </c>
      <c r="E41" s="1381" t="s">
        <v>448</v>
      </c>
      <c r="F41" s="1381" t="s">
        <v>449</v>
      </c>
      <c r="G41" s="1381" t="s">
        <v>450</v>
      </c>
      <c r="H41" s="1381" t="s">
        <v>451</v>
      </c>
      <c r="I41" s="1381" t="s">
        <v>452</v>
      </c>
      <c r="J41" s="1381" t="s">
        <v>453</v>
      </c>
      <c r="K41" s="1381" t="s">
        <v>454</v>
      </c>
      <c r="L41" s="1381" t="s">
        <v>429</v>
      </c>
      <c r="Q41" s="368"/>
      <c r="R41" s="368"/>
      <c r="S41" s="2107"/>
      <c r="T41" s="2044"/>
      <c r="U41" s="282"/>
      <c r="V41" s="2118"/>
      <c r="W41" s="2099"/>
      <c r="X41" s="1224" t="s">
        <v>455</v>
      </c>
      <c r="Y41" s="1224" t="s">
        <v>456</v>
      </c>
      <c r="Z41" s="1355" t="s">
        <v>457</v>
      </c>
      <c r="AA41" s="2103" t="s">
        <v>458</v>
      </c>
      <c r="AB41" s="2104"/>
      <c r="AC41" s="2113"/>
      <c r="AD41" s="2118"/>
      <c r="AE41" s="2099"/>
      <c r="AF41" s="1224" t="s">
        <v>455</v>
      </c>
      <c r="AG41" s="1224" t="s">
        <v>456</v>
      </c>
      <c r="AH41" s="1355" t="s">
        <v>457</v>
      </c>
      <c r="AI41" s="2103" t="s">
        <v>458</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204</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204</v>
      </c>
      <c r="B44" s="1380" t="s">
        <v>205</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411</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412</v>
      </c>
      <c r="AO44" s="496"/>
      <c r="AP44" s="496" t="str">
        <f>IF(T44="","",T44)</f>
        <v>Территория действия тарифа</v>
      </c>
      <c r="AQ44" s="496"/>
      <c r="AR44" s="496"/>
    </row>
    <row customHeight="1" ht="23.25">
      <c r="A45" s="1380" t="s">
        <v>204</v>
      </c>
      <c r="B45" s="1380" t="s">
        <v>205</v>
      </c>
      <c r="C45" s="1380" t="s">
        <v>206</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413</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414</v>
      </c>
      <c r="AO45" s="496"/>
      <c r="AP45" s="496" t="str">
        <f>IF(T45="","",T45)</f>
        <v>Наименование системы теплоснабжения </v>
      </c>
      <c r="AQ45" s="496"/>
      <c r="AR45" s="496"/>
    </row>
    <row customHeight="1" ht="21">
      <c r="A46" s="1380" t="s">
        <v>204</v>
      </c>
      <c r="B46" s="1380" t="s">
        <v>205</v>
      </c>
      <c r="C46" s="1380" t="s">
        <v>206</v>
      </c>
      <c r="D46" s="1380" t="s">
        <v>207</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415</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416</v>
      </c>
      <c r="AO46" s="496"/>
      <c r="AP46" s="496" t="str">
        <f>IF(T46="","",T46)</f>
        <v>Источник тепловой энергии  </v>
      </c>
      <c r="AQ46" s="496"/>
      <c r="AR46" s="496"/>
    </row>
    <row s="1667" customFormat="1" customHeight="1" ht="0">
      <c r="A47" s="1360" t="s">
        <v>204</v>
      </c>
      <c r="B47" s="1360" t="s">
        <v>205</v>
      </c>
      <c r="C47" s="1360" t="s">
        <v>206</v>
      </c>
      <c r="D47" s="1360" t="s">
        <v>207</v>
      </c>
      <c r="E47" s="2090"/>
      <c r="F47" s="2090"/>
      <c r="G47" s="2090"/>
      <c r="H47" s="2090"/>
      <c r="I47" s="2091" t="str">
        <f>S46&amp;".1"</f>
        <v>....1</v>
      </c>
      <c r="J47" s="1360"/>
      <c r="K47" s="1360"/>
      <c r="L47" s="1363" t="s">
        <v>417</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204</v>
      </c>
      <c r="B48" s="1380" t="s">
        <v>205</v>
      </c>
      <c r="C48" s="1380" t="s">
        <v>206</v>
      </c>
      <c r="D48" s="1380" t="s">
        <v>207</v>
      </c>
      <c r="E48" s="2090"/>
      <c r="F48" s="2090"/>
      <c r="G48" s="2090"/>
      <c r="H48" s="2090"/>
      <c r="I48" s="2092"/>
      <c r="J48" s="2091" t="str">
        <f>S46&amp;".1"</f>
        <v>....1</v>
      </c>
      <c r="K48" s="1380"/>
      <c r="L48" s="1381" t="s">
        <v>420</v>
      </c>
      <c r="P48" s="2093"/>
      <c r="Q48" s="2093">
        <v>1</v>
      </c>
      <c r="R48" s="345"/>
      <c r="S48" s="1353" t="str">
        <f>$J48</f>
        <v>....1</v>
      </c>
      <c r="T48" s="267" t="s">
        <v>421</v>
      </c>
      <c r="U48" s="280"/>
      <c r="V48" s="2077"/>
      <c r="W48" s="2078"/>
      <c r="X48" s="2078"/>
      <c r="Y48" s="2078"/>
      <c r="Z48" s="2078"/>
      <c r="AA48" s="2078"/>
      <c r="AB48" s="2078"/>
      <c r="AC48" s="2079"/>
      <c r="AD48" s="2077"/>
      <c r="AE48" s="2078"/>
      <c r="AF48" s="2078"/>
      <c r="AG48" s="2078"/>
      <c r="AH48" s="2078"/>
      <c r="AI48" s="2078"/>
      <c r="AJ48" s="2078"/>
      <c r="AK48" s="2078"/>
      <c r="AL48" s="2079"/>
      <c r="AM48" s="1273" t="s">
        <v>422</v>
      </c>
      <c r="AO48" s="496"/>
      <c r="AP48" s="496" t="str">
        <f>IF(T48="","",T48)</f>
        <v>Группа потребителей</v>
      </c>
      <c r="AQ48" s="496"/>
      <c r="AR48" s="496"/>
    </row>
    <row customHeight="1" ht="21">
      <c r="A49" s="1380" t="s">
        <v>204</v>
      </c>
      <c r="B49" s="1380" t="s">
        <v>205</v>
      </c>
      <c r="C49" s="1380" t="s">
        <v>206</v>
      </c>
      <c r="D49" s="1380" t="s">
        <v>207</v>
      </c>
      <c r="E49" s="2090"/>
      <c r="F49" s="2090"/>
      <c r="G49" s="2090"/>
      <c r="H49" s="2090"/>
      <c r="I49" s="2092"/>
      <c r="J49" s="2092"/>
      <c r="K49" s="2091" t="str">
        <f>J48&amp;".1"</f>
        <v>....1.1</v>
      </c>
      <c r="L49" s="1381" t="s">
        <v>423</v>
      </c>
      <c r="P49" s="2093"/>
      <c r="Q49" s="2093"/>
      <c r="R49" s="345">
        <v>1</v>
      </c>
      <c r="S49" s="1353" t="str">
        <f>$K49</f>
        <v>....1.1</v>
      </c>
      <c r="T49" s="1364"/>
      <c r="U49" s="280"/>
      <c r="V49" s="746"/>
      <c r="W49" s="312"/>
      <c r="X49" s="746"/>
      <c r="Y49" s="1272"/>
      <c r="Z49" s="2094"/>
      <c r="AA49" s="1963" t="s">
        <v>61</v>
      </c>
      <c r="AB49" s="2094"/>
      <c r="AC49" s="1963" t="s">
        <v>61</v>
      </c>
      <c r="AD49" s="746"/>
      <c r="AE49" s="312"/>
      <c r="AF49" s="746"/>
      <c r="AG49" s="1272"/>
      <c r="AH49" s="2094"/>
      <c r="AI49" s="1963" t="s">
        <v>61</v>
      </c>
      <c r="AJ49" s="2096"/>
      <c r="AK49" s="1963" t="s">
        <v>61</v>
      </c>
      <c r="AL49" s="1365"/>
      <c r="AM49" s="2119" t="s">
        <v>466</v>
      </c>
      <c r="AN49" s="507">
        <f>STRCHECKDATE(V50:AL50)</f>
      </c>
      <c r="AO49" s="496"/>
      <c r="AP49" s="496" t="str">
        <f>IF(T49="","",T49)</f>
        <v/>
      </c>
      <c r="AQ49" s="496"/>
      <c r="AR49" s="496"/>
    </row>
    <row customHeight="1" ht="0.75">
      <c r="A50" s="1380" t="s">
        <v>204</v>
      </c>
      <c r="B50" s="1380" t="s">
        <v>205</v>
      </c>
      <c r="C50" s="1380" t="s">
        <v>206</v>
      </c>
      <c r="D50" s="1380" t="s">
        <v>207</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204</v>
      </c>
      <c r="B51" s="1380" t="s">
        <v>205</v>
      </c>
      <c r="C51" s="1380" t="s">
        <v>206</v>
      </c>
      <c r="D51" s="1380" t="s">
        <v>207</v>
      </c>
      <c r="E51" s="2090"/>
      <c r="F51" s="2090"/>
      <c r="G51" s="2090"/>
      <c r="H51" s="2090"/>
      <c r="I51" s="2092"/>
      <c r="J51" s="2091"/>
      <c r="K51" s="1380"/>
      <c r="L51" s="1381"/>
      <c r="P51" s="2093"/>
      <c r="Q51" s="2093"/>
      <c r="R51" s="344"/>
      <c r="S51" s="1295"/>
      <c r="T51" s="268" t="s">
        <v>425</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204</v>
      </c>
      <c r="B52" s="1380" t="s">
        <v>205</v>
      </c>
      <c r="C52" s="1380" t="s">
        <v>206</v>
      </c>
      <c r="D52" s="1380" t="s">
        <v>207</v>
      </c>
      <c r="E52" s="2090"/>
      <c r="F52" s="2090"/>
      <c r="G52" s="2090"/>
      <c r="H52" s="2090"/>
      <c r="I52" s="2091"/>
      <c r="J52" s="1380"/>
      <c r="K52" s="1380"/>
      <c r="L52" s="1381"/>
      <c r="P52" s="2093"/>
      <c r="Q52" s="1348"/>
      <c r="R52" s="344"/>
      <c r="S52" s="1295"/>
      <c r="T52" s="356" t="s">
        <v>426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204</v>
      </c>
      <c r="B53" s="1380" t="s">
        <v>205</v>
      </c>
      <c r="C53" s="1380" t="s">
        <v>206</v>
      </c>
      <c r="D53" s="1380" t="s">
        <v>207</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75">
      <c r="A54" s="1360" t="s">
        <v>204</v>
      </c>
      <c r="B54" s="1360" t="s">
        <v>205</v>
      </c>
      <c r="C54" s="1360" t="s">
        <v>206</v>
      </c>
      <c r="D54" s="1331"/>
      <c r="E54" s="2090"/>
      <c r="F54" s="2090"/>
      <c r="G54" s="2089"/>
      <c r="H54" s="1331"/>
      <c r="I54" s="1331"/>
      <c r="J54" s="1331"/>
      <c r="K54" s="1331"/>
      <c r="L54" s="1356"/>
      <c r="M54" s="1332"/>
      <c r="N54" s="1332"/>
      <c r="P54" s="1333"/>
      <c r="Q54" s="1334"/>
      <c r="R54" s="1333"/>
      <c r="S54" s="1339"/>
      <c r="T54" s="1342" t="s">
        <v>160</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75">
      <c r="A55" s="1360" t="s">
        <v>204</v>
      </c>
      <c r="B55" s="1360" t="s">
        <v>205</v>
      </c>
      <c r="C55" s="1331"/>
      <c r="D55" s="1331"/>
      <c r="E55" s="2090"/>
      <c r="F55" s="2089"/>
      <c r="G55" s="1331"/>
      <c r="H55" s="1331"/>
      <c r="I55" s="1331"/>
      <c r="J55" s="1331"/>
      <c r="K55" s="1331"/>
      <c r="L55" s="1356"/>
      <c r="M55" s="1338"/>
      <c r="N55" s="1338"/>
      <c r="P55" s="1333"/>
      <c r="Q55" s="1334"/>
      <c r="R55" s="1333"/>
      <c r="S55" s="1339"/>
      <c r="T55" s="1342" t="s">
        <v>161</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75">
      <c r="A56" s="1360" t="s">
        <v>204</v>
      </c>
      <c r="B56" s="1360"/>
      <c r="C56" s="1360"/>
      <c r="D56" s="1360"/>
      <c r="E56" s="2089"/>
      <c r="F56" s="1360"/>
      <c r="G56" s="1360"/>
      <c r="H56" s="1360"/>
      <c r="I56" s="1360"/>
      <c r="J56" s="1360"/>
      <c r="K56" s="1360"/>
      <c r="L56" s="1363"/>
      <c r="M56" s="1338"/>
      <c r="N56" s="1338"/>
      <c r="O56" s="514"/>
      <c r="P56" s="376"/>
      <c r="Q56" s="1361"/>
      <c r="R56" s="376"/>
      <c r="S56" s="1339"/>
      <c r="T56" s="1342" t="s">
        <v>162</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0.75">
      <c r="A57" s="1331"/>
      <c r="B57" s="1331"/>
      <c r="C57" s="1331"/>
      <c r="D57" s="1331"/>
      <c r="E57" s="1360"/>
      <c r="F57" s="1331"/>
      <c r="G57" s="1331"/>
      <c r="H57" s="1331"/>
      <c r="I57" s="1331"/>
      <c r="J57" s="1331"/>
      <c r="K57" s="1331"/>
      <c r="L57" s="1356"/>
      <c r="M57" s="1338"/>
      <c r="N57" s="1338"/>
      <c r="P57" s="1333"/>
      <c r="Q57" s="1334"/>
      <c r="R57" s="1333"/>
      <c r="S57" s="1339"/>
      <c r="T57" s="1342" t="s">
        <v>179</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21.7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29.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39.7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9.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27.7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33.7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E2FD1D-8DB6-4E6A-19AA-745EDC21A8DE}"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2216" width="3.7109375" hidden="1" customWidth="1"/>
    <col min="17" max="18" style="332" width="3.7109375" customWidth="1"/>
    <col min="19" max="19" style="2229" width="12.7109375" customWidth="1"/>
    <col min="20" max="20" style="1660" width="32.00390625" customWidth="1"/>
    <col min="21" max="21" style="1660" width="0.140625" customWidth="1"/>
    <col min="22" max="22" style="1660" width="24.7109375" hidden="1" customWidth="1"/>
    <col min="23" max="23" style="1660" width="0.140625" hidden="1" customWidth="1"/>
    <col min="24" max="25" style="1660" width="24.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0" style="1660" width="24.7109375" customWidth="1"/>
    <col min="31" max="31" style="1660" width="0.140625" customWidth="1"/>
    <col min="32" max="33" style="1660" width="24.7109375" customWidth="1"/>
    <col min="34" max="34" style="1660" width="11.7109375" customWidth="1"/>
    <col min="35" max="35" style="1660" width="3.7109375" customWidth="1"/>
    <col min="36" max="36" style="1660" width="11.7109375" customWidth="1"/>
    <col min="37" max="37" style="1660" width="8.57421875" hidden="1" customWidth="1"/>
    <col min="38" max="38" style="1660" width="4.7109375" customWidth="1"/>
    <col min="39" max="39" style="1660" width="115.7109375" customWidth="1"/>
    <col min="40" max="41" style="1667" width="10.57421875"/>
    <col min="42" max="42" style="1667" width="11.140625" customWidth="1"/>
    <col min="43" max="44" style="1667" width="10.57421875"/>
  </cols>
  <sheetData>
    <row customHeight="1" ht="14.25" hidden="1">
      <c r="Y1" s="315"/>
      <c r="Z1" s="315"/>
      <c r="AG1" s="315"/>
      <c r="AH1" s="315"/>
    </row>
    <row customHeight="1" ht="21" hidden="1">
      <c r="A2" s="1380"/>
      <c r="B2" s="1380"/>
      <c r="C2" s="1380"/>
      <c r="D2" s="1380"/>
      <c r="E2" s="2089">
        <v>1</v>
      </c>
      <c r="F2" s="1380"/>
      <c r="G2" s="1380"/>
      <c r="H2" s="1380"/>
      <c r="I2" s="1380"/>
      <c r="J2" s="1380"/>
      <c r="K2" s="1380"/>
      <c r="L2" s="1381"/>
      <c r="M2" s="1382"/>
      <c r="N2" s="1382"/>
      <c r="O2" s="1382"/>
      <c r="P2" s="349"/>
      <c r="Q2" s="348"/>
      <c r="R2" s="343"/>
      <c r="S2" s="1353">
        <f>INDEX(PT_DIFFERENTIATION_NUM_NTAR,MATCH(A2,PT_DIFFERENTIATION_NTAR_ID,0))</f>
      </c>
      <c r="T2" s="278" t="s">
        <v>122</v>
      </c>
      <c r="U2" s="280"/>
      <c r="V2" s="2083"/>
      <c r="W2" s="2084"/>
      <c r="X2" s="2084"/>
      <c r="Y2" s="2084"/>
      <c r="Z2" s="2084"/>
      <c r="AA2" s="2084"/>
      <c r="AB2" s="2084"/>
      <c r="AC2" s="2085"/>
      <c r="AD2" s="2083">
        <f>INDEX(PT_DIFFERENTIATION_NTAR,MATCH(A2,PT_DIFFERENTIATION_NTAR_ID,0))</f>
      </c>
      <c r="AE2" s="2084"/>
      <c r="AF2" s="2084"/>
      <c r="AG2" s="2084"/>
      <c r="AH2" s="2084"/>
      <c r="AI2" s="2084"/>
      <c r="AJ2" s="2084"/>
      <c r="AK2" s="2084"/>
      <c r="AL2" s="2085"/>
      <c r="AM2" s="1273" t="s">
        <v>410</v>
      </c>
      <c r="AO2" s="496"/>
      <c r="AP2" s="496" t="str">
        <f>IF(T2="","",T2)</f>
        <v>Наименование тарифа</v>
      </c>
      <c r="AQ2" s="496"/>
      <c r="AR2" s="496"/>
    </row>
    <row customHeight="1" ht="21" hidden="1">
      <c r="A3" s="1380"/>
      <c r="B3" s="1380"/>
      <c r="C3" s="1380"/>
      <c r="D3" s="1380"/>
      <c r="E3" s="2090"/>
      <c r="F3" s="2089">
        <v>1</v>
      </c>
      <c r="G3" s="1380"/>
      <c r="H3" s="1380"/>
      <c r="I3" s="1380"/>
      <c r="J3" s="1380"/>
      <c r="K3" s="1380"/>
      <c r="L3" s="1381"/>
      <c r="M3" s="1382"/>
      <c r="N3" s="1382"/>
      <c r="O3" s="1382"/>
      <c r="P3" s="1349"/>
      <c r="Q3" s="340"/>
      <c r="R3" s="341"/>
      <c r="S3" s="1353">
        <f>INDEX(PT_DIFFERENTIATION_NUM_TER,MATCH(B3,PT_DIFFERENTIATION_TER_ID,0))</f>
      </c>
      <c r="T3" s="290" t="s">
        <v>411</v>
      </c>
      <c r="U3" s="280"/>
      <c r="V3" s="2083"/>
      <c r="W3" s="2084"/>
      <c r="X3" s="2084"/>
      <c r="Y3" s="2084"/>
      <c r="Z3" s="2084"/>
      <c r="AA3" s="2084"/>
      <c r="AB3" s="2084"/>
      <c r="AC3" s="2085"/>
      <c r="AD3" s="2083">
        <f>INDEX(PT_DIFFERENTIATION_TER,MATCH(B3,PT_DIFFERENTIATION_TER_ID,0))</f>
      </c>
      <c r="AE3" s="2084"/>
      <c r="AF3" s="2084"/>
      <c r="AG3" s="2084"/>
      <c r="AH3" s="2084"/>
      <c r="AI3" s="2084"/>
      <c r="AJ3" s="2084"/>
      <c r="AK3" s="2084"/>
      <c r="AL3" s="2085"/>
      <c r="AM3" s="1273" t="s">
        <v>412</v>
      </c>
      <c r="AO3" s="496"/>
      <c r="AP3" s="496" t="str">
        <f>IF(T3="","",T3)</f>
        <v>Территория действия тарифа</v>
      </c>
      <c r="AQ3" s="496"/>
      <c r="AR3" s="496"/>
    </row>
    <row customHeight="1" ht="23.25" hidden="1">
      <c r="A4" s="1380"/>
      <c r="B4" s="1380"/>
      <c r="C4" s="1380"/>
      <c r="D4" s="1380"/>
      <c r="E4" s="2090"/>
      <c r="F4" s="2090"/>
      <c r="G4" s="2089">
        <v>1</v>
      </c>
      <c r="H4" s="1380"/>
      <c r="I4" s="1380"/>
      <c r="J4" s="1380"/>
      <c r="K4" s="1380"/>
      <c r="L4" s="1381"/>
      <c r="M4" s="1382"/>
      <c r="N4" s="1382"/>
      <c r="O4" s="1382"/>
      <c r="P4" s="342"/>
      <c r="Q4" s="340"/>
      <c r="R4" s="341"/>
      <c r="S4" s="1353">
        <f>INDEX(PT_DIFFERENTIATION_NUM_CS,MATCH(C4,PT_DIFFERENTIATION_CS_ID,0))</f>
      </c>
      <c r="T4" s="291" t="s">
        <v>413</v>
      </c>
      <c r="U4" s="280"/>
      <c r="V4" s="2083"/>
      <c r="W4" s="2084"/>
      <c r="X4" s="2084"/>
      <c r="Y4" s="2084"/>
      <c r="Z4" s="2084"/>
      <c r="AA4" s="2084"/>
      <c r="AB4" s="2084"/>
      <c r="AC4" s="2085"/>
      <c r="AD4" s="2083">
        <f>INDEX(PT_DIFFERENTIATION_CS,MATCH(C4,PT_DIFFERENTIATION_CS_ID,0))</f>
      </c>
      <c r="AE4" s="2084"/>
      <c r="AF4" s="2084"/>
      <c r="AG4" s="2084"/>
      <c r="AH4" s="2084"/>
      <c r="AI4" s="2084"/>
      <c r="AJ4" s="2084"/>
      <c r="AK4" s="2084"/>
      <c r="AL4" s="2085"/>
      <c r="AM4" s="1273" t="s">
        <v>414</v>
      </c>
      <c r="AO4" s="496"/>
      <c r="AP4" s="496" t="str">
        <f>IF(T4="","",T4)</f>
        <v>Наименование системы теплоснабжения </v>
      </c>
      <c r="AQ4" s="496"/>
      <c r="AR4" s="496"/>
    </row>
    <row customHeight="1" ht="21" hidden="1">
      <c r="A5" s="1380"/>
      <c r="B5" s="1380"/>
      <c r="C5" s="1380"/>
      <c r="D5" s="1380"/>
      <c r="E5" s="2090"/>
      <c r="F5" s="2090"/>
      <c r="G5" s="2090"/>
      <c r="H5" s="2089">
        <v>1</v>
      </c>
      <c r="I5" s="1380"/>
      <c r="J5" s="1380"/>
      <c r="K5" s="1380"/>
      <c r="L5" s="1381"/>
      <c r="M5" s="1382"/>
      <c r="N5" s="1382"/>
      <c r="O5" s="1382"/>
      <c r="P5" s="342"/>
      <c r="Q5" s="340"/>
      <c r="R5" s="341"/>
      <c r="S5" s="1353">
        <f>INDEX(PT_DIFFERENTIATION_NUM_IST_TE,MATCH(D5,PT_DIFFERENTIATION_IST_TE_ID,0))</f>
      </c>
      <c r="T5" s="292" t="s">
        <v>415</v>
      </c>
      <c r="U5" s="280"/>
      <c r="V5" s="2083"/>
      <c r="W5" s="2084"/>
      <c r="X5" s="2084"/>
      <c r="Y5" s="2084"/>
      <c r="Z5" s="2084"/>
      <c r="AA5" s="2084"/>
      <c r="AB5" s="2084"/>
      <c r="AC5" s="2085"/>
      <c r="AD5" s="2083">
        <f>INDEX(PT_DIFFERENTIATION_IST_TE,MATCH(D5,PT_DIFFERENTIATION_IST_TE_ID,0))</f>
      </c>
      <c r="AE5" s="2084"/>
      <c r="AF5" s="2084"/>
      <c r="AG5" s="2084"/>
      <c r="AH5" s="2084"/>
      <c r="AI5" s="2084"/>
      <c r="AJ5" s="2084"/>
      <c r="AK5" s="2084"/>
      <c r="AL5" s="2085"/>
      <c r="AM5" s="1273" t="s">
        <v>416</v>
      </c>
      <c r="AO5" s="496"/>
      <c r="AP5" s="496" t="str">
        <f>IF(T5="","",T5)</f>
        <v>Источник тепловой энергии  </v>
      </c>
      <c r="AQ5" s="496"/>
      <c r="AR5" s="496"/>
    </row>
    <row customHeight="1" ht="14.25" hidden="1">
      <c r="A6" s="1380"/>
      <c r="B6" s="1380"/>
      <c r="C6" s="1380"/>
      <c r="D6" s="1380"/>
      <c r="E6" s="2090"/>
      <c r="F6" s="2090"/>
      <c r="G6" s="2090"/>
      <c r="H6" s="2090"/>
      <c r="I6" s="2091">
        <f>S5&amp;".1"</f>
      </c>
      <c r="J6" s="1380"/>
      <c r="K6" s="1380"/>
      <c r="L6" s="1381" t="s">
        <v>417</v>
      </c>
      <c r="M6" s="533"/>
      <c r="P6" s="2093">
        <v>1</v>
      </c>
      <c r="Q6" s="1348"/>
      <c r="R6" s="344"/>
      <c r="S6" s="1037"/>
      <c r="T6" s="1400"/>
      <c r="U6" s="1401"/>
      <c r="V6" s="2129"/>
      <c r="W6" s="2130"/>
      <c r="X6" s="2130"/>
      <c r="Y6" s="2130"/>
      <c r="Z6" s="2130"/>
      <c r="AA6" s="2130"/>
      <c r="AB6" s="2130"/>
      <c r="AC6" s="2131"/>
      <c r="AD6" s="2129"/>
      <c r="AE6" s="2130"/>
      <c r="AF6" s="2130"/>
      <c r="AG6" s="2130"/>
      <c r="AH6" s="2130"/>
      <c r="AI6" s="2130"/>
      <c r="AJ6" s="2130"/>
      <c r="AK6" s="2130"/>
      <c r="AL6" s="2131"/>
      <c r="AM6" s="1402"/>
      <c r="AO6" s="496"/>
      <c r="AP6" s="496" t="str">
        <f>IF(T6="","",T6)</f>
        <v/>
      </c>
      <c r="AQ6" s="496"/>
      <c r="AR6" s="496"/>
    </row>
    <row customHeight="1" ht="21" hidden="1">
      <c r="A7" s="1380"/>
      <c r="B7" s="1380"/>
      <c r="C7" s="1380"/>
      <c r="D7" s="1380"/>
      <c r="E7" s="2090"/>
      <c r="F7" s="2090"/>
      <c r="G7" s="2090"/>
      <c r="H7" s="2090"/>
      <c r="I7" s="2092"/>
      <c r="J7" s="2091">
        <f>I6&amp;".1"</f>
      </c>
      <c r="K7" s="1380"/>
      <c r="L7" s="1381" t="s">
        <v>420</v>
      </c>
      <c r="M7" s="533"/>
      <c r="N7" s="1383"/>
      <c r="P7" s="2093"/>
      <c r="Q7" s="2093">
        <v>1</v>
      </c>
      <c r="R7" s="345"/>
      <c r="S7" s="1353">
        <f>$J7</f>
      </c>
      <c r="T7" s="267" t="s">
        <v>421</v>
      </c>
      <c r="U7" s="280"/>
      <c r="V7" s="2077"/>
      <c r="W7" s="2078"/>
      <c r="X7" s="2078"/>
      <c r="Y7" s="2078"/>
      <c r="Z7" s="2078"/>
      <c r="AA7" s="2078"/>
      <c r="AB7" s="2078"/>
      <c r="AC7" s="2079"/>
      <c r="AD7" s="2077"/>
      <c r="AE7" s="2078"/>
      <c r="AF7" s="2078"/>
      <c r="AG7" s="2078"/>
      <c r="AH7" s="2078"/>
      <c r="AI7" s="2078"/>
      <c r="AJ7" s="2078"/>
      <c r="AK7" s="2078"/>
      <c r="AL7" s="2079"/>
      <c r="AM7" s="1273" t="s">
        <v>422</v>
      </c>
      <c r="AO7" s="496"/>
      <c r="AP7" s="496" t="str">
        <f>IF(T7="","",T7)</f>
        <v>Группа потребителей</v>
      </c>
      <c r="AQ7" s="496"/>
      <c r="AR7" s="496"/>
    </row>
    <row customHeight="1" ht="21" hidden="1">
      <c r="A8" s="1380"/>
      <c r="B8" s="1380"/>
      <c r="C8" s="1380"/>
      <c r="D8" s="1380"/>
      <c r="E8" s="2090"/>
      <c r="F8" s="2090"/>
      <c r="G8" s="2090"/>
      <c r="H8" s="2090"/>
      <c r="I8" s="2092"/>
      <c r="J8" s="2092"/>
      <c r="K8" s="2091">
        <f>J7&amp;".1"</f>
      </c>
      <c r="L8" s="1381" t="s">
        <v>423</v>
      </c>
      <c r="M8" s="533"/>
      <c r="N8" s="1383"/>
      <c r="O8" s="1383"/>
      <c r="P8" s="2093"/>
      <c r="Q8" s="2093"/>
      <c r="R8" s="345">
        <v>1</v>
      </c>
      <c r="S8" s="1353">
        <f>$K8</f>
      </c>
      <c r="T8" s="1364"/>
      <c r="U8" s="280"/>
      <c r="V8" s="746"/>
      <c r="W8" s="312"/>
      <c r="X8" s="746"/>
      <c r="Y8" s="1272"/>
      <c r="Z8" s="2094"/>
      <c r="AA8" s="1963" t="s">
        <v>61</v>
      </c>
      <c r="AB8" s="2094"/>
      <c r="AC8" s="1963" t="s">
        <v>61</v>
      </c>
      <c r="AD8" s="746"/>
      <c r="AE8" s="312"/>
      <c r="AF8" s="746"/>
      <c r="AG8" s="1272"/>
      <c r="AH8" s="2094"/>
      <c r="AI8" s="1963" t="s">
        <v>61</v>
      </c>
      <c r="AJ8" s="2094"/>
      <c r="AK8" s="1963" t="s">
        <v>61</v>
      </c>
      <c r="AL8" s="312"/>
      <c r="AM8" s="2119" t="s">
        <v>424</v>
      </c>
      <c r="AN8" s="507">
        <f>STRCHECKDATE(V9:AL9)</f>
      </c>
      <c r="AO8" s="496"/>
      <c r="AP8" s="496" t="str">
        <f>IF(T8="","",T8)</f>
        <v/>
      </c>
      <c r="AQ8" s="496"/>
      <c r="AR8" s="496"/>
    </row>
    <row customHeight="1" ht="14.25" hidden="1">
      <c r="A9" s="1380"/>
      <c r="B9" s="1380"/>
      <c r="C9" s="1380"/>
      <c r="D9" s="1380"/>
      <c r="E9" s="2090"/>
      <c r="F9" s="2090"/>
      <c r="G9" s="2090"/>
      <c r="H9" s="2090"/>
      <c r="I9" s="2092"/>
      <c r="J9" s="2092"/>
      <c r="K9" s="2091"/>
      <c r="L9" s="1381"/>
      <c r="M9" s="533"/>
      <c r="N9" s="1383"/>
      <c r="O9" s="1383"/>
      <c r="P9" s="2093"/>
      <c r="Q9" s="2093"/>
      <c r="R9" s="345"/>
      <c r="S9" s="1359"/>
      <c r="T9" s="280"/>
      <c r="U9" s="280"/>
      <c r="V9" s="312"/>
      <c r="W9" s="312"/>
      <c r="X9" s="312"/>
      <c r="Y9" s="316" t="str">
        <f>Z8&amp;"-"&amp;AB8</f>
        <v>-</v>
      </c>
      <c r="Z9" s="2095"/>
      <c r="AA9" s="1963"/>
      <c r="AB9" s="2095"/>
      <c r="AC9" s="1963"/>
      <c r="AD9" s="312"/>
      <c r="AE9" s="312"/>
      <c r="AF9" s="312"/>
      <c r="AG9" s="316" t="str">
        <f>AH8&amp;"-"&amp;AJ8</f>
        <v>-</v>
      </c>
      <c r="AH9" s="2095"/>
      <c r="AI9" s="1963"/>
      <c r="AJ9" s="2095"/>
      <c r="AK9" s="1963"/>
      <c r="AL9" s="312"/>
      <c r="AM9" s="2120"/>
      <c r="AO9" s="496"/>
      <c r="AP9" s="496" t="str">
        <f>IF(T9="","",T9)</f>
        <v/>
      </c>
      <c r="AQ9" s="496"/>
      <c r="AR9" s="496"/>
    </row>
    <row customHeight="1" ht="15" hidden="1">
      <c r="A10" s="1380"/>
      <c r="B10" s="1380"/>
      <c r="C10" s="1380"/>
      <c r="D10" s="1380"/>
      <c r="E10" s="2090"/>
      <c r="F10" s="2090"/>
      <c r="G10" s="2090"/>
      <c r="H10" s="2090"/>
      <c r="I10" s="2092"/>
      <c r="J10" s="2091"/>
      <c r="K10" s="1380"/>
      <c r="L10" s="1381"/>
      <c r="M10" s="533"/>
      <c r="N10" s="1383"/>
      <c r="P10" s="2093"/>
      <c r="Q10" s="2093"/>
      <c r="R10" s="344"/>
      <c r="S10" s="1295"/>
      <c r="T10" s="268" t="s">
        <v>425</v>
      </c>
      <c r="U10" s="359"/>
      <c r="V10" s="359"/>
      <c r="W10" s="359"/>
      <c r="X10" s="359"/>
      <c r="Y10" s="359"/>
      <c r="Z10" s="359"/>
      <c r="AA10" s="359"/>
      <c r="AB10" s="359"/>
      <c r="AC10" s="359"/>
      <c r="AD10" s="359"/>
      <c r="AE10" s="359"/>
      <c r="AF10" s="359"/>
      <c r="AG10" s="359"/>
      <c r="AH10" s="359"/>
      <c r="AI10" s="359"/>
      <c r="AJ10" s="359"/>
      <c r="AK10" s="359"/>
      <c r="AL10" s="311"/>
      <c r="AM10" s="2121"/>
      <c r="AO10" s="496"/>
      <c r="AP10" s="496" t="str">
        <f>IF(T10="","",T10)</f>
        <v>Добавить вид теплоносителя (параметры теплоносителя)</v>
      </c>
      <c r="AQ10" s="496"/>
      <c r="AR10" s="496"/>
    </row>
    <row customHeight="1" ht="11.25" hidden="1">
      <c r="A11" s="1380"/>
      <c r="B11" s="1380"/>
      <c r="C11" s="1380"/>
      <c r="D11" s="1380"/>
      <c r="E11" s="2090"/>
      <c r="F11" s="2090"/>
      <c r="G11" s="2090"/>
      <c r="H11" s="2090"/>
      <c r="I11" s="2091"/>
      <c r="J11" s="1380"/>
      <c r="K11" s="1380"/>
      <c r="L11" s="1381"/>
      <c r="M11" s="533"/>
      <c r="P11" s="2093"/>
      <c r="Q11" s="1348"/>
      <c r="R11" s="344"/>
      <c r="S11" s="1295"/>
      <c r="T11" s="356" t="s">
        <v>426</v>
      </c>
      <c r="U11" s="359"/>
      <c r="V11" s="359"/>
      <c r="W11" s="359"/>
      <c r="X11" s="359"/>
      <c r="Y11" s="359"/>
      <c r="Z11" s="359"/>
      <c r="AA11" s="359"/>
      <c r="AB11" s="359"/>
      <c r="AC11" s="358"/>
      <c r="AD11" s="359"/>
      <c r="AE11" s="359"/>
      <c r="AF11" s="359"/>
      <c r="AG11" s="359"/>
      <c r="AH11" s="359"/>
      <c r="AI11" s="359"/>
      <c r="AJ11" s="359"/>
      <c r="AK11" s="358"/>
      <c r="AL11" s="359"/>
      <c r="AM11" s="283"/>
      <c r="AO11" s="496"/>
      <c r="AP11" s="496" t="str">
        <f>IF(T11="","",T11)</f>
        <v>Добавить группу потребителей</v>
      </c>
      <c r="AQ11" s="496"/>
      <c r="AR11" s="496"/>
    </row>
    <row customHeight="1" ht="14.25" hidden="1">
      <c r="A12" s="1380"/>
      <c r="B12" s="1380"/>
      <c r="C12" s="1380"/>
      <c r="D12" s="1380"/>
      <c r="E12" s="2090"/>
      <c r="F12" s="2090"/>
      <c r="G12" s="2090"/>
      <c r="H12" s="2089"/>
      <c r="I12" s="1380"/>
      <c r="J12" s="1380"/>
      <c r="K12" s="1380"/>
      <c r="L12" s="1381"/>
      <c r="M12" s="1382"/>
      <c r="N12" s="1382"/>
      <c r="O12" s="533"/>
      <c r="P12" s="348"/>
      <c r="Q12" s="367"/>
      <c r="R12" s="343"/>
      <c r="S12" s="1403"/>
      <c r="T12" s="1404"/>
      <c r="U12" s="1405"/>
      <c r="V12" s="1405"/>
      <c r="W12" s="1405"/>
      <c r="X12" s="1405"/>
      <c r="Y12" s="1405"/>
      <c r="Z12" s="1405"/>
      <c r="AA12" s="1405"/>
      <c r="AB12" s="1405"/>
      <c r="AC12" s="1405"/>
      <c r="AD12" s="1405"/>
      <c r="AE12" s="1405"/>
      <c r="AF12" s="1405"/>
      <c r="AG12" s="1405"/>
      <c r="AH12" s="1405"/>
      <c r="AI12" s="1405"/>
      <c r="AJ12" s="1405"/>
      <c r="AK12" s="1405"/>
      <c r="AL12" s="1405"/>
      <c r="AM12" s="1406"/>
      <c r="AO12" s="496"/>
      <c r="AP12" s="496" t="str">
        <f>IF(T12="","",T12)</f>
        <v/>
      </c>
      <c r="AQ12" s="496"/>
      <c r="AR12" s="496"/>
    </row>
    <row s="1667" customFormat="1" customHeight="1" ht="14.25" hidden="1">
      <c r="A13" s="1331"/>
      <c r="B13" s="1331"/>
      <c r="C13" s="1331"/>
      <c r="D13" s="1331"/>
      <c r="E13" s="2090"/>
      <c r="F13" s="2090"/>
      <c r="G13" s="2089"/>
      <c r="H13" s="1331"/>
      <c r="I13" s="1331"/>
      <c r="J13" s="1331"/>
      <c r="K13" s="1331"/>
      <c r="L13" s="1356"/>
      <c r="M13" s="1332"/>
      <c r="N13" s="1332"/>
      <c r="P13" s="1333"/>
      <c r="Q13" s="1334"/>
      <c r="R13" s="1333"/>
      <c r="S13" s="1335"/>
      <c r="T13" s="1336" t="s">
        <v>160</v>
      </c>
      <c r="U13" s="1337"/>
      <c r="V13" s="1337"/>
      <c r="W13" s="1337"/>
      <c r="X13" s="1337"/>
      <c r="Y13" s="1337"/>
      <c r="Z13" s="1337"/>
      <c r="AA13" s="1337"/>
      <c r="AB13" s="1337"/>
      <c r="AC13" s="1337"/>
      <c r="AD13" s="1337"/>
      <c r="AE13" s="1337"/>
      <c r="AF13" s="1337"/>
      <c r="AG13" s="1337"/>
      <c r="AH13" s="1337"/>
      <c r="AI13" s="1337"/>
      <c r="AJ13" s="1337"/>
      <c r="AK13" s="1337"/>
      <c r="AL13" s="1337"/>
      <c r="AM13" s="1337"/>
      <c r="AO13" s="783"/>
      <c r="AP13" s="783" t="str">
        <f>IF(T13="","",T13)</f>
        <v>Добавить источник для дифференциации</v>
      </c>
      <c r="AQ13" s="783"/>
      <c r="AR13" s="783"/>
    </row>
    <row s="1667" customFormat="1" customHeight="1" ht="14.25" hidden="1">
      <c r="A14" s="1331"/>
      <c r="B14" s="1331"/>
      <c r="C14" s="1331"/>
      <c r="D14" s="1331"/>
      <c r="E14" s="2090"/>
      <c r="F14" s="2089"/>
      <c r="G14" s="1331"/>
      <c r="H14" s="1331"/>
      <c r="I14" s="1331"/>
      <c r="J14" s="1331"/>
      <c r="K14" s="1331"/>
      <c r="L14" s="1356"/>
      <c r="M14" s="1338"/>
      <c r="N14" s="1338"/>
      <c r="P14" s="1333"/>
      <c r="Q14" s="1334"/>
      <c r="R14" s="1333"/>
      <c r="S14" s="1339"/>
      <c r="T14" s="1340" t="s">
        <v>161</v>
      </c>
      <c r="U14" s="1341"/>
      <c r="V14" s="1341"/>
      <c r="W14" s="1341"/>
      <c r="X14" s="1341"/>
      <c r="Y14" s="1341"/>
      <c r="Z14" s="1341"/>
      <c r="AA14" s="1341"/>
      <c r="AB14" s="1341"/>
      <c r="AC14" s="1341"/>
      <c r="AD14" s="1341"/>
      <c r="AE14" s="1341"/>
      <c r="AF14" s="1341"/>
      <c r="AG14" s="1341"/>
      <c r="AH14" s="1341"/>
      <c r="AI14" s="1341"/>
      <c r="AJ14" s="1341"/>
      <c r="AK14" s="1341"/>
      <c r="AL14" s="1341"/>
      <c r="AM14" s="1341"/>
      <c r="AO14" s="783"/>
      <c r="AP14" s="783" t="str">
        <f>IF(T14="","",T14)</f>
        <v>Добавить централизованную систему для дифференциации</v>
      </c>
      <c r="AQ14" s="783"/>
      <c r="AR14" s="783"/>
    </row>
    <row s="1667" customFormat="1" customHeight="1" ht="14.25" hidden="1">
      <c r="A15" s="1331"/>
      <c r="B15" s="1331"/>
      <c r="C15" s="1331"/>
      <c r="D15" s="1331"/>
      <c r="E15" s="2089"/>
      <c r="F15" s="1331"/>
      <c r="G15" s="1331"/>
      <c r="H15" s="1331"/>
      <c r="I15" s="1331"/>
      <c r="J15" s="1331"/>
      <c r="K15" s="1331"/>
      <c r="L15" s="1356"/>
      <c r="M15" s="1338"/>
      <c r="N15" s="1338"/>
      <c r="P15" s="1333"/>
      <c r="Q15" s="1334"/>
      <c r="R15" s="1333"/>
      <c r="S15" s="1339"/>
      <c r="T15" s="1342" t="s">
        <v>162</v>
      </c>
      <c r="U15" s="1341"/>
      <c r="V15" s="1341"/>
      <c r="W15" s="1341"/>
      <c r="X15" s="1341"/>
      <c r="Y15" s="1341"/>
      <c r="Z15" s="1341"/>
      <c r="AA15" s="1341"/>
      <c r="AB15" s="1341"/>
      <c r="AC15" s="1341"/>
      <c r="AD15" s="1341"/>
      <c r="AE15" s="1341"/>
      <c r="AF15" s="1341"/>
      <c r="AG15" s="1341"/>
      <c r="AH15" s="1341"/>
      <c r="AI15" s="1341"/>
      <c r="AJ15" s="1341"/>
      <c r="AK15" s="1341"/>
      <c r="AL15" s="1341"/>
      <c r="AM15" s="1341"/>
      <c r="AO15" s="783"/>
      <c r="AP15" s="783" t="str">
        <f>IF(T15="","",T15)</f>
        <v>Добавить территорию для дифференциации</v>
      </c>
      <c r="AQ15" s="783"/>
      <c r="AR15" s="783"/>
    </row>
    <row customHeight="1" ht="14.25" hidden="1">
      <c r="AC16" s="315"/>
      <c r="AK16" s="315"/>
    </row>
    <row customHeight="1" ht="14.25" hidden="1">
      <c r="AD17" s="1377"/>
      <c r="AE17" s="1377"/>
      <c r="AF17" s="1377"/>
      <c r="AG17" s="1378"/>
      <c r="AH17" s="2087"/>
      <c r="AI17" s="2086" t="s">
        <v>61</v>
      </c>
      <c r="AJ17" s="2087"/>
      <c r="AK17" s="2086" t="s">
        <v>61</v>
      </c>
    </row>
    <row customHeight="1" ht="14.25" hidden="1">
      <c r="AD18" s="1377"/>
      <c r="AE18" s="1377"/>
      <c r="AF18" s="1377"/>
      <c r="AG18" s="316" t="str">
        <f>AH17&amp;"-"&amp;AJ17</f>
        <v>-</v>
      </c>
      <c r="AH18" s="2086"/>
      <c r="AI18" s="2086"/>
      <c r="AJ18" s="2086"/>
      <c r="AK18" s="2086"/>
    </row>
    <row customHeight="1" ht="14.25" hidden="1">
      <c r="AK19" s="315"/>
    </row>
    <row s="1383" customFormat="1" customHeight="1" ht="22.5" hidden="1">
      <c r="L20" s="1346"/>
      <c r="M20" s="1379"/>
      <c r="N20" s="1379"/>
      <c r="O20" s="1384" t="s">
        <v>428</v>
      </c>
      <c r="P20" s="1379"/>
      <c r="Q20" s="1388"/>
      <c r="R20" s="1388"/>
      <c r="S20" s="724"/>
      <c r="Z20" s="1384"/>
      <c r="AB20" s="1384"/>
      <c r="AC20" s="1383"/>
      <c r="AH20" s="1384"/>
      <c r="AJ20" s="1384"/>
      <c r="AK20" s="1383"/>
      <c r="AN20" s="507"/>
      <c r="AO20" s="507"/>
      <c r="AP20" s="507"/>
      <c r="AQ20" s="507"/>
      <c r="AR20" s="507"/>
    </row>
    <row s="1383" customFormat="1" customHeight="1" ht="14.25" hidden="1">
      <c r="L21" s="1346"/>
      <c r="M21" s="1379"/>
      <c r="N21" s="1379"/>
      <c r="O21" s="1379"/>
      <c r="P21" s="1379"/>
      <c r="Q21" s="1388"/>
      <c r="R21" s="1388"/>
      <c r="S21" s="724"/>
      <c r="AC21" s="1383"/>
      <c r="AK21" s="1383"/>
      <c r="AN21" s="507"/>
      <c r="AO21" s="507"/>
      <c r="AP21" s="507"/>
      <c r="AQ21" s="507"/>
      <c r="AR21" s="507"/>
    </row>
    <row s="1383" customFormat="1" customHeight="1" ht="14.25" hidden="1">
      <c r="L22" s="1346"/>
      <c r="M22" s="1379"/>
      <c r="N22" s="1379"/>
      <c r="O22" s="1381" t="s">
        <v>429</v>
      </c>
      <c r="P22" s="1379"/>
      <c r="Q22" s="1388"/>
      <c r="R22" s="1388"/>
      <c r="S22" s="724"/>
      <c r="T22" s="1155" t="s">
        <v>430</v>
      </c>
      <c r="AA22" s="166" t="s">
        <v>431</v>
      </c>
      <c r="AC22" s="166" t="s">
        <v>432</v>
      </c>
      <c r="AD22" s="1155" t="s">
        <v>430</v>
      </c>
      <c r="AI22" s="166" t="s">
        <v>433</v>
      </c>
      <c r="AK22" s="166" t="s">
        <v>432</v>
      </c>
      <c r="AN22" s="507"/>
      <c r="AO22" s="507"/>
      <c r="AP22" s="507"/>
      <c r="AQ22" s="507"/>
      <c r="AR22" s="507"/>
    </row>
    <row customHeight="1" ht="14.25" hidden="1">
      <c r="O23" s="1381"/>
    </row>
    <row customHeight="1" ht="14.25" hidden="1">
      <c r="O24" s="1381"/>
    </row>
    <row customHeight="1" ht="14.25">
      <c r="Q25" s="368"/>
      <c r="R25" s="368"/>
      <c r="S25" s="1292"/>
      <c r="T25" s="353"/>
      <c r="U25" s="353"/>
      <c r="V25" s="505"/>
      <c r="W25" s="505"/>
      <c r="X25" s="505"/>
      <c r="Y25" s="505"/>
      <c r="Z25" s="505"/>
      <c r="AA25" s="505"/>
      <c r="AB25" s="505"/>
      <c r="AC25" s="505"/>
      <c r="AD25" s="505"/>
      <c r="AE25" s="505"/>
      <c r="AF25" s="505"/>
      <c r="AG25" s="505"/>
      <c r="AH25" s="505"/>
      <c r="AI25" s="505"/>
      <c r="AJ25" s="505"/>
      <c r="AK25" s="505"/>
    </row>
    <row customHeight="1" ht="51">
      <c r="Q26" s="368"/>
      <c r="R26" s="368"/>
      <c r="S26" s="2122"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22"/>
      <c r="U26" s="2122"/>
      <c r="V26" s="2122"/>
      <c r="W26" s="2122"/>
      <c r="X26" s="2122"/>
      <c r="Y26" s="2122"/>
      <c r="Z26" s="2122"/>
      <c r="AA26" s="2122"/>
      <c r="AB26" s="2122"/>
      <c r="AC26" s="2122"/>
      <c r="AD26" s="2122"/>
      <c r="AE26" s="2122"/>
      <c r="AF26" s="2122"/>
      <c r="AG26" s="2122"/>
      <c r="AH26" s="2122"/>
      <c r="AI26" s="2122"/>
      <c r="AJ26" s="2122"/>
      <c r="AK26" s="1248"/>
    </row>
    <row customHeight="1" ht="14.25">
      <c r="Q27" s="368"/>
      <c r="R27" s="368"/>
      <c r="S27" s="2123" t="str">
        <f>IF(org=0,"Не определено",org)</f>
        <v>ПАО "ТГК-1" филиал "Невский"</v>
      </c>
      <c r="T27" s="2123"/>
      <c r="U27" s="2123"/>
      <c r="V27" s="2123"/>
      <c r="W27" s="2123"/>
      <c r="X27" s="2123"/>
      <c r="Y27" s="2123"/>
      <c r="Z27" s="2123"/>
      <c r="AA27" s="2123"/>
      <c r="AB27" s="2123"/>
      <c r="AC27" s="2123"/>
      <c r="AD27" s="2123"/>
      <c r="AE27" s="2123"/>
      <c r="AF27" s="2123"/>
      <c r="AG27" s="2123"/>
      <c r="AH27" s="2123"/>
      <c r="AI27" s="2123"/>
      <c r="AJ27" s="2123"/>
      <c r="AK27" s="1248"/>
    </row>
    <row customHeight="1" ht="14.25">
      <c r="Q28" s="368"/>
      <c r="R28" s="368"/>
      <c r="S28" s="1292"/>
      <c r="T28" s="353"/>
      <c r="U28" s="353"/>
      <c r="V28" s="308"/>
      <c r="W28" s="308"/>
      <c r="X28" s="308"/>
      <c r="Y28" s="308"/>
      <c r="Z28" s="308"/>
      <c r="AA28" s="308"/>
      <c r="AB28" s="308"/>
      <c r="AC28" s="308"/>
      <c r="AD28" s="308"/>
      <c r="AE28" s="308"/>
      <c r="AF28" s="308"/>
      <c r="AG28" s="308"/>
      <c r="AH28" s="308"/>
      <c r="AI28" s="308"/>
      <c r="AJ28" s="308"/>
      <c r="AK28" s="308"/>
      <c r="AL28" s="505"/>
    </row>
    <row s="1877" customFormat="1" customHeight="1" ht="25.5">
      <c r="A29" s="1385"/>
      <c r="B29" s="1385"/>
      <c r="C29" s="1385"/>
      <c r="D29" s="1385"/>
      <c r="E29" s="1385"/>
      <c r="F29" s="1385"/>
      <c r="G29" s="1385"/>
      <c r="H29" s="1385"/>
      <c r="I29" s="1385"/>
      <c r="J29" s="1385"/>
      <c r="K29" s="1385"/>
      <c r="L29" s="1386"/>
      <c r="M29" s="1385"/>
      <c r="N29" s="1385"/>
      <c r="O29" s="1385"/>
      <c r="S29" s="2080" t="s">
        <v>38</v>
      </c>
      <c r="T29" s="2080"/>
      <c r="U29" s="1389"/>
      <c r="V29" s="2082" t="str">
        <f>IF(TITLE_NAME_OR_PR_CHANGE="",IF(TITLE_NAME_OR_PR="","",TITLE_NAME_OR_PR),TITLE_NAME_OR_PR_CHANGE)</f>
        <v>Комитет по тарифам Санкт-Петербурга</v>
      </c>
      <c r="W29" s="2082"/>
      <c r="X29" s="2082"/>
      <c r="Y29" s="2082"/>
      <c r="Z29" s="2082"/>
      <c r="AA29" s="2082"/>
      <c r="AB29" s="2082"/>
      <c r="AC29" s="314"/>
      <c r="AD29" s="2082" t="str">
        <f>IF(TITLE_NAME_OR_PR_CHANGE="",IF(TITLE_NAME_OR_PR="","",TITLE_NAME_OR_PR),TITLE_NAME_OR_PR_CHANGE)</f>
        <v>Комитет по тарифам Санкт-Петербурга</v>
      </c>
      <c r="AE29" s="2082"/>
      <c r="AF29" s="2082"/>
      <c r="AG29" s="2082"/>
      <c r="AH29" s="2082"/>
      <c r="AI29" s="2082"/>
      <c r="AJ29" s="2082"/>
      <c r="AK29" s="314"/>
      <c r="AL29" s="314"/>
      <c r="AM29" s="261"/>
      <c r="AN29" s="360"/>
      <c r="AO29" s="360"/>
      <c r="AP29" s="360"/>
      <c r="AQ29" s="360"/>
      <c r="AR29" s="360"/>
    </row>
    <row s="1877" customFormat="1" customHeight="1" ht="18.75">
      <c r="A30" s="1385"/>
      <c r="B30" s="1385"/>
      <c r="C30" s="1385"/>
      <c r="D30" s="1385"/>
      <c r="E30" s="1385"/>
      <c r="F30" s="1385"/>
      <c r="G30" s="1385"/>
      <c r="H30" s="1385"/>
      <c r="I30" s="1385"/>
      <c r="J30" s="1385"/>
      <c r="K30" s="1385"/>
      <c r="L30" s="1386"/>
      <c r="M30" s="1385"/>
      <c r="N30" s="1385"/>
      <c r="O30" s="1385"/>
      <c r="S30" s="2080" t="s">
        <v>434</v>
      </c>
      <c r="T30" s="2080"/>
      <c r="U30" s="1389"/>
      <c r="V30" s="2081" t="str">
        <f>IF(TITLE_DATE_PR_CHANGE="",IF(TITLE_DATE_PR="","",TITLE_DATE_PR),TITLE_DATE_PR_CHANGE)</f>
        <v>45280.49324074074</v>
      </c>
      <c r="W30" s="2081"/>
      <c r="X30" s="2081"/>
      <c r="Y30" s="2081"/>
      <c r="Z30" s="2081"/>
      <c r="AA30" s="2081"/>
      <c r="AB30" s="2081"/>
      <c r="AC30" s="314"/>
      <c r="AD30" s="2081" t="str">
        <f>IF(TITLE_DATE_PR_CHANGE="",IF(TITLE_DATE_PR="","",TITLE_DATE_PR),TITLE_DATE_PR_CHANGE)</f>
        <v>45280.49324074074</v>
      </c>
      <c r="AE30" s="2081"/>
      <c r="AF30" s="2081"/>
      <c r="AG30" s="2081"/>
      <c r="AH30" s="2081"/>
      <c r="AI30" s="2081"/>
      <c r="AJ30" s="2081"/>
      <c r="AK30" s="314"/>
      <c r="AL30" s="314"/>
      <c r="AM30" s="261"/>
      <c r="AN30" s="360"/>
      <c r="AO30" s="360"/>
      <c r="AP30" s="360"/>
      <c r="AQ30" s="360"/>
      <c r="AR30" s="360"/>
    </row>
    <row s="1877" customFormat="1" customHeight="1" ht="18.75">
      <c r="A31" s="1385"/>
      <c r="B31" s="1385"/>
      <c r="C31" s="1385"/>
      <c r="D31" s="1385"/>
      <c r="E31" s="1385"/>
      <c r="F31" s="1385"/>
      <c r="G31" s="1385"/>
      <c r="H31" s="1385"/>
      <c r="I31" s="1385"/>
      <c r="J31" s="1385"/>
      <c r="K31" s="1385"/>
      <c r="L31" s="1386"/>
      <c r="M31" s="1385"/>
      <c r="N31" s="1385"/>
      <c r="O31" s="1385"/>
      <c r="S31" s="2080" t="s">
        <v>435</v>
      </c>
      <c r="T31" s="2080"/>
      <c r="U31" s="1389"/>
      <c r="V31" s="2082" t="str">
        <f>IF(TITLE_NUMBER_PR_CHANGE="",IF(TITLE_NUMBER_PR="","",TITLE_NUMBER_PR),TITLE_NUMBER_PR_CHANGE)</f>
        <v>262-р</v>
      </c>
      <c r="W31" s="2082"/>
      <c r="X31" s="2082"/>
      <c r="Y31" s="2082"/>
      <c r="Z31" s="2082"/>
      <c r="AA31" s="2082"/>
      <c r="AB31" s="2082"/>
      <c r="AC31" s="314"/>
      <c r="AD31" s="2082" t="str">
        <f>IF(TITLE_NUMBER_PR_CHANGE="",IF(TITLE_NUMBER_PR="","",TITLE_NUMBER_PR),TITLE_NUMBER_PR_CHANGE)</f>
        <v>262-р</v>
      </c>
      <c r="AE31" s="2082"/>
      <c r="AF31" s="2082"/>
      <c r="AG31" s="2082"/>
      <c r="AH31" s="2082"/>
      <c r="AI31" s="2082"/>
      <c r="AJ31" s="2082"/>
      <c r="AK31" s="314"/>
      <c r="AL31" s="314"/>
      <c r="AM31" s="261"/>
      <c r="AN31" s="360"/>
      <c r="AO31" s="360"/>
      <c r="AP31" s="360"/>
      <c r="AQ31" s="360"/>
      <c r="AR31" s="360"/>
    </row>
    <row s="1877" customFormat="1" customHeight="1" ht="18.75">
      <c r="A32" s="1385"/>
      <c r="B32" s="1385"/>
      <c r="C32" s="1385"/>
      <c r="D32" s="1385"/>
      <c r="E32" s="1385"/>
      <c r="F32" s="1385"/>
      <c r="G32" s="1385"/>
      <c r="H32" s="1385"/>
      <c r="I32" s="1385"/>
      <c r="J32" s="1385"/>
      <c r="K32" s="1385"/>
      <c r="L32" s="1386"/>
      <c r="M32" s="1385"/>
      <c r="N32" s="1385"/>
      <c r="O32" s="1385"/>
      <c r="S32" s="2080" t="s">
        <v>40</v>
      </c>
      <c r="T32" s="2080"/>
      <c r="U32" s="1389"/>
      <c r="V32" s="2082" t="str">
        <f>IF(TITLE_IST_PUB_CHANGE="",IF(TITLE_IST_PUB="","",TITLE_IST_PUB),TITLE_IST_PUB_CHANGE)</f>
        <v>https://www.gov.spb.ru/static/writable/documents/2023/12/22/%D0%BE%D1%82_20.12.2023__262-%D1%80.pdf</v>
      </c>
      <c r="W32" s="2082"/>
      <c r="X32" s="2082"/>
      <c r="Y32" s="2082"/>
      <c r="Z32" s="2082"/>
      <c r="AA32" s="2082"/>
      <c r="AB32" s="2082"/>
      <c r="AC32" s="314"/>
      <c r="AD32" s="2082" t="str">
        <f>IF(TITLE_IST_PUB_CHANGE="",IF(TITLE_IST_PUB="","",TITLE_IST_PUB),TITLE_IST_PUB_CHANGE)</f>
        <v>https://www.gov.spb.ru/static/writable/documents/2023/12/22/%D0%BE%D1%82_20.12.2023__262-%D1%80.pdf</v>
      </c>
      <c r="AE32" s="2082"/>
      <c r="AF32" s="2082"/>
      <c r="AG32" s="2082"/>
      <c r="AH32" s="2082"/>
      <c r="AI32" s="2082"/>
      <c r="AJ32" s="2082"/>
      <c r="AK32" s="314"/>
      <c r="AL32" s="314"/>
      <c r="AM32" s="261"/>
      <c r="AN32" s="360"/>
      <c r="AO32" s="360"/>
      <c r="AP32" s="360"/>
      <c r="AQ32" s="360"/>
      <c r="AR32" s="360"/>
    </row>
    <row customHeight="1" ht="14.25" hidden="1">
      <c r="Q33" s="368"/>
      <c r="R33" s="368"/>
      <c r="S33" s="1292"/>
      <c r="T33" s="353"/>
      <c r="U33" s="353"/>
      <c r="V33" s="308"/>
      <c r="W33" s="308"/>
      <c r="X33" s="308"/>
      <c r="Y33" s="308"/>
      <c r="Z33" s="308"/>
      <c r="AA33" s="308"/>
      <c r="AB33" s="308"/>
      <c r="AC33" s="308"/>
      <c r="AD33" s="308"/>
      <c r="AE33" s="308"/>
      <c r="AF33" s="308"/>
      <c r="AG33" s="308"/>
      <c r="AH33" s="308"/>
      <c r="AI33" s="308"/>
      <c r="AJ33" s="308"/>
      <c r="AK33" s="308"/>
      <c r="AL33" s="505"/>
    </row>
    <row s="1877" customFormat="1" customHeight="1" ht="18.75" hidden="1">
      <c r="A34" s="1385"/>
      <c r="B34" s="1385"/>
      <c r="C34" s="1385"/>
      <c r="D34" s="1385"/>
      <c r="E34" s="1385"/>
      <c r="F34" s="1385"/>
      <c r="G34" s="1385"/>
      <c r="H34" s="1385"/>
      <c r="I34" s="1385"/>
      <c r="J34" s="1385"/>
      <c r="K34" s="1385"/>
      <c r="L34" s="1386"/>
      <c r="M34" s="1385"/>
      <c r="N34" s="1385"/>
      <c r="O34" s="1385"/>
      <c r="S34" s="2080" t="s">
        <v>436</v>
      </c>
      <c r="T34" s="2080"/>
      <c r="U34" s="1389"/>
      <c r="V34" s="2081" t="str">
        <f>IF(TITLE_DATE_PR_CHANGE="",IF(TITLE_DATE_PR="","",TITLE_DATE_PR),TITLE_DATE_PR_CHANGE)</f>
        <v>45280.49324074074</v>
      </c>
      <c r="W34" s="2081"/>
      <c r="X34" s="2081"/>
      <c r="Y34" s="2081"/>
      <c r="Z34" s="2081"/>
      <c r="AA34" s="2081"/>
      <c r="AB34" s="2081"/>
      <c r="AC34" s="314"/>
      <c r="AD34" s="2081" t="str">
        <f>IF(TITLE_DATE_PR_CHANGE="",IF(TITLE_DATE_PR="","",TITLE_DATE_PR),TITLE_DATE_PR_CHANGE)</f>
        <v>45280.49324074074</v>
      </c>
      <c r="AE34" s="2081"/>
      <c r="AF34" s="2081"/>
      <c r="AG34" s="2081"/>
      <c r="AH34" s="2081"/>
      <c r="AI34" s="2081"/>
      <c r="AJ34" s="2081"/>
      <c r="AK34" s="314"/>
      <c r="AL34" s="314"/>
      <c r="AM34" s="261"/>
      <c r="AN34" s="360"/>
      <c r="AO34" s="360"/>
      <c r="AP34" s="360"/>
      <c r="AQ34" s="360"/>
      <c r="AR34" s="360"/>
    </row>
    <row s="1877" customFormat="1" customHeight="1" ht="25.5" hidden="1">
      <c r="A35" s="1385"/>
      <c r="B35" s="1385"/>
      <c r="C35" s="1385"/>
      <c r="D35" s="1385"/>
      <c r="E35" s="1385"/>
      <c r="F35" s="1385"/>
      <c r="G35" s="1385"/>
      <c r="H35" s="1385"/>
      <c r="I35" s="1385"/>
      <c r="J35" s="1385"/>
      <c r="K35" s="1385"/>
      <c r="L35" s="1386"/>
      <c r="M35" s="1385"/>
      <c r="N35" s="1385"/>
      <c r="O35" s="1385"/>
      <c r="S35" s="2080" t="s">
        <v>437</v>
      </c>
      <c r="T35" s="2080"/>
      <c r="U35" s="1389"/>
      <c r="V35" s="2082" t="str">
        <f>IF(TITLE_NUMBER_PR_CHANGE="",IF(TITLE_NUMBER_PR="","",TITLE_NUMBER_PR),TITLE_NUMBER_PR_CHANGE)</f>
        <v>262-р</v>
      </c>
      <c r="W35" s="2082"/>
      <c r="X35" s="2082"/>
      <c r="Y35" s="2082"/>
      <c r="Z35" s="2082"/>
      <c r="AA35" s="2082"/>
      <c r="AB35" s="2082"/>
      <c r="AC35" s="314"/>
      <c r="AD35" s="2082" t="str">
        <f>IF(TITLE_NUMBER_PR_CHANGE="",IF(TITLE_NUMBER_PR="","",TITLE_NUMBER_PR),TITLE_NUMBER_PR_CHANGE)</f>
        <v>262-р</v>
      </c>
      <c r="AE35" s="2082"/>
      <c r="AF35" s="2082"/>
      <c r="AG35" s="2082"/>
      <c r="AH35" s="2082"/>
      <c r="AI35" s="2082"/>
      <c r="AJ35" s="2082"/>
      <c r="AK35" s="314"/>
      <c r="AL35" s="314"/>
      <c r="AM35" s="261"/>
      <c r="AN35" s="360"/>
      <c r="AO35" s="360"/>
      <c r="AP35" s="360"/>
      <c r="AQ35" s="360"/>
      <c r="AR35" s="360"/>
    </row>
    <row s="1877" customFormat="1" customHeight="1" ht="0">
      <c r="A36" s="1385"/>
      <c r="B36" s="1385"/>
      <c r="C36" s="1385"/>
      <c r="D36" s="1385"/>
      <c r="E36" s="1385"/>
      <c r="F36" s="1385"/>
      <c r="G36" s="1385"/>
      <c r="H36" s="1385"/>
      <c r="I36" s="1385"/>
      <c r="J36" s="1385"/>
      <c r="K36" s="1385"/>
      <c r="L36" s="1386"/>
      <c r="M36" s="1385"/>
      <c r="N36" s="1385"/>
      <c r="O36" s="1385"/>
      <c r="S36" s="310"/>
      <c r="T36" s="310"/>
      <c r="U36" s="1357"/>
      <c r="V36" s="314"/>
      <c r="W36" s="314"/>
      <c r="X36" s="314"/>
      <c r="Y36" s="314"/>
      <c r="Z36" s="314"/>
      <c r="AA36" s="314"/>
      <c r="AB36" s="314"/>
      <c r="AC36" s="259" t="s">
        <v>438</v>
      </c>
      <c r="AD36" s="314"/>
      <c r="AE36" s="314"/>
      <c r="AF36" s="314"/>
      <c r="AG36" s="314"/>
      <c r="AH36" s="314"/>
      <c r="AI36" s="314"/>
      <c r="AJ36" s="314"/>
      <c r="AK36" s="259" t="s">
        <v>438</v>
      </c>
      <c r="AN36" s="360"/>
      <c r="AO36" s="360"/>
      <c r="AP36" s="360"/>
      <c r="AQ36" s="360"/>
      <c r="AR36" s="360"/>
    </row>
    <row customHeight="1" ht="14.25">
      <c r="Q37" s="368"/>
      <c r="R37" s="368"/>
      <c r="S37" s="1292"/>
      <c r="T37" s="353"/>
      <c r="U37" s="1249"/>
      <c r="V37" s="2106"/>
      <c r="W37" s="2106"/>
      <c r="X37" s="2106"/>
      <c r="Y37" s="2106"/>
      <c r="Z37" s="2106"/>
      <c r="AA37" s="2106"/>
      <c r="AB37" s="2106"/>
      <c r="AC37" s="2106"/>
      <c r="AD37" s="2106"/>
      <c r="AE37" s="2106"/>
      <c r="AF37" s="2106"/>
      <c r="AG37" s="2106"/>
      <c r="AH37" s="2106"/>
      <c r="AI37" s="2106"/>
      <c r="AJ37" s="2106"/>
      <c r="AK37" s="2106"/>
    </row>
    <row customHeight="1" ht="14.25">
      <c r="Q38" s="368"/>
      <c r="R38" s="368"/>
      <c r="S38" s="1953" t="s">
        <v>312</v>
      </c>
      <c r="T38" s="1953"/>
      <c r="U38" s="1953"/>
      <c r="V38" s="1953"/>
      <c r="W38" s="1953"/>
      <c r="X38" s="1953"/>
      <c r="Y38" s="1953"/>
      <c r="Z38" s="1953"/>
      <c r="AA38" s="1953"/>
      <c r="AB38" s="1953"/>
      <c r="AC38" s="1953"/>
      <c r="AD38" s="1953"/>
      <c r="AE38" s="1953"/>
      <c r="AF38" s="1953"/>
      <c r="AG38" s="1953"/>
      <c r="AH38" s="1953"/>
      <c r="AI38" s="1953"/>
      <c r="AJ38" s="1953"/>
      <c r="AK38" s="1953"/>
      <c r="AL38" s="1953"/>
      <c r="AM38" s="1953" t="s">
        <v>313</v>
      </c>
    </row>
    <row customHeight="1" ht="14.25">
      <c r="Q39" s="368"/>
      <c r="R39" s="368"/>
      <c r="S39" s="2107" t="s">
        <v>87</v>
      </c>
      <c r="T39" s="2044" t="s">
        <v>439</v>
      </c>
      <c r="U39" s="281"/>
      <c r="V39" s="2108" t="s">
        <v>440</v>
      </c>
      <c r="W39" s="2109"/>
      <c r="X39" s="2109"/>
      <c r="Y39" s="2109"/>
      <c r="Z39" s="2109"/>
      <c r="AA39" s="2109"/>
      <c r="AB39" s="2110"/>
      <c r="AC39" s="2111" t="s">
        <v>441</v>
      </c>
      <c r="AD39" s="2108" t="s">
        <v>440</v>
      </c>
      <c r="AE39" s="2109"/>
      <c r="AF39" s="2109"/>
      <c r="AG39" s="2109"/>
      <c r="AH39" s="2109"/>
      <c r="AI39" s="2109"/>
      <c r="AJ39" s="2110"/>
      <c r="AK39" s="2111" t="s">
        <v>442</v>
      </c>
      <c r="AL39" s="2114" t="s">
        <v>443</v>
      </c>
      <c r="AM39" s="1953"/>
    </row>
    <row customHeight="1" ht="33.75">
      <c r="Q40" s="368"/>
      <c r="R40" s="368"/>
      <c r="S40" s="2107"/>
      <c r="T40" s="2044"/>
      <c r="U40" s="1026"/>
      <c r="V40" s="2117" t="s">
        <v>444</v>
      </c>
      <c r="W40" s="2098"/>
      <c r="X40" s="2100" t="s">
        <v>446</v>
      </c>
      <c r="Y40" s="2102"/>
      <c r="Z40" s="2100" t="s">
        <v>447</v>
      </c>
      <c r="AA40" s="2101"/>
      <c r="AB40" s="2102"/>
      <c r="AC40" s="2112"/>
      <c r="AD40" s="2117" t="s">
        <v>444</v>
      </c>
      <c r="AE40" s="2098"/>
      <c r="AF40" s="2100" t="s">
        <v>446</v>
      </c>
      <c r="AG40" s="2102"/>
      <c r="AH40" s="2100" t="s">
        <v>447</v>
      </c>
      <c r="AI40" s="2101"/>
      <c r="AJ40" s="2102"/>
      <c r="AK40" s="2112"/>
      <c r="AL40" s="2115"/>
      <c r="AM40" s="1953"/>
    </row>
    <row customHeight="1" ht="33.75">
      <c r="A41" s="1387"/>
      <c r="B41" s="1387" t="s">
        <v>134</v>
      </c>
      <c r="C41" s="1387" t="s">
        <v>135</v>
      </c>
      <c r="D41" s="1387" t="s">
        <v>136</v>
      </c>
      <c r="E41" s="1381" t="s">
        <v>448</v>
      </c>
      <c r="F41" s="1381" t="s">
        <v>449</v>
      </c>
      <c r="G41" s="1381" t="s">
        <v>450</v>
      </c>
      <c r="H41" s="1381" t="s">
        <v>451</v>
      </c>
      <c r="I41" s="1381" t="s">
        <v>452</v>
      </c>
      <c r="J41" s="1381" t="s">
        <v>453</v>
      </c>
      <c r="K41" s="1381" t="s">
        <v>454</v>
      </c>
      <c r="L41" s="1381" t="s">
        <v>429</v>
      </c>
      <c r="Q41" s="368"/>
      <c r="R41" s="368"/>
      <c r="S41" s="2107"/>
      <c r="T41" s="2044"/>
      <c r="U41" s="282"/>
      <c r="V41" s="2118"/>
      <c r="W41" s="2099"/>
      <c r="X41" s="1224" t="s">
        <v>455</v>
      </c>
      <c r="Y41" s="1224" t="s">
        <v>456</v>
      </c>
      <c r="Z41" s="1355" t="s">
        <v>457</v>
      </c>
      <c r="AA41" s="2103" t="s">
        <v>458</v>
      </c>
      <c r="AB41" s="2104"/>
      <c r="AC41" s="2113"/>
      <c r="AD41" s="2118"/>
      <c r="AE41" s="2099"/>
      <c r="AF41" s="1224" t="s">
        <v>455</v>
      </c>
      <c r="AG41" s="1224" t="s">
        <v>456</v>
      </c>
      <c r="AH41" s="1355" t="s">
        <v>457</v>
      </c>
      <c r="AI41" s="2103" t="s">
        <v>458</v>
      </c>
      <c r="AJ41" s="2104"/>
      <c r="AK41" s="2113"/>
      <c r="AL41" s="2116"/>
      <c r="AM41" s="1953"/>
    </row>
    <row s="1666" customFormat="1" customHeight="1" ht="11.25" hidden="1">
      <c r="A42" s="1387"/>
      <c r="B42" s="1387"/>
      <c r="C42" s="1387"/>
      <c r="D42" s="1387"/>
      <c r="E42" s="1387"/>
      <c r="F42" s="1387"/>
      <c r="G42" s="1387"/>
      <c r="H42" s="1387"/>
      <c r="I42" s="1387"/>
      <c r="J42" s="1387"/>
      <c r="K42" s="1387"/>
      <c r="L42" s="1381"/>
      <c r="M42" s="1379"/>
      <c r="N42" s="1379"/>
      <c r="O42" s="1379"/>
      <c r="P42" s="1251"/>
      <c r="Q42" s="1252"/>
      <c r="R42" s="1267">
        <v>1</v>
      </c>
      <c r="S42" s="1294" t="s">
        <v>108</v>
      </c>
      <c r="T42" s="1268" t="s">
        <v>109</v>
      </c>
      <c r="U42" s="1250" t="str">
        <f>OFFSET(U42,0,-1)</f>
        <v>2</v>
      </c>
      <c r="V42" s="1352">
        <f>OFFSET(V42,0,-1)+1</f>
        <v>3</v>
      </c>
      <c r="W42" s="1352"/>
      <c r="X42" s="1352">
        <f>OFFSET(X42,0,-1)+1</f>
        <v>1</v>
      </c>
      <c r="Y42" s="1352">
        <f>OFFSET(Y42,0,-1)+1</f>
        <v>2</v>
      </c>
      <c r="Z42" s="1352">
        <f>OFFSET(Z42,0,-1)+1</f>
        <v>3</v>
      </c>
      <c r="AA42" s="2105">
        <f>OFFSET(AA42,0,-1)+1</f>
        <v>4</v>
      </c>
      <c r="AB42" s="2105"/>
      <c r="AC42" s="1352">
        <f>OFFSET(AC42,0,-2)+1</f>
        <v>5</v>
      </c>
      <c r="AD42" s="1352">
        <f>OFFSET(AD42,0,-1)+1</f>
        <v>6</v>
      </c>
      <c r="AE42" s="1352"/>
      <c r="AF42" s="1352">
        <f>OFFSET(AF42,0,-1)+1</f>
        <v>1</v>
      </c>
      <c r="AG42" s="1352">
        <f>OFFSET(AG42,0,-1)+1</f>
        <v>2</v>
      </c>
      <c r="AH42" s="1352">
        <f>OFFSET(AH42,0,-1)+1</f>
        <v>3</v>
      </c>
      <c r="AI42" s="2105">
        <f>OFFSET(AI42,0,-1)+1</f>
        <v>4</v>
      </c>
      <c r="AJ42" s="2105"/>
      <c r="AK42" s="1352">
        <f>OFFSET(AK42,0,-2)+1</f>
        <v>5</v>
      </c>
      <c r="AL42" s="1250">
        <f>OFFSET(AL42,0,-1)</f>
        <v>5</v>
      </c>
      <c r="AM42" s="1352">
        <f>OFFSET(AM42,0,-1)+1</f>
        <v>6</v>
      </c>
      <c r="AN42" s="507"/>
      <c r="AO42" s="507"/>
      <c r="AP42" s="507"/>
      <c r="AQ42" s="507"/>
      <c r="AR42" s="507"/>
    </row>
    <row customHeight="1" ht="21">
      <c r="A43" s="1380" t="s">
        <v>210</v>
      </c>
      <c r="B43" s="1380"/>
      <c r="C43" s="1380"/>
      <c r="D43" s="1380"/>
      <c r="E43" s="2089">
        <v>1</v>
      </c>
      <c r="F43" s="1380"/>
      <c r="G43" s="1380"/>
      <c r="H43" s="1380"/>
      <c r="I43" s="1380"/>
      <c r="J43" s="1380"/>
      <c r="K43" s="1380"/>
      <c r="L43" s="1381"/>
      <c r="M43" s="1382"/>
      <c r="N43" s="1382"/>
      <c r="O43" s="1382"/>
      <c r="P43" s="349"/>
      <c r="Q43" s="348"/>
      <c r="R43" s="343"/>
      <c r="S43" s="1353">
        <f>INDEX(PT_DIFFERENTIATION_NUM_NTAR,MATCH(A43,PT_DIFFERENTIATION_NTAR_ID,0))</f>
        <v>0</v>
      </c>
      <c r="T43" s="278" t="s">
        <v>122</v>
      </c>
      <c r="U43" s="280"/>
      <c r="V43" s="2083"/>
      <c r="W43" s="2084"/>
      <c r="X43" s="2084"/>
      <c r="Y43" s="2084"/>
      <c r="Z43" s="2084"/>
      <c r="AA43" s="2084"/>
      <c r="AB43" s="2084"/>
      <c r="AC43" s="2085"/>
      <c r="AD43" s="2083" t="str">
        <f>INDEX(PT_DIFFERENTIATION_NTAR,MATCH(A43,PT_DIFFERENTIATION_NTAR_ID,0))</f>
        <v/>
      </c>
      <c r="AE43" s="2084"/>
      <c r="AF43" s="2084"/>
      <c r="AG43" s="2084"/>
      <c r="AH43" s="2084"/>
      <c r="AI43" s="2084"/>
      <c r="AJ43" s="2084"/>
      <c r="AK43" s="2084"/>
      <c r="AL43" s="2085"/>
      <c r="AM43" s="1273"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496"/>
      <c r="AP43" s="496" t="str">
        <f>IF(T43="","",T43)</f>
        <v>Наименование тарифа</v>
      </c>
      <c r="AQ43" s="496"/>
      <c r="AR43" s="496"/>
    </row>
    <row customHeight="1" ht="21">
      <c r="A44" s="1380" t="s">
        <v>210</v>
      </c>
      <c r="B44" s="1380" t="s">
        <v>211</v>
      </c>
      <c r="C44" s="1380"/>
      <c r="D44" s="1380"/>
      <c r="E44" s="2090"/>
      <c r="F44" s="2089">
        <v>1</v>
      </c>
      <c r="G44" s="1380"/>
      <c r="H44" s="1380"/>
      <c r="I44" s="1380"/>
      <c r="J44" s="1380"/>
      <c r="K44" s="1380"/>
      <c r="L44" s="1381"/>
      <c r="M44" s="1382"/>
      <c r="N44" s="1382"/>
      <c r="O44" s="1382"/>
      <c r="P44" s="1349"/>
      <c r="Q44" s="340"/>
      <c r="R44" s="341"/>
      <c r="S44" s="1353" t="str">
        <f>INDEX(PT_DIFFERENTIATION_NUM_TER,MATCH(B44,PT_DIFFERENTIATION_TER_ID,0))</f>
        <v>.</v>
      </c>
      <c r="T44" s="290" t="s">
        <v>411</v>
      </c>
      <c r="U44" s="280"/>
      <c r="V44" s="2083"/>
      <c r="W44" s="2084"/>
      <c r="X44" s="2084"/>
      <c r="Y44" s="2084"/>
      <c r="Z44" s="2084"/>
      <c r="AA44" s="2084"/>
      <c r="AB44" s="2084"/>
      <c r="AC44" s="2085"/>
      <c r="AD44" s="2083" t="str">
        <f>INDEX(PT_DIFFERENTIATION_TER,MATCH(B44,PT_DIFFERENTIATION_TER_ID,0))</f>
        <v/>
      </c>
      <c r="AE44" s="2084"/>
      <c r="AF44" s="2084"/>
      <c r="AG44" s="2084"/>
      <c r="AH44" s="2084"/>
      <c r="AI44" s="2084"/>
      <c r="AJ44" s="2084"/>
      <c r="AK44" s="2084"/>
      <c r="AL44" s="2085"/>
      <c r="AM44" s="1273" t="s">
        <v>412</v>
      </c>
      <c r="AO44" s="496"/>
      <c r="AP44" s="496" t="str">
        <f>IF(T44="","",T44)</f>
        <v>Территория действия тарифа</v>
      </c>
      <c r="AQ44" s="496"/>
      <c r="AR44" s="496"/>
    </row>
    <row customHeight="1" ht="23.25">
      <c r="A45" s="1380" t="s">
        <v>210</v>
      </c>
      <c r="B45" s="1380" t="s">
        <v>211</v>
      </c>
      <c r="C45" s="1380" t="s">
        <v>212</v>
      </c>
      <c r="D45" s="1380"/>
      <c r="E45" s="2090"/>
      <c r="F45" s="2090"/>
      <c r="G45" s="2089">
        <v>1</v>
      </c>
      <c r="H45" s="1380"/>
      <c r="I45" s="1380"/>
      <c r="J45" s="1380"/>
      <c r="K45" s="1380"/>
      <c r="L45" s="1381"/>
      <c r="M45" s="1382"/>
      <c r="N45" s="1382"/>
      <c r="O45" s="1382"/>
      <c r="P45" s="342"/>
      <c r="Q45" s="340"/>
      <c r="R45" s="341"/>
      <c r="S45" s="1353" t="str">
        <f>INDEX(PT_DIFFERENTIATION_NUM_CS,MATCH(C45,PT_DIFFERENTIATION_CS_ID,0))</f>
        <v>..</v>
      </c>
      <c r="T45" s="291" t="s">
        <v>413</v>
      </c>
      <c r="U45" s="280"/>
      <c r="V45" s="2083"/>
      <c r="W45" s="2084"/>
      <c r="X45" s="2084"/>
      <c r="Y45" s="2084"/>
      <c r="Z45" s="2084"/>
      <c r="AA45" s="2084"/>
      <c r="AB45" s="2084"/>
      <c r="AC45" s="2085"/>
      <c r="AD45" s="2083" t="str">
        <f>INDEX(PT_DIFFERENTIATION_CS,MATCH(C45,PT_DIFFERENTIATION_CS_ID,0))</f>
        <v/>
      </c>
      <c r="AE45" s="2084"/>
      <c r="AF45" s="2084"/>
      <c r="AG45" s="2084"/>
      <c r="AH45" s="2084"/>
      <c r="AI45" s="2084"/>
      <c r="AJ45" s="2084"/>
      <c r="AK45" s="2084"/>
      <c r="AL45" s="2085"/>
      <c r="AM45" s="1273" t="s">
        <v>414</v>
      </c>
      <c r="AO45" s="496"/>
      <c r="AP45" s="496" t="str">
        <f>IF(T45="","",T45)</f>
        <v>Наименование системы теплоснабжения </v>
      </c>
      <c r="AQ45" s="496"/>
      <c r="AR45" s="496"/>
    </row>
    <row customHeight="1" ht="21">
      <c r="A46" s="1380" t="s">
        <v>210</v>
      </c>
      <c r="B46" s="1380" t="s">
        <v>211</v>
      </c>
      <c r="C46" s="1380" t="s">
        <v>212</v>
      </c>
      <c r="D46" s="1380" t="s">
        <v>213</v>
      </c>
      <c r="E46" s="2090"/>
      <c r="F46" s="2090"/>
      <c r="G46" s="2090"/>
      <c r="H46" s="2089">
        <v>1</v>
      </c>
      <c r="I46" s="1380"/>
      <c r="J46" s="1380"/>
      <c r="K46" s="1380"/>
      <c r="L46" s="1381"/>
      <c r="M46" s="1382"/>
      <c r="N46" s="1382"/>
      <c r="O46" s="1382"/>
      <c r="P46" s="342"/>
      <c r="Q46" s="340"/>
      <c r="R46" s="341"/>
      <c r="S46" s="1353" t="str">
        <f>INDEX(PT_DIFFERENTIATION_NUM_IST_TE,MATCH(D46,PT_DIFFERENTIATION_IST_TE_ID,0))</f>
        <v>...</v>
      </c>
      <c r="T46" s="292" t="s">
        <v>415</v>
      </c>
      <c r="U46" s="280"/>
      <c r="V46" s="2083"/>
      <c r="W46" s="2084"/>
      <c r="X46" s="2084"/>
      <c r="Y46" s="2084"/>
      <c r="Z46" s="2084"/>
      <c r="AA46" s="2084"/>
      <c r="AB46" s="2084"/>
      <c r="AC46" s="2085"/>
      <c r="AD46" s="2083" t="str">
        <f>INDEX(PT_DIFFERENTIATION_IST_TE,MATCH(D46,PT_DIFFERENTIATION_IST_TE_ID,0))</f>
        <v/>
      </c>
      <c r="AE46" s="2084"/>
      <c r="AF46" s="2084"/>
      <c r="AG46" s="2084"/>
      <c r="AH46" s="2084"/>
      <c r="AI46" s="2084"/>
      <c r="AJ46" s="2084"/>
      <c r="AK46" s="2084"/>
      <c r="AL46" s="2085"/>
      <c r="AM46" s="1273" t="s">
        <v>416</v>
      </c>
      <c r="AO46" s="496"/>
      <c r="AP46" s="496" t="str">
        <f>IF(T46="","",T46)</f>
        <v>Источник тепловой энергии  </v>
      </c>
      <c r="AQ46" s="496"/>
      <c r="AR46" s="496"/>
    </row>
    <row s="1667" customFormat="1" customHeight="1" ht="0">
      <c r="A47" s="1360" t="s">
        <v>210</v>
      </c>
      <c r="B47" s="1360" t="s">
        <v>211</v>
      </c>
      <c r="C47" s="1360" t="s">
        <v>212</v>
      </c>
      <c r="D47" s="1360" t="s">
        <v>213</v>
      </c>
      <c r="E47" s="2090"/>
      <c r="F47" s="2090"/>
      <c r="G47" s="2090"/>
      <c r="H47" s="2090"/>
      <c r="I47" s="2091" t="str">
        <f>S46&amp;".1"</f>
        <v>....1</v>
      </c>
      <c r="J47" s="1360"/>
      <c r="K47" s="1360"/>
      <c r="L47" s="1363" t="s">
        <v>417</v>
      </c>
      <c r="M47" s="506"/>
      <c r="N47" s="506"/>
      <c r="O47" s="506"/>
      <c r="P47" s="2093">
        <v>1</v>
      </c>
      <c r="Q47" s="1348"/>
      <c r="R47" s="344"/>
      <c r="S47" s="1037"/>
      <c r="T47" s="1400"/>
      <c r="U47" s="1401"/>
      <c r="V47" s="2129"/>
      <c r="W47" s="2130"/>
      <c r="X47" s="2130"/>
      <c r="Y47" s="2130"/>
      <c r="Z47" s="2130"/>
      <c r="AA47" s="2130"/>
      <c r="AB47" s="2130"/>
      <c r="AC47" s="2131"/>
      <c r="AD47" s="2129"/>
      <c r="AE47" s="2130"/>
      <c r="AF47" s="2130"/>
      <c r="AG47" s="2130"/>
      <c r="AH47" s="2130"/>
      <c r="AI47" s="2130"/>
      <c r="AJ47" s="2130"/>
      <c r="AK47" s="2130"/>
      <c r="AL47" s="2131"/>
      <c r="AM47" s="1402"/>
      <c r="AO47" s="496"/>
      <c r="AP47" s="496" t="str">
        <f>IF(T47="","",T47)</f>
        <v/>
      </c>
      <c r="AQ47" s="496"/>
      <c r="AR47" s="496"/>
    </row>
    <row customHeight="1" ht="21">
      <c r="A48" s="1380" t="s">
        <v>210</v>
      </c>
      <c r="B48" s="1380" t="s">
        <v>211</v>
      </c>
      <c r="C48" s="1380" t="s">
        <v>212</v>
      </c>
      <c r="D48" s="1380" t="s">
        <v>213</v>
      </c>
      <c r="E48" s="2090"/>
      <c r="F48" s="2090"/>
      <c r="G48" s="2090"/>
      <c r="H48" s="2090"/>
      <c r="I48" s="2092"/>
      <c r="J48" s="2091" t="str">
        <f>S46&amp;".1"</f>
        <v>....1</v>
      </c>
      <c r="K48" s="1380"/>
      <c r="L48" s="1381" t="s">
        <v>420</v>
      </c>
      <c r="P48" s="2093"/>
      <c r="Q48" s="2093">
        <v>1</v>
      </c>
      <c r="R48" s="345"/>
      <c r="S48" s="1353" t="str">
        <f>$J48</f>
        <v>....1</v>
      </c>
      <c r="T48" s="267" t="s">
        <v>421</v>
      </c>
      <c r="U48" s="280"/>
      <c r="V48" s="2077"/>
      <c r="W48" s="2078"/>
      <c r="X48" s="2078"/>
      <c r="Y48" s="2078"/>
      <c r="Z48" s="2078"/>
      <c r="AA48" s="2078"/>
      <c r="AB48" s="2078"/>
      <c r="AC48" s="2079"/>
      <c r="AD48" s="2077"/>
      <c r="AE48" s="2078"/>
      <c r="AF48" s="2078"/>
      <c r="AG48" s="2078"/>
      <c r="AH48" s="2078"/>
      <c r="AI48" s="2078"/>
      <c r="AJ48" s="2078"/>
      <c r="AK48" s="2078"/>
      <c r="AL48" s="2079"/>
      <c r="AM48" s="1273" t="s">
        <v>422</v>
      </c>
      <c r="AO48" s="496"/>
      <c r="AP48" s="496" t="str">
        <f>IF(T48="","",T48)</f>
        <v>Группа потребителей</v>
      </c>
      <c r="AQ48" s="496"/>
      <c r="AR48" s="496"/>
    </row>
    <row customHeight="1" ht="21">
      <c r="A49" s="1380" t="s">
        <v>210</v>
      </c>
      <c r="B49" s="1380" t="s">
        <v>211</v>
      </c>
      <c r="C49" s="1380" t="s">
        <v>212</v>
      </c>
      <c r="D49" s="1380" t="s">
        <v>213</v>
      </c>
      <c r="E49" s="2090"/>
      <c r="F49" s="2090"/>
      <c r="G49" s="2090"/>
      <c r="H49" s="2090"/>
      <c r="I49" s="2092"/>
      <c r="J49" s="2092"/>
      <c r="K49" s="2091" t="str">
        <f>J48&amp;".1"</f>
        <v>....1.1</v>
      </c>
      <c r="L49" s="1381" t="s">
        <v>423</v>
      </c>
      <c r="P49" s="2093"/>
      <c r="Q49" s="2093"/>
      <c r="R49" s="345">
        <v>1</v>
      </c>
      <c r="S49" s="1353" t="str">
        <f>$K49</f>
        <v>....1.1</v>
      </c>
      <c r="T49" s="1364"/>
      <c r="U49" s="280"/>
      <c r="V49" s="746"/>
      <c r="W49" s="312"/>
      <c r="X49" s="746"/>
      <c r="Y49" s="1272"/>
      <c r="Z49" s="2094"/>
      <c r="AA49" s="1963" t="s">
        <v>61</v>
      </c>
      <c r="AB49" s="2094"/>
      <c r="AC49" s="1963" t="s">
        <v>61</v>
      </c>
      <c r="AD49" s="746"/>
      <c r="AE49" s="312"/>
      <c r="AF49" s="746"/>
      <c r="AG49" s="1272"/>
      <c r="AH49" s="2094"/>
      <c r="AI49" s="1963" t="s">
        <v>61</v>
      </c>
      <c r="AJ49" s="2096"/>
      <c r="AK49" s="1963" t="s">
        <v>61</v>
      </c>
      <c r="AL49" s="1365"/>
      <c r="AM49" s="2119" t="s">
        <v>466</v>
      </c>
      <c r="AN49" s="507">
        <f>STRCHECKDATE(V50:AL50)</f>
      </c>
      <c r="AO49" s="496"/>
      <c r="AP49" s="496" t="str">
        <f>IF(T49="","",T49)</f>
        <v/>
      </c>
      <c r="AQ49" s="496"/>
      <c r="AR49" s="496"/>
    </row>
    <row customHeight="1" ht="0">
      <c r="A50" s="1380" t="s">
        <v>210</v>
      </c>
      <c r="B50" s="1380" t="s">
        <v>211</v>
      </c>
      <c r="C50" s="1380" t="s">
        <v>212</v>
      </c>
      <c r="D50" s="1380" t="s">
        <v>213</v>
      </c>
      <c r="E50" s="2090"/>
      <c r="F50" s="2090"/>
      <c r="G50" s="2090"/>
      <c r="H50" s="2090"/>
      <c r="I50" s="2092"/>
      <c r="J50" s="2092"/>
      <c r="K50" s="2091"/>
      <c r="L50" s="1381"/>
      <c r="P50" s="2093"/>
      <c r="Q50" s="2093"/>
      <c r="R50" s="345"/>
      <c r="S50" s="1359"/>
      <c r="T50" s="280"/>
      <c r="U50" s="280"/>
      <c r="V50" s="312"/>
      <c r="W50" s="312"/>
      <c r="X50" s="312"/>
      <c r="Y50" s="316" t="str">
        <f>Z49&amp;"-"&amp;AB49</f>
        <v>-</v>
      </c>
      <c r="Z50" s="2095"/>
      <c r="AA50" s="1963"/>
      <c r="AB50" s="2095"/>
      <c r="AC50" s="1963"/>
      <c r="AD50" s="312"/>
      <c r="AE50" s="312"/>
      <c r="AF50" s="312"/>
      <c r="AG50" s="316" t="str">
        <f>AH49&amp;"-"&amp;AJ49</f>
        <v>-</v>
      </c>
      <c r="AH50" s="2095"/>
      <c r="AI50" s="1963"/>
      <c r="AJ50" s="2097"/>
      <c r="AK50" s="1963"/>
      <c r="AL50" s="1366"/>
      <c r="AM50" s="2120"/>
      <c r="AO50" s="496"/>
      <c r="AP50" s="496" t="str">
        <f>IF(T50="","",T50)</f>
        <v/>
      </c>
      <c r="AQ50" s="496"/>
      <c r="AR50" s="496"/>
    </row>
    <row customHeight="1" ht="11.25">
      <c r="A51" s="1380" t="s">
        <v>210</v>
      </c>
      <c r="B51" s="1380" t="s">
        <v>211</v>
      </c>
      <c r="C51" s="1380" t="s">
        <v>212</v>
      </c>
      <c r="D51" s="1380" t="s">
        <v>213</v>
      </c>
      <c r="E51" s="2090"/>
      <c r="F51" s="2090"/>
      <c r="G51" s="2090"/>
      <c r="H51" s="2090"/>
      <c r="I51" s="2092"/>
      <c r="J51" s="2091"/>
      <c r="K51" s="1380"/>
      <c r="L51" s="1381"/>
      <c r="P51" s="2093"/>
      <c r="Q51" s="2093"/>
      <c r="R51" s="344"/>
      <c r="S51" s="1295"/>
      <c r="T51" s="268" t="s">
        <v>425</v>
      </c>
      <c r="U51" s="359"/>
      <c r="V51" s="359"/>
      <c r="W51" s="359"/>
      <c r="X51" s="359"/>
      <c r="Y51" s="359"/>
      <c r="Z51" s="359"/>
      <c r="AA51" s="359"/>
      <c r="AB51" s="359"/>
      <c r="AC51" s="359"/>
      <c r="AD51" s="359"/>
      <c r="AE51" s="359"/>
      <c r="AF51" s="359"/>
      <c r="AG51" s="359"/>
      <c r="AH51" s="359"/>
      <c r="AI51" s="359"/>
      <c r="AJ51" s="359"/>
      <c r="AK51" s="359"/>
      <c r="AL51" s="311"/>
      <c r="AM51" s="2121"/>
      <c r="AO51" s="496"/>
      <c r="AP51" s="496" t="str">
        <f>IF(T51="","",T51)</f>
        <v>Добавить вид теплоносителя (параметры теплоносителя)</v>
      </c>
      <c r="AQ51" s="496"/>
      <c r="AR51" s="496"/>
    </row>
    <row customHeight="1" ht="11.25">
      <c r="A52" s="1380" t="s">
        <v>210</v>
      </c>
      <c r="B52" s="1380" t="s">
        <v>211</v>
      </c>
      <c r="C52" s="1380" t="s">
        <v>212</v>
      </c>
      <c r="D52" s="1380" t="s">
        <v>213</v>
      </c>
      <c r="E52" s="2090"/>
      <c r="F52" s="2090"/>
      <c r="G52" s="2090"/>
      <c r="H52" s="2090"/>
      <c r="I52" s="2091"/>
      <c r="J52" s="1380"/>
      <c r="K52" s="1380"/>
      <c r="L52" s="1381"/>
      <c r="P52" s="2093"/>
      <c r="Q52" s="1348"/>
      <c r="R52" s="344"/>
      <c r="S52" s="1295"/>
      <c r="T52" s="356" t="s">
        <v>426</v>
      </c>
      <c r="U52" s="359"/>
      <c r="V52" s="359"/>
      <c r="W52" s="359"/>
      <c r="X52" s="359"/>
      <c r="Y52" s="359"/>
      <c r="Z52" s="359"/>
      <c r="AA52" s="359"/>
      <c r="AB52" s="359"/>
      <c r="AC52" s="358"/>
      <c r="AD52" s="359"/>
      <c r="AE52" s="359"/>
      <c r="AF52" s="359"/>
      <c r="AG52" s="359"/>
      <c r="AH52" s="359"/>
      <c r="AI52" s="359"/>
      <c r="AJ52" s="359"/>
      <c r="AK52" s="358"/>
      <c r="AL52" s="359"/>
      <c r="AM52" s="283"/>
      <c r="AO52" s="496"/>
      <c r="AP52" s="496" t="str">
        <f>IF(T52="","",T52)</f>
        <v>Добавить группу потребителей</v>
      </c>
      <c r="AQ52" s="496"/>
      <c r="AR52" s="496"/>
    </row>
    <row customHeight="1" ht="0">
      <c r="A53" s="1380" t="s">
        <v>210</v>
      </c>
      <c r="B53" s="1380" t="s">
        <v>211</v>
      </c>
      <c r="C53" s="1380" t="s">
        <v>212</v>
      </c>
      <c r="D53" s="1380" t="s">
        <v>213</v>
      </c>
      <c r="E53" s="2090"/>
      <c r="F53" s="2090"/>
      <c r="G53" s="2090"/>
      <c r="H53" s="2089"/>
      <c r="I53" s="1380"/>
      <c r="J53" s="1380"/>
      <c r="K53" s="1380"/>
      <c r="L53" s="1381"/>
      <c r="M53" s="1382"/>
      <c r="N53" s="1382"/>
      <c r="O53" s="533"/>
      <c r="P53" s="348"/>
      <c r="Q53" s="367"/>
      <c r="R53" s="343"/>
      <c r="S53" s="1403"/>
      <c r="T53" s="1404"/>
      <c r="U53" s="1405"/>
      <c r="V53" s="1405"/>
      <c r="W53" s="1405"/>
      <c r="X53" s="1405"/>
      <c r="Y53" s="1405"/>
      <c r="Z53" s="1405"/>
      <c r="AA53" s="1405"/>
      <c r="AB53" s="1405"/>
      <c r="AC53" s="1405"/>
      <c r="AD53" s="1405"/>
      <c r="AE53" s="1405"/>
      <c r="AF53" s="1405"/>
      <c r="AG53" s="1405"/>
      <c r="AH53" s="1405"/>
      <c r="AI53" s="1405"/>
      <c r="AJ53" s="1405"/>
      <c r="AK53" s="1405"/>
      <c r="AL53" s="1405"/>
      <c r="AM53" s="1406"/>
      <c r="AO53" s="496"/>
      <c r="AP53" s="496" t="str">
        <f>IF(T53="","",T53)</f>
        <v/>
      </c>
      <c r="AQ53" s="496"/>
      <c r="AR53" s="496"/>
    </row>
    <row s="1667" customFormat="1" customHeight="1" ht="0">
      <c r="A54" s="1360" t="s">
        <v>210</v>
      </c>
      <c r="B54" s="1360" t="s">
        <v>211</v>
      </c>
      <c r="C54" s="1360" t="s">
        <v>212</v>
      </c>
      <c r="D54" s="1331"/>
      <c r="E54" s="2090"/>
      <c r="F54" s="2090"/>
      <c r="G54" s="2089"/>
      <c r="H54" s="1331"/>
      <c r="I54" s="1331"/>
      <c r="J54" s="1331"/>
      <c r="K54" s="1331"/>
      <c r="L54" s="1356"/>
      <c r="M54" s="1332"/>
      <c r="N54" s="1332"/>
      <c r="P54" s="1333"/>
      <c r="Q54" s="1334"/>
      <c r="R54" s="1333"/>
      <c r="S54" s="1339"/>
      <c r="T54" s="1342" t="s">
        <v>160</v>
      </c>
      <c r="U54" s="1341"/>
      <c r="V54" s="1341"/>
      <c r="W54" s="1341"/>
      <c r="X54" s="1341"/>
      <c r="Y54" s="1341"/>
      <c r="Z54" s="1341"/>
      <c r="AA54" s="1341"/>
      <c r="AB54" s="1341"/>
      <c r="AC54" s="1341"/>
      <c r="AD54" s="1341"/>
      <c r="AE54" s="1341"/>
      <c r="AF54" s="1341"/>
      <c r="AG54" s="1341"/>
      <c r="AH54" s="1341"/>
      <c r="AI54" s="1341"/>
      <c r="AJ54" s="1341"/>
      <c r="AK54" s="1341"/>
      <c r="AL54" s="1341"/>
      <c r="AM54" s="1341"/>
      <c r="AO54" s="783"/>
      <c r="AP54" s="783" t="str">
        <f>IF(T54="","",T54)</f>
        <v>Добавить источник для дифференциации</v>
      </c>
      <c r="AQ54" s="783"/>
      <c r="AR54" s="783"/>
    </row>
    <row s="1667" customFormat="1" customHeight="1" ht="0">
      <c r="A55" s="1360" t="s">
        <v>210</v>
      </c>
      <c r="B55" s="1360" t="s">
        <v>211</v>
      </c>
      <c r="C55" s="1331"/>
      <c r="D55" s="1331"/>
      <c r="E55" s="2090"/>
      <c r="F55" s="2089"/>
      <c r="G55" s="1331"/>
      <c r="H55" s="1331"/>
      <c r="I55" s="1331"/>
      <c r="J55" s="1331"/>
      <c r="K55" s="1331"/>
      <c r="L55" s="1356"/>
      <c r="M55" s="1338"/>
      <c r="N55" s="1338"/>
      <c r="P55" s="1333"/>
      <c r="Q55" s="1334"/>
      <c r="R55" s="1333"/>
      <c r="S55" s="1339"/>
      <c r="T55" s="1342" t="s">
        <v>161</v>
      </c>
      <c r="U55" s="1341"/>
      <c r="V55" s="1341"/>
      <c r="W55" s="1341"/>
      <c r="X55" s="1341"/>
      <c r="Y55" s="1341"/>
      <c r="Z55" s="1341"/>
      <c r="AA55" s="1341"/>
      <c r="AB55" s="1341"/>
      <c r="AC55" s="1341"/>
      <c r="AD55" s="1341"/>
      <c r="AE55" s="1341"/>
      <c r="AF55" s="1341"/>
      <c r="AG55" s="1341"/>
      <c r="AH55" s="1341"/>
      <c r="AI55" s="1341"/>
      <c r="AJ55" s="1341"/>
      <c r="AK55" s="1341"/>
      <c r="AL55" s="1341"/>
      <c r="AM55" s="1341"/>
      <c r="AO55" s="783"/>
      <c r="AP55" s="783" t="str">
        <f>IF(T55="","",T55)</f>
        <v>Добавить централизованную систему для дифференциации</v>
      </c>
      <c r="AQ55" s="783"/>
      <c r="AR55" s="783"/>
    </row>
    <row s="1667" customFormat="1" customHeight="1" ht="0">
      <c r="A56" s="1360" t="s">
        <v>210</v>
      </c>
      <c r="B56" s="1360"/>
      <c r="C56" s="1360"/>
      <c r="D56" s="1360"/>
      <c r="E56" s="2089"/>
      <c r="F56" s="1360"/>
      <c r="G56" s="1360"/>
      <c r="H56" s="1360"/>
      <c r="I56" s="1360"/>
      <c r="J56" s="1360"/>
      <c r="K56" s="1360"/>
      <c r="L56" s="1363"/>
      <c r="M56" s="1338"/>
      <c r="N56" s="1338"/>
      <c r="O56" s="514"/>
      <c r="P56" s="376"/>
      <c r="Q56" s="1361"/>
      <c r="R56" s="376"/>
      <c r="S56" s="1339"/>
      <c r="T56" s="1342" t="s">
        <v>162</v>
      </c>
      <c r="U56" s="1341"/>
      <c r="V56" s="1341"/>
      <c r="W56" s="1341"/>
      <c r="X56" s="1341"/>
      <c r="Y56" s="1341"/>
      <c r="Z56" s="1341"/>
      <c r="AA56" s="1341"/>
      <c r="AB56" s="1341"/>
      <c r="AC56" s="1341"/>
      <c r="AD56" s="1341"/>
      <c r="AE56" s="1341"/>
      <c r="AF56" s="1341"/>
      <c r="AG56" s="1341"/>
      <c r="AH56" s="1341"/>
      <c r="AI56" s="1341"/>
      <c r="AJ56" s="1341"/>
      <c r="AK56" s="1341"/>
      <c r="AL56" s="1341"/>
      <c r="AM56" s="1341"/>
      <c r="AO56" s="496"/>
      <c r="AP56" s="496" t="str">
        <f>IF(T56="","",T56)</f>
        <v>Добавить территорию для дифференциации</v>
      </c>
      <c r="AQ56" s="496"/>
      <c r="AR56" s="496"/>
    </row>
    <row s="1667" customFormat="1" customHeight="1" ht="5.25">
      <c r="A57" s="1331"/>
      <c r="B57" s="1331"/>
      <c r="C57" s="1331"/>
      <c r="D57" s="1331"/>
      <c r="E57" s="1360"/>
      <c r="F57" s="1331"/>
      <c r="G57" s="1331"/>
      <c r="H57" s="1331"/>
      <c r="I57" s="1331"/>
      <c r="J57" s="1331"/>
      <c r="K57" s="1331"/>
      <c r="L57" s="1356"/>
      <c r="M57" s="1338"/>
      <c r="N57" s="1338"/>
      <c r="P57" s="1333"/>
      <c r="Q57" s="1334"/>
      <c r="R57" s="1333"/>
      <c r="S57" s="1339"/>
      <c r="T57" s="1342" t="s">
        <v>179</v>
      </c>
      <c r="U57" s="1341"/>
      <c r="V57" s="1341"/>
      <c r="W57" s="1341"/>
      <c r="X57" s="1341"/>
      <c r="Y57" s="1341"/>
      <c r="Z57" s="1341"/>
      <c r="AA57" s="1341"/>
      <c r="AB57" s="1341"/>
      <c r="AC57" s="1341"/>
      <c r="AD57" s="1341"/>
      <c r="AE57" s="1341"/>
      <c r="AF57" s="1341"/>
      <c r="AG57" s="1341"/>
      <c r="AH57" s="1341"/>
      <c r="AI57" s="1341"/>
      <c r="AJ57" s="1341"/>
      <c r="AK57" s="1341"/>
      <c r="AL57" s="1341"/>
      <c r="AM57" s="1341"/>
      <c r="AO57" s="783"/>
      <c r="AP57" s="783" t="str">
        <f>IF(T57="","",T57)</f>
        <v>Добавить наименование тарифа</v>
      </c>
      <c r="AQ57" s="783"/>
      <c r="AR57" s="783"/>
    </row>
    <row customHeight="1" ht="11.25">
      <c r="M58" s="1155"/>
      <c r="N58" s="1155"/>
      <c r="O58" s="533"/>
      <c r="P58" s="1150"/>
      <c r="Q58" s="1150"/>
      <c r="R58" s="1150"/>
      <c r="S58" s="1150"/>
      <c r="AN58" s="1150"/>
      <c r="AO58" s="1150"/>
      <c r="AP58" s="1150"/>
      <c r="AQ58" s="1150"/>
      <c r="AR58" s="1150"/>
    </row>
    <row customHeight="1" ht="14.25">
      <c r="O59" s="533"/>
      <c r="S59" s="1260"/>
      <c r="T59" s="2088"/>
      <c r="U59" s="2088"/>
      <c r="V59" s="2088"/>
      <c r="W59" s="2088"/>
      <c r="X59" s="2088"/>
      <c r="Y59" s="2088"/>
      <c r="Z59" s="2088"/>
      <c r="AA59" s="2088"/>
      <c r="AB59" s="2088"/>
      <c r="AC59" s="2088"/>
      <c r="AD59" s="2088"/>
      <c r="AE59" s="2088"/>
      <c r="AF59" s="2088"/>
      <c r="AG59" s="2088"/>
      <c r="AH59" s="2088"/>
      <c r="AI59" s="2088"/>
      <c r="AJ59" s="2088"/>
      <c r="AK59" s="2088"/>
      <c r="AL59" s="2088"/>
      <c r="AM59" s="2088"/>
    </row>
    <row customHeight="1" ht="14.25">
      <c r="O60" s="533"/>
      <c r="T60" s="2088"/>
      <c r="U60" s="2088"/>
      <c r="V60" s="2088"/>
      <c r="W60" s="2088"/>
      <c r="X60" s="2088"/>
      <c r="Y60" s="2088"/>
      <c r="Z60" s="2088"/>
      <c r="AA60" s="2088"/>
      <c r="AB60" s="2088"/>
      <c r="AC60" s="2088"/>
      <c r="AD60" s="2088"/>
      <c r="AE60" s="2088"/>
      <c r="AF60" s="2088"/>
      <c r="AG60" s="2088"/>
      <c r="AH60" s="2088"/>
      <c r="AI60" s="2088"/>
      <c r="AJ60" s="2088"/>
      <c r="AK60" s="2088"/>
      <c r="AL60" s="2088"/>
      <c r="AM60" s="2088"/>
    </row>
    <row customHeight="1" ht="14.25">
      <c r="O61" s="533"/>
      <c r="T61" s="2088"/>
      <c r="U61" s="2088"/>
      <c r="V61" s="2088"/>
      <c r="W61" s="2088"/>
      <c r="X61" s="2088"/>
      <c r="Y61" s="2088"/>
      <c r="Z61" s="2088"/>
      <c r="AA61" s="2088"/>
      <c r="AB61" s="2088"/>
      <c r="AC61" s="2088"/>
      <c r="AD61" s="2088"/>
      <c r="AE61" s="2088"/>
      <c r="AF61" s="2088"/>
      <c r="AG61" s="2088"/>
      <c r="AH61" s="2088"/>
      <c r="AI61" s="2088"/>
      <c r="AJ61" s="2088"/>
      <c r="AK61" s="2088"/>
      <c r="AL61" s="2088"/>
      <c r="AM61" s="2088"/>
    </row>
    <row customHeight="1" ht="14.25">
      <c r="O62" s="533"/>
    </row>
    <row customHeight="1" ht="14.25">
      <c r="O63" s="533"/>
      <c r="S63" s="1260"/>
      <c r="T63" s="2132"/>
      <c r="U63" s="2088"/>
      <c r="V63" s="2088"/>
      <c r="W63" s="2088"/>
      <c r="X63" s="2088"/>
      <c r="Y63" s="2088"/>
      <c r="Z63" s="2088"/>
      <c r="AA63" s="2088"/>
      <c r="AB63" s="2088"/>
      <c r="AC63" s="2088"/>
      <c r="AD63" s="2088"/>
      <c r="AE63" s="2088"/>
      <c r="AF63" s="2088"/>
      <c r="AG63" s="2088"/>
      <c r="AH63" s="2088"/>
      <c r="AI63" s="2088"/>
      <c r="AJ63" s="2088"/>
      <c r="AK63" s="2088"/>
      <c r="AL63" s="2088"/>
      <c r="AM63" s="2088"/>
    </row>
    <row customHeight="1" ht="14.25">
      <c r="O64" s="533"/>
      <c r="T64" s="2088"/>
      <c r="U64" s="2088"/>
      <c r="V64" s="2088"/>
      <c r="W64" s="2088"/>
      <c r="X64" s="2088"/>
      <c r="Y64" s="2088"/>
      <c r="Z64" s="2088"/>
      <c r="AA64" s="2088"/>
      <c r="AB64" s="2088"/>
      <c r="AC64" s="2088"/>
      <c r="AD64" s="2088"/>
      <c r="AE64" s="2088"/>
      <c r="AF64" s="2088"/>
      <c r="AG64" s="2088"/>
      <c r="AH64" s="2088"/>
      <c r="AI64" s="2088"/>
      <c r="AJ64" s="2088"/>
      <c r="AK64" s="2088"/>
      <c r="AL64" s="2088"/>
      <c r="AM64" s="2088"/>
    </row>
    <row customHeight="1" ht="14.25">
      <c r="T65" s="2088"/>
      <c r="U65" s="2088"/>
      <c r="V65" s="2088"/>
      <c r="W65" s="2088"/>
      <c r="X65" s="2088"/>
      <c r="Y65" s="2088"/>
      <c r="Z65" s="2088"/>
      <c r="AA65" s="2088"/>
      <c r="AB65" s="2088"/>
      <c r="AC65" s="2088"/>
      <c r="AD65" s="2088"/>
      <c r="AE65" s="2088"/>
      <c r="AF65" s="2088"/>
      <c r="AG65" s="2088"/>
      <c r="AH65" s="2088"/>
      <c r="AI65" s="2088"/>
      <c r="AJ65" s="2088"/>
      <c r="AK65" s="2088"/>
      <c r="AL65" s="2088"/>
      <c r="AM65" s="2088"/>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0729BB-DB43-EBF8-3DC5-.297748DCED6}" mc:Ignorable="x14ac xr xr2 xr3">
  <sheetPr>
    <tabColor theme="6" tint="0.4"/>
  </sheetPr>
  <dimension ref="A1:DY83"/>
  <sheetViews>
    <sheetView topLeftCell="CV44" showGridLines="0" zoomScale="90" workbookViewId="0">
      <selection activeCell="AJ68" sqref="AJ68"/>
    </sheetView>
  </sheetViews>
  <sheetFormatPr defaultColWidth="10.57421875" customHeight="1" defaultRowHeight="14.25"/>
  <cols>
    <col min="1" max="1" style="1660" width="10.57421875" hidden="1"/>
    <col min="2" max="2" style="1660" width="11.00390625" hidden="1" customWidth="1"/>
    <col min="3" max="3" style="1660" width="10.57421875" hidden="1"/>
    <col min="4" max="4" style="1660" width="11.8515625" hidden="1" customWidth="1"/>
    <col min="5" max="5" style="1660" width="10.00390625" hidden="1" customWidth="1"/>
    <col min="6" max="6" style="1660" width="8.7109375" hidden="1" customWidth="1"/>
    <col min="7" max="7" style="1660" width="7.57421875" hidden="1" customWidth="1"/>
    <col min="8" max="8" style="1660" width="11.421875" hidden="1" customWidth="1"/>
    <col min="9" max="9" style="1660" width="12.00390625" hidden="1" customWidth="1"/>
    <col min="10" max="10" style="1660" width="9.8515625" hidden="1" customWidth="1"/>
    <col min="11" max="12" style="1660" width="11.421875" hidden="1" customWidth="1"/>
    <col min="13" max="13" style="1951" width="19.140625" hidden="1" customWidth="1"/>
    <col min="14" max="15" style="2216" width="12.28125" hidden="1" customWidth="1"/>
    <col min="16" max="16" style="2216" width="23.421875" hidden="1" customWidth="1"/>
    <col min="17" max="17" style="2216" width="3.7109375" hidden="1" customWidth="1"/>
    <col min="18" max="20" style="332" width="3.7109375" customWidth="1"/>
    <col min="21" max="21" style="2229" width="12.7109375" customWidth="1"/>
    <col min="22" max="22" style="1660" width="32.00390625" customWidth="1"/>
    <col min="23" max="23" style="1660" width="0.140625" customWidth="1"/>
    <col min="24" max="28" style="1660" width="21.7109375" hidden="1" customWidth="1"/>
    <col min="29" max="29" style="1660" width="11.7109375" hidden="1" customWidth="1"/>
    <col min="30" max="30" style="1660" width="3.7109375" hidden="1" customWidth="1"/>
    <col min="31" max="31" style="1660" width="11.7109375" hidden="1" customWidth="1"/>
    <col min="32" max="32" style="1660" width="8.57421875" hidden="1" customWidth="1"/>
    <col min="33" max="37" style="1660" width="21.7109375" customWidth="1"/>
    <col min="38" max="38" style="1660" width="11.7109375" customWidth="1"/>
    <col min="39" max="39" style="1660" width="3.7109375" customWidth="1"/>
    <col min="40" max="40" style="1660" width="11.7109375" customWidth="1"/>
    <col min="41" max="41" style="1660" width="8.57421875" customWidth="1"/>
    <col min="122" max="122" width="10.57421875" hidden="1"/>
    <col min="123" max="123" style="1660" width="4.7109375" customWidth="1"/>
    <col min="124" max="124" style="1660" width="115.7109375" customWidth="1"/>
    <col min="125" max="126" style="1667" width="10.57421875"/>
    <col min="127" max="127" style="1667" width="11.140625" customWidth="1"/>
    <col min="128" max="129" style="1667" width="10.57421875"/>
  </cols>
  <sheetData>
    <row customHeight="1" ht="14.25" hidden="1">
      <c r="AB1" s="315"/>
      <c r="AC1" s="315"/>
      <c r="AK1" s="315"/>
      <c r="AL1" s="315"/>
      <c r="AP1" s="1660"/>
      <c r="AQ1" s="1660"/>
      <c r="AR1" s="1660"/>
      <c r="AS1" s="1660"/>
      <c r="AT1" s="1660"/>
      <c r="AU1" s="1660"/>
      <c r="AV1" s="1660"/>
      <c r="AW1" s="1660"/>
      <c r="AX1" s="1660"/>
      <c r="AY1" s="1660"/>
      <c r="AZ1" s="1660"/>
      <c r="BA1" s="1660"/>
      <c r="BB1" s="1660"/>
      <c r="BC1" s="1660"/>
      <c r="BD1" s="1660"/>
      <c r="BE1" s="1660"/>
      <c r="BF1" s="1660"/>
      <c r="BG1" s="1660"/>
      <c r="BH1" s="1660"/>
      <c r="BI1" s="1660"/>
      <c r="BJ1" s="1660"/>
      <c r="BK1" s="1660"/>
      <c r="BL1" s="1660"/>
      <c r="BM1" s="1660"/>
      <c r="BN1" s="1660"/>
      <c r="BO1" s="1660"/>
      <c r="BP1" s="1660"/>
      <c r="BQ1" s="1660"/>
      <c r="BR1" s="1660"/>
      <c r="BS1" s="1660"/>
      <c r="BT1" s="1660"/>
      <c r="BU1" s="1660"/>
      <c r="BV1" s="1660"/>
      <c r="BW1" s="1660"/>
      <c r="BX1" s="1660"/>
      <c r="BY1" s="1660"/>
      <c r="BZ1" s="1660"/>
      <c r="CA1" s="1660"/>
      <c r="CB1" s="1660"/>
      <c r="CC1" s="1660"/>
      <c r="CD1" s="1660"/>
      <c r="CE1" s="1660"/>
      <c r="CF1" s="1660"/>
      <c r="CG1" s="1660"/>
      <c r="CH1" s="1660"/>
      <c r="CI1" s="1660"/>
      <c r="CJ1" s="1660"/>
      <c r="CK1" s="1660"/>
      <c r="CL1" s="1660"/>
      <c r="CM1" s="1660"/>
      <c r="CN1" s="1660"/>
      <c r="CO1" s="1660"/>
      <c r="CP1" s="1660"/>
      <c r="CQ1" s="1660"/>
      <c r="CR1" s="1660"/>
      <c r="CS1" s="1660"/>
      <c r="CT1" s="1660"/>
      <c r="CU1" s="1660"/>
      <c r="CV1" s="1660"/>
      <c r="CW1" s="1660"/>
      <c r="CX1" s="1660"/>
      <c r="CY1" s="1660"/>
      <c r="CZ1" s="1660"/>
      <c r="DA1" s="1660"/>
      <c r="DB1" s="1660"/>
      <c r="DC1" s="1660"/>
      <c r="DD1" s="1660"/>
      <c r="DE1" s="1660"/>
      <c r="DF1" s="1660"/>
      <c r="DG1" s="1660"/>
      <c r="DH1" s="1660"/>
      <c r="DI1" s="1660"/>
      <c r="DJ1" s="1660"/>
      <c r="DK1" s="1660"/>
      <c r="DL1" s="1660"/>
      <c r="DM1" s="1660"/>
      <c r="DN1" s="1660"/>
      <c r="DO1" s="1660"/>
      <c r="DP1" s="1660"/>
      <c r="DQ1" s="1660"/>
      <c r="DR1" s="1660"/>
    </row>
    <row customHeight="1" ht="21" hidden="1">
      <c r="A2" s="1283"/>
      <c r="B2" s="1283"/>
      <c r="C2" s="1283"/>
      <c r="D2" s="1283"/>
      <c r="E2" s="2149">
        <v>1</v>
      </c>
      <c r="F2" s="1283"/>
      <c r="G2" s="1283"/>
      <c r="H2" s="1283"/>
      <c r="I2" s="1283"/>
      <c r="J2" s="1283"/>
      <c r="K2" s="1283"/>
      <c r="L2" s="1283"/>
      <c r="M2" s="1327"/>
      <c r="N2" s="683"/>
      <c r="O2" s="683"/>
      <c r="P2" s="683"/>
      <c r="Q2" s="349"/>
      <c r="R2" s="348"/>
      <c r="S2" s="348"/>
      <c r="T2" s="343"/>
      <c r="U2" s="1353">
        <f>INDEX(PT_DIFFERENTIATION_NUM_NTAR,MATCH(A2,PT_DIFFERENTIATION_NTAR_ID,0))</f>
      </c>
      <c r="V2" s="278" t="s">
        <v>122</v>
      </c>
      <c r="W2" s="280"/>
      <c r="X2" s="2083"/>
      <c r="Y2" s="2084"/>
      <c r="Z2" s="2084"/>
      <c r="AA2" s="2084"/>
      <c r="AB2" s="2084"/>
      <c r="AC2" s="2084"/>
      <c r="AD2" s="2084"/>
      <c r="AE2" s="2084"/>
      <c r="AF2" s="2085"/>
      <c r="AG2" s="2083">
        <f>INDEX(PT_DIFFERENTIATION_NTAR,MATCH(A2,PT_DIFFERENTIATION_NTAR_ID,0))</f>
      </c>
      <c r="AH2" s="2084"/>
      <c r="AI2" s="2084"/>
      <c r="AJ2" s="2084"/>
      <c r="AK2" s="2084"/>
      <c r="AL2" s="2084"/>
      <c r="AM2" s="2084"/>
      <c r="AN2" s="2084"/>
      <c r="AO2" s="2084"/>
      <c r="AP2" s="2083"/>
      <c r="AQ2" s="2084"/>
      <c r="AR2" s="2084"/>
      <c r="AS2" s="2084"/>
      <c r="AT2" s="2084"/>
      <c r="AU2" s="2084"/>
      <c r="AV2" s="2084"/>
      <c r="AW2" s="2084"/>
      <c r="AX2" s="2085"/>
      <c r="AY2" s="2083"/>
      <c r="AZ2" s="2084"/>
      <c r="BA2" s="2084"/>
      <c r="BB2" s="2084"/>
      <c r="BC2" s="2084"/>
      <c r="BD2" s="2084"/>
      <c r="BE2" s="2084"/>
      <c r="BF2" s="2084"/>
      <c r="BG2" s="2085"/>
      <c r="BH2" s="2083"/>
      <c r="BI2" s="2084"/>
      <c r="BJ2" s="2084"/>
      <c r="BK2" s="2084"/>
      <c r="BL2" s="2084"/>
      <c r="BM2" s="2084"/>
      <c r="BN2" s="2084"/>
      <c r="BO2" s="2084"/>
      <c r="BP2" s="2085"/>
      <c r="BQ2" s="2083"/>
      <c r="BR2" s="2084"/>
      <c r="BS2" s="2084"/>
      <c r="BT2" s="2084"/>
      <c r="BU2" s="2084"/>
      <c r="BV2" s="2084"/>
      <c r="BW2" s="2084"/>
      <c r="BX2" s="2084"/>
      <c r="BY2" s="2085"/>
      <c r="BZ2" s="2083"/>
      <c r="CA2" s="2084"/>
      <c r="CB2" s="2084"/>
      <c r="CC2" s="2084"/>
      <c r="CD2" s="2084"/>
      <c r="CE2" s="2084"/>
      <c r="CF2" s="2084"/>
      <c r="CG2" s="2084"/>
      <c r="CH2" s="2085"/>
      <c r="CI2" s="2083"/>
      <c r="CJ2" s="2084"/>
      <c r="CK2" s="2084"/>
      <c r="CL2" s="2084"/>
      <c r="CM2" s="2084"/>
      <c r="CN2" s="2084"/>
      <c r="CO2" s="2084"/>
      <c r="CP2" s="2084"/>
      <c r="CQ2" s="2085"/>
      <c r="CR2" s="2083"/>
      <c r="CS2" s="2084"/>
      <c r="CT2" s="2084"/>
      <c r="CU2" s="2084"/>
      <c r="CV2" s="2084"/>
      <c r="CW2" s="2084"/>
      <c r="CX2" s="2084"/>
      <c r="CY2" s="2084"/>
      <c r="CZ2" s="2085"/>
      <c r="DA2" s="2083"/>
      <c r="DB2" s="2084"/>
      <c r="DC2" s="2084"/>
      <c r="DD2" s="2084"/>
      <c r="DE2" s="2084"/>
      <c r="DF2" s="2084"/>
      <c r="DG2" s="2084"/>
      <c r="DH2" s="2084"/>
      <c r="DI2" s="2085"/>
      <c r="DJ2" s="2083"/>
      <c r="DK2" s="2084"/>
      <c r="DL2" s="2084"/>
      <c r="DM2" s="2084"/>
      <c r="DN2" s="2084"/>
      <c r="DO2" s="2084"/>
      <c r="DP2" s="2084"/>
      <c r="DQ2" s="2084"/>
      <c r="DR2" s="2085"/>
      <c r="DS2" s="2085"/>
      <c r="DT2" s="1273" t="s">
        <v>410</v>
      </c>
      <c r="DV2" s="496"/>
      <c r="DW2" s="496" t="str">
        <f>IF(V2="","",V2)</f>
        <v>Наименование тарифа</v>
      </c>
      <c r="DX2" s="496"/>
      <c r="DY2" s="496"/>
    </row>
    <row customHeight="1" ht="21" hidden="1">
      <c r="A3" s="1283"/>
      <c r="B3" s="1283"/>
      <c r="C3" s="1283"/>
      <c r="D3" s="1283"/>
      <c r="E3" s="2150"/>
      <c r="F3" s="2149">
        <v>1</v>
      </c>
      <c r="G3" s="1283"/>
      <c r="H3" s="1283"/>
      <c r="I3" s="1283"/>
      <c r="J3" s="1283"/>
      <c r="K3" s="1283"/>
      <c r="L3" s="1283"/>
      <c r="M3" s="1327"/>
      <c r="N3" s="683"/>
      <c r="O3" s="683"/>
      <c r="P3" s="683"/>
      <c r="Q3" s="1349"/>
      <c r="R3" s="340"/>
      <c r="S3" s="505"/>
      <c r="T3" s="341"/>
      <c r="U3" s="1353">
        <f>INDEX(PT_DIFFERENTIATION_NUM_TER,MATCH(B3,PT_DIFFERENTIATION_TER_ID,0))</f>
      </c>
      <c r="V3" s="290" t="s">
        <v>411</v>
      </c>
      <c r="W3" s="280"/>
      <c r="X3" s="2083"/>
      <c r="Y3" s="2084"/>
      <c r="Z3" s="2084"/>
      <c r="AA3" s="2084"/>
      <c r="AB3" s="2084"/>
      <c r="AC3" s="2084"/>
      <c r="AD3" s="2084"/>
      <c r="AE3" s="2084"/>
      <c r="AF3" s="2085"/>
      <c r="AG3" s="2083">
        <f>INDEX(PT_DIFFERENTIATION_TER,MATCH(B3,PT_DIFFERENTIATION_TER_ID,0))</f>
      </c>
      <c r="AH3" s="2084"/>
      <c r="AI3" s="2084"/>
      <c r="AJ3" s="2084"/>
      <c r="AK3" s="2084"/>
      <c r="AL3" s="2084"/>
      <c r="AM3" s="2084"/>
      <c r="AN3" s="2084"/>
      <c r="AO3" s="2084"/>
      <c r="AP3" s="2083"/>
      <c r="AQ3" s="2084"/>
      <c r="AR3" s="2084"/>
      <c r="AS3" s="2084"/>
      <c r="AT3" s="2084"/>
      <c r="AU3" s="2084"/>
      <c r="AV3" s="2084"/>
      <c r="AW3" s="2084"/>
      <c r="AX3" s="2085"/>
      <c r="AY3" s="2083"/>
      <c r="AZ3" s="2084"/>
      <c r="BA3" s="2084"/>
      <c r="BB3" s="2084"/>
      <c r="BC3" s="2084"/>
      <c r="BD3" s="2084"/>
      <c r="BE3" s="2084"/>
      <c r="BF3" s="2084"/>
      <c r="BG3" s="2085"/>
      <c r="BH3" s="2083"/>
      <c r="BI3" s="2084"/>
      <c r="BJ3" s="2084"/>
      <c r="BK3" s="2084"/>
      <c r="BL3" s="2084"/>
      <c r="BM3" s="2084"/>
      <c r="BN3" s="2084"/>
      <c r="BO3" s="2084"/>
      <c r="BP3" s="2085"/>
      <c r="BQ3" s="2083"/>
      <c r="BR3" s="2084"/>
      <c r="BS3" s="2084"/>
      <c r="BT3" s="2084"/>
      <c r="BU3" s="2084"/>
      <c r="BV3" s="2084"/>
      <c r="BW3" s="2084"/>
      <c r="BX3" s="2084"/>
      <c r="BY3" s="2085"/>
      <c r="BZ3" s="2083"/>
      <c r="CA3" s="2084"/>
      <c r="CB3" s="2084"/>
      <c r="CC3" s="2084"/>
      <c r="CD3" s="2084"/>
      <c r="CE3" s="2084"/>
      <c r="CF3" s="2084"/>
      <c r="CG3" s="2084"/>
      <c r="CH3" s="2085"/>
      <c r="CI3" s="2083"/>
      <c r="CJ3" s="2084"/>
      <c r="CK3" s="2084"/>
      <c r="CL3" s="2084"/>
      <c r="CM3" s="2084"/>
      <c r="CN3" s="2084"/>
      <c r="CO3" s="2084"/>
      <c r="CP3" s="2084"/>
      <c r="CQ3" s="2085"/>
      <c r="CR3" s="2083"/>
      <c r="CS3" s="2084"/>
      <c r="CT3" s="2084"/>
      <c r="CU3" s="2084"/>
      <c r="CV3" s="2084"/>
      <c r="CW3" s="2084"/>
      <c r="CX3" s="2084"/>
      <c r="CY3" s="2084"/>
      <c r="CZ3" s="2085"/>
      <c r="DA3" s="2083"/>
      <c r="DB3" s="2084"/>
      <c r="DC3" s="2084"/>
      <c r="DD3" s="2084"/>
      <c r="DE3" s="2084"/>
      <c r="DF3" s="2084"/>
      <c r="DG3" s="2084"/>
      <c r="DH3" s="2084"/>
      <c r="DI3" s="2085"/>
      <c r="DJ3" s="2083"/>
      <c r="DK3" s="2084"/>
      <c r="DL3" s="2084"/>
      <c r="DM3" s="2084"/>
      <c r="DN3" s="2084"/>
      <c r="DO3" s="2084"/>
      <c r="DP3" s="2084"/>
      <c r="DQ3" s="2084"/>
      <c r="DR3" s="2085"/>
      <c r="DS3" s="2085"/>
      <c r="DT3" s="1273" t="s">
        <v>412</v>
      </c>
      <c r="DV3" s="496"/>
      <c r="DW3" s="496" t="str">
        <f>IF(V3="","",V3)</f>
        <v>Территория действия тарифа</v>
      </c>
      <c r="DX3" s="496"/>
      <c r="DY3" s="496"/>
    </row>
    <row customHeight="1" ht="22.5" hidden="1">
      <c r="A4" s="1283"/>
      <c r="B4" s="1283"/>
      <c r="C4" s="1283"/>
      <c r="D4" s="1283"/>
      <c r="E4" s="2150"/>
      <c r="F4" s="2150"/>
      <c r="G4" s="2149">
        <v>1</v>
      </c>
      <c r="H4" s="1283"/>
      <c r="I4" s="1283"/>
      <c r="J4" s="1283"/>
      <c r="K4" s="1283"/>
      <c r="L4" s="1283"/>
      <c r="M4" s="1327"/>
      <c r="N4" s="683"/>
      <c r="O4" s="683"/>
      <c r="P4" s="683"/>
      <c r="Q4" s="342"/>
      <c r="R4" s="340"/>
      <c r="S4" s="505"/>
      <c r="T4" s="341"/>
      <c r="U4" s="1353">
        <f>INDEX(PT_DIFFERENTIATION_NUM_CS,MATCH(C4,PT_DIFFERENTIATION_CS_ID,0))</f>
      </c>
      <c r="V4" s="291" t="s">
        <v>413</v>
      </c>
      <c r="W4" s="280"/>
      <c r="X4" s="2083"/>
      <c r="Y4" s="2084"/>
      <c r="Z4" s="2084"/>
      <c r="AA4" s="2084"/>
      <c r="AB4" s="2084"/>
      <c r="AC4" s="2084"/>
      <c r="AD4" s="2084"/>
      <c r="AE4" s="2084"/>
      <c r="AF4" s="2085"/>
      <c r="AG4" s="2083">
        <f>INDEX(PT_DIFFERENTIATION_CS,MATCH(C4,PT_DIFFERENTIATION_CS_ID,0))</f>
      </c>
      <c r="AH4" s="2084"/>
      <c r="AI4" s="2084"/>
      <c r="AJ4" s="2084"/>
      <c r="AK4" s="2084"/>
      <c r="AL4" s="2084"/>
      <c r="AM4" s="2084"/>
      <c r="AN4" s="2084"/>
      <c r="AO4" s="2084"/>
      <c r="AP4" s="2083"/>
      <c r="AQ4" s="2084"/>
      <c r="AR4" s="2084"/>
      <c r="AS4" s="2084"/>
      <c r="AT4" s="2084"/>
      <c r="AU4" s="2084"/>
      <c r="AV4" s="2084"/>
      <c r="AW4" s="2084"/>
      <c r="AX4" s="2085"/>
      <c r="AY4" s="2083"/>
      <c r="AZ4" s="2084"/>
      <c r="BA4" s="2084"/>
      <c r="BB4" s="2084"/>
      <c r="BC4" s="2084"/>
      <c r="BD4" s="2084"/>
      <c r="BE4" s="2084"/>
      <c r="BF4" s="2084"/>
      <c r="BG4" s="2085"/>
      <c r="BH4" s="2083"/>
      <c r="BI4" s="2084"/>
      <c r="BJ4" s="2084"/>
      <c r="BK4" s="2084"/>
      <c r="BL4" s="2084"/>
      <c r="BM4" s="2084"/>
      <c r="BN4" s="2084"/>
      <c r="BO4" s="2084"/>
      <c r="BP4" s="2085"/>
      <c r="BQ4" s="2083"/>
      <c r="BR4" s="2084"/>
      <c r="BS4" s="2084"/>
      <c r="BT4" s="2084"/>
      <c r="BU4" s="2084"/>
      <c r="BV4" s="2084"/>
      <c r="BW4" s="2084"/>
      <c r="BX4" s="2084"/>
      <c r="BY4" s="2085"/>
      <c r="BZ4" s="2083"/>
      <c r="CA4" s="2084"/>
      <c r="CB4" s="2084"/>
      <c r="CC4" s="2084"/>
      <c r="CD4" s="2084"/>
      <c r="CE4" s="2084"/>
      <c r="CF4" s="2084"/>
      <c r="CG4" s="2084"/>
      <c r="CH4" s="2085"/>
      <c r="CI4" s="2083"/>
      <c r="CJ4" s="2084"/>
      <c r="CK4" s="2084"/>
      <c r="CL4" s="2084"/>
      <c r="CM4" s="2084"/>
      <c r="CN4" s="2084"/>
      <c r="CO4" s="2084"/>
      <c r="CP4" s="2084"/>
      <c r="CQ4" s="2085"/>
      <c r="CR4" s="2083"/>
      <c r="CS4" s="2084"/>
      <c r="CT4" s="2084"/>
      <c r="CU4" s="2084"/>
      <c r="CV4" s="2084"/>
      <c r="CW4" s="2084"/>
      <c r="CX4" s="2084"/>
      <c r="CY4" s="2084"/>
      <c r="CZ4" s="2085"/>
      <c r="DA4" s="2083"/>
      <c r="DB4" s="2084"/>
      <c r="DC4" s="2084"/>
      <c r="DD4" s="2084"/>
      <c r="DE4" s="2084"/>
      <c r="DF4" s="2084"/>
      <c r="DG4" s="2084"/>
      <c r="DH4" s="2084"/>
      <c r="DI4" s="2085"/>
      <c r="DJ4" s="2083"/>
      <c r="DK4" s="2084"/>
      <c r="DL4" s="2084"/>
      <c r="DM4" s="2084"/>
      <c r="DN4" s="2084"/>
      <c r="DO4" s="2084"/>
      <c r="DP4" s="2084"/>
      <c r="DQ4" s="2084"/>
      <c r="DR4" s="2085"/>
      <c r="DS4" s="2085"/>
      <c r="DT4" s="1273" t="s">
        <v>414</v>
      </c>
      <c r="DV4" s="496"/>
      <c r="DW4" s="496" t="str">
        <f>IF(V4="","",V4)</f>
        <v>Наименование системы теплоснабжения </v>
      </c>
      <c r="DX4" s="496"/>
      <c r="DY4" s="496"/>
    </row>
    <row customHeight="1" ht="21" hidden="1">
      <c r="A5" s="1283"/>
      <c r="B5" s="1283"/>
      <c r="C5" s="1283"/>
      <c r="D5" s="1283"/>
      <c r="E5" s="2150"/>
      <c r="F5" s="2150"/>
      <c r="G5" s="2150"/>
      <c r="H5" s="2149">
        <v>1</v>
      </c>
      <c r="I5" s="1283"/>
      <c r="J5" s="1283"/>
      <c r="K5" s="1283"/>
      <c r="L5" s="1283"/>
      <c r="M5" s="1327"/>
      <c r="N5" s="683"/>
      <c r="O5" s="683"/>
      <c r="P5" s="683"/>
      <c r="Q5" s="342"/>
      <c r="R5" s="340"/>
      <c r="S5" s="505"/>
      <c r="T5" s="341"/>
      <c r="U5" s="1353">
        <f>INDEX(PT_DIFFERENTIATION_NUM_IST_TE,MATCH(D5,PT_DIFFERENTIATION_IST_TE_ID,0))</f>
      </c>
      <c r="V5" s="292" t="s">
        <v>415</v>
      </c>
      <c r="W5" s="280"/>
      <c r="X5" s="2083"/>
      <c r="Y5" s="2084"/>
      <c r="Z5" s="2084"/>
      <c r="AA5" s="2084"/>
      <c r="AB5" s="2084"/>
      <c r="AC5" s="2084"/>
      <c r="AD5" s="2084"/>
      <c r="AE5" s="2084"/>
      <c r="AF5" s="2085"/>
      <c r="AG5" s="2083">
        <f>INDEX(PT_DIFFERENTIATION_IST_TE,MATCH(D5,PT_DIFFERENTIATION_IST_TE_ID,0))</f>
      </c>
      <c r="AH5" s="2084"/>
      <c r="AI5" s="2084"/>
      <c r="AJ5" s="2084"/>
      <c r="AK5" s="2084"/>
      <c r="AL5" s="2084"/>
      <c r="AM5" s="2084"/>
      <c r="AN5" s="2084"/>
      <c r="AO5" s="2084"/>
      <c r="AP5" s="2083"/>
      <c r="AQ5" s="2084"/>
      <c r="AR5" s="2084"/>
      <c r="AS5" s="2084"/>
      <c r="AT5" s="2084"/>
      <c r="AU5" s="2084"/>
      <c r="AV5" s="2084"/>
      <c r="AW5" s="2084"/>
      <c r="AX5" s="2085"/>
      <c r="AY5" s="2083"/>
      <c r="AZ5" s="2084"/>
      <c r="BA5" s="2084"/>
      <c r="BB5" s="2084"/>
      <c r="BC5" s="2084"/>
      <c r="BD5" s="2084"/>
      <c r="BE5" s="2084"/>
      <c r="BF5" s="2084"/>
      <c r="BG5" s="2085"/>
      <c r="BH5" s="2083"/>
      <c r="BI5" s="2084"/>
      <c r="BJ5" s="2084"/>
      <c r="BK5" s="2084"/>
      <c r="BL5" s="2084"/>
      <c r="BM5" s="2084"/>
      <c r="BN5" s="2084"/>
      <c r="BO5" s="2084"/>
      <c r="BP5" s="2085"/>
      <c r="BQ5" s="2083"/>
      <c r="BR5" s="2084"/>
      <c r="BS5" s="2084"/>
      <c r="BT5" s="2084"/>
      <c r="BU5" s="2084"/>
      <c r="BV5" s="2084"/>
      <c r="BW5" s="2084"/>
      <c r="BX5" s="2084"/>
      <c r="BY5" s="2085"/>
      <c r="BZ5" s="2083"/>
      <c r="CA5" s="2084"/>
      <c r="CB5" s="2084"/>
      <c r="CC5" s="2084"/>
      <c r="CD5" s="2084"/>
      <c r="CE5" s="2084"/>
      <c r="CF5" s="2084"/>
      <c r="CG5" s="2084"/>
      <c r="CH5" s="2085"/>
      <c r="CI5" s="2083"/>
      <c r="CJ5" s="2084"/>
      <c r="CK5" s="2084"/>
      <c r="CL5" s="2084"/>
      <c r="CM5" s="2084"/>
      <c r="CN5" s="2084"/>
      <c r="CO5" s="2084"/>
      <c r="CP5" s="2084"/>
      <c r="CQ5" s="2085"/>
      <c r="CR5" s="2083"/>
      <c r="CS5" s="2084"/>
      <c r="CT5" s="2084"/>
      <c r="CU5" s="2084"/>
      <c r="CV5" s="2084"/>
      <c r="CW5" s="2084"/>
      <c r="CX5" s="2084"/>
      <c r="CY5" s="2084"/>
      <c r="CZ5" s="2085"/>
      <c r="DA5" s="2083"/>
      <c r="DB5" s="2084"/>
      <c r="DC5" s="2084"/>
      <c r="DD5" s="2084"/>
      <c r="DE5" s="2084"/>
      <c r="DF5" s="2084"/>
      <c r="DG5" s="2084"/>
      <c r="DH5" s="2084"/>
      <c r="DI5" s="2085"/>
      <c r="DJ5" s="2083"/>
      <c r="DK5" s="2084"/>
      <c r="DL5" s="2084"/>
      <c r="DM5" s="2084"/>
      <c r="DN5" s="2084"/>
      <c r="DO5" s="2084"/>
      <c r="DP5" s="2084"/>
      <c r="DQ5" s="2084"/>
      <c r="DR5" s="2085"/>
      <c r="DS5" s="2085"/>
      <c r="DT5" s="1273" t="s">
        <v>416</v>
      </c>
      <c r="DV5" s="496"/>
      <c r="DW5" s="496" t="str">
        <f>IF(V5="","",V5)</f>
        <v>Источник тепловой энергии  </v>
      </c>
      <c r="DX5" s="496"/>
      <c r="DY5" s="496"/>
    </row>
    <row customHeight="1" ht="14.25" hidden="1">
      <c r="A6" s="1283"/>
      <c r="B6" s="1283"/>
      <c r="C6" s="1283"/>
      <c r="D6" s="1283"/>
      <c r="E6" s="2150"/>
      <c r="F6" s="2150"/>
      <c r="G6" s="2150"/>
      <c r="H6" s="2150"/>
      <c r="I6" s="1953">
        <f>U5&amp;".1"</f>
      </c>
      <c r="J6" s="1283"/>
      <c r="K6" s="1283"/>
      <c r="L6" s="1283"/>
      <c r="M6" s="1327" t="s">
        <v>417</v>
      </c>
      <c r="N6" s="505"/>
      <c r="Q6" s="2093">
        <v>1</v>
      </c>
      <c r="R6" s="1348"/>
      <c r="S6" s="1348"/>
      <c r="T6" s="344"/>
      <c r="U6" s="1037"/>
      <c r="V6" s="1400"/>
      <c r="W6" s="1401"/>
      <c r="X6" s="2129"/>
      <c r="Y6" s="2130"/>
      <c r="Z6" s="2130"/>
      <c r="AA6" s="2130"/>
      <c r="AB6" s="2130"/>
      <c r="AC6" s="2130"/>
      <c r="AD6" s="2130"/>
      <c r="AE6" s="2130"/>
      <c r="AF6" s="2131"/>
      <c r="AG6" s="2129"/>
      <c r="AH6" s="2130"/>
      <c r="AI6" s="2130"/>
      <c r="AJ6" s="2130"/>
      <c r="AK6" s="2130"/>
      <c r="AL6" s="2130"/>
      <c r="AM6" s="2130"/>
      <c r="AN6" s="2130"/>
      <c r="AO6" s="2130"/>
      <c r="AP6" s="2129"/>
      <c r="AQ6" s="2130"/>
      <c r="AR6" s="2130"/>
      <c r="AS6" s="2130"/>
      <c r="AT6" s="2130"/>
      <c r="AU6" s="2130"/>
      <c r="AV6" s="2130"/>
      <c r="AW6" s="2130"/>
      <c r="AX6" s="2131"/>
      <c r="AY6" s="2129"/>
      <c r="AZ6" s="2130"/>
      <c r="BA6" s="2130"/>
      <c r="BB6" s="2130"/>
      <c r="BC6" s="2130"/>
      <c r="BD6" s="2130"/>
      <c r="BE6" s="2130"/>
      <c r="BF6" s="2130"/>
      <c r="BG6" s="2131"/>
      <c r="BH6" s="2129"/>
      <c r="BI6" s="2130"/>
      <c r="BJ6" s="2130"/>
      <c r="BK6" s="2130"/>
      <c r="BL6" s="2130"/>
      <c r="BM6" s="2130"/>
      <c r="BN6" s="2130"/>
      <c r="BO6" s="2130"/>
      <c r="BP6" s="2131"/>
      <c r="BQ6" s="2129"/>
      <c r="BR6" s="2130"/>
      <c r="BS6" s="2130"/>
      <c r="BT6" s="2130"/>
      <c r="BU6" s="2130"/>
      <c r="BV6" s="2130"/>
      <c r="BW6" s="2130"/>
      <c r="BX6" s="2130"/>
      <c r="BY6" s="2131"/>
      <c r="BZ6" s="2129"/>
      <c r="CA6" s="2130"/>
      <c r="CB6" s="2130"/>
      <c r="CC6" s="2130"/>
      <c r="CD6" s="2130"/>
      <c r="CE6" s="2130"/>
      <c r="CF6" s="2130"/>
      <c r="CG6" s="2130"/>
      <c r="CH6" s="2131"/>
      <c r="CI6" s="2129"/>
      <c r="CJ6" s="2130"/>
      <c r="CK6" s="2130"/>
      <c r="CL6" s="2130"/>
      <c r="CM6" s="2130"/>
      <c r="CN6" s="2130"/>
      <c r="CO6" s="2130"/>
      <c r="CP6" s="2130"/>
      <c r="CQ6" s="2131"/>
      <c r="CR6" s="2129"/>
      <c r="CS6" s="2130"/>
      <c r="CT6" s="2130"/>
      <c r="CU6" s="2130"/>
      <c r="CV6" s="2130"/>
      <c r="CW6" s="2130"/>
      <c r="CX6" s="2130"/>
      <c r="CY6" s="2130"/>
      <c r="CZ6" s="2131"/>
      <c r="DA6" s="2129"/>
      <c r="DB6" s="2130"/>
      <c r="DC6" s="2130"/>
      <c r="DD6" s="2130"/>
      <c r="DE6" s="2130"/>
      <c r="DF6" s="2130"/>
      <c r="DG6" s="2130"/>
      <c r="DH6" s="2130"/>
      <c r="DI6" s="2131"/>
      <c r="DJ6" s="2129"/>
      <c r="DK6" s="2130"/>
      <c r="DL6" s="2130"/>
      <c r="DM6" s="2130"/>
      <c r="DN6" s="2130"/>
      <c r="DO6" s="2130"/>
      <c r="DP6" s="2130"/>
      <c r="DQ6" s="2130"/>
      <c r="DR6" s="2131"/>
      <c r="DS6" s="2131"/>
      <c r="DT6" s="1402"/>
      <c r="DV6" s="496"/>
      <c r="DW6" s="496" t="str">
        <f>IF(V6="","",V6)</f>
        <v/>
      </c>
      <c r="DX6" s="496"/>
      <c r="DY6" s="496"/>
    </row>
    <row customHeight="1" ht="21" hidden="1">
      <c r="A7" s="1283"/>
      <c r="B7" s="1283"/>
      <c r="C7" s="1283"/>
      <c r="D7" s="1283"/>
      <c r="E7" s="2150"/>
      <c r="F7" s="2150"/>
      <c r="G7" s="2150"/>
      <c r="H7" s="2150"/>
      <c r="I7" s="1937"/>
      <c r="J7" s="1953">
        <f>I6&amp;".1"</f>
      </c>
      <c r="K7" s="1283"/>
      <c r="L7" s="1283"/>
      <c r="M7" s="1327" t="s">
        <v>420</v>
      </c>
      <c r="N7" s="505"/>
      <c r="O7" s="315"/>
      <c r="Q7" s="2093"/>
      <c r="R7" s="2093">
        <v>1</v>
      </c>
      <c r="S7" s="514"/>
      <c r="T7" s="345"/>
      <c r="U7" s="1353">
        <f>$J7</f>
      </c>
      <c r="V7" s="267" t="s">
        <v>421</v>
      </c>
      <c r="W7" s="280"/>
      <c r="X7" s="2077"/>
      <c r="Y7" s="2078"/>
      <c r="Z7" s="2078"/>
      <c r="AA7" s="2078"/>
      <c r="AB7" s="2078"/>
      <c r="AC7" s="2070"/>
      <c r="AD7" s="2070"/>
      <c r="AE7" s="2070"/>
      <c r="AF7" s="2153"/>
      <c r="AG7" s="2077"/>
      <c r="AH7" s="2078"/>
      <c r="AI7" s="2078"/>
      <c r="AJ7" s="2078"/>
      <c r="AK7" s="2078"/>
      <c r="AL7" s="2078"/>
      <c r="AM7" s="2078"/>
      <c r="AN7" s="2078"/>
      <c r="AO7" s="2078"/>
      <c r="AP7" s="2077"/>
      <c r="AQ7" s="2078"/>
      <c r="AR7" s="2078"/>
      <c r="AS7" s="2078"/>
      <c r="AT7" s="2078"/>
      <c r="AU7" s="2070"/>
      <c r="AV7" s="2070"/>
      <c r="AW7" s="2070"/>
      <c r="AX7" s="2153"/>
      <c r="AY7" s="2077"/>
      <c r="AZ7" s="2078"/>
      <c r="BA7" s="2078"/>
      <c r="BB7" s="2078"/>
      <c r="BC7" s="2078"/>
      <c r="BD7" s="2070"/>
      <c r="BE7" s="2070"/>
      <c r="BF7" s="2070"/>
      <c r="BG7" s="2153"/>
      <c r="BH7" s="2077"/>
      <c r="BI7" s="2078"/>
      <c r="BJ7" s="2078"/>
      <c r="BK7" s="2078"/>
      <c r="BL7" s="2078"/>
      <c r="BM7" s="2070"/>
      <c r="BN7" s="2070"/>
      <c r="BO7" s="2070"/>
      <c r="BP7" s="2153"/>
      <c r="BQ7" s="2077"/>
      <c r="BR7" s="2078"/>
      <c r="BS7" s="2078"/>
      <c r="BT7" s="2078"/>
      <c r="BU7" s="2078"/>
      <c r="BV7" s="2070"/>
      <c r="BW7" s="2070"/>
      <c r="BX7" s="2070"/>
      <c r="BY7" s="2153"/>
      <c r="BZ7" s="2077"/>
      <c r="CA7" s="2078"/>
      <c r="CB7" s="2078"/>
      <c r="CC7" s="2078"/>
      <c r="CD7" s="2078"/>
      <c r="CE7" s="2070"/>
      <c r="CF7" s="2070"/>
      <c r="CG7" s="2070"/>
      <c r="CH7" s="2153"/>
      <c r="CI7" s="2077"/>
      <c r="CJ7" s="2078"/>
      <c r="CK7" s="2078"/>
      <c r="CL7" s="2078"/>
      <c r="CM7" s="2078"/>
      <c r="CN7" s="2070"/>
      <c r="CO7" s="2070"/>
      <c r="CP7" s="2070"/>
      <c r="CQ7" s="2153"/>
      <c r="CR7" s="2077"/>
      <c r="CS7" s="2078"/>
      <c r="CT7" s="2078"/>
      <c r="CU7" s="2078"/>
      <c r="CV7" s="2078"/>
      <c r="CW7" s="2070"/>
      <c r="CX7" s="2070"/>
      <c r="CY7" s="2070"/>
      <c r="CZ7" s="2153"/>
      <c r="DA7" s="2077"/>
      <c r="DB7" s="2078"/>
      <c r="DC7" s="2078"/>
      <c r="DD7" s="2078"/>
      <c r="DE7" s="2078"/>
      <c r="DF7" s="2070"/>
      <c r="DG7" s="2070"/>
      <c r="DH7" s="2070"/>
      <c r="DI7" s="2153"/>
      <c r="DJ7" s="2077"/>
      <c r="DK7" s="2078"/>
      <c r="DL7" s="2078"/>
      <c r="DM7" s="2078"/>
      <c r="DN7" s="2078"/>
      <c r="DO7" s="2070"/>
      <c r="DP7" s="2070"/>
      <c r="DQ7" s="2070"/>
      <c r="DR7" s="2153"/>
      <c r="DS7" s="2079"/>
      <c r="DT7" s="1273" t="s">
        <v>422</v>
      </c>
      <c r="DV7" s="496"/>
      <c r="DW7" s="496" t="str">
        <f>IF(V7="","",V7)</f>
        <v>Группа потребителей</v>
      </c>
      <c r="DX7" s="496"/>
      <c r="DY7" s="496"/>
    </row>
    <row customHeight="1" ht="21" hidden="1">
      <c r="A8" s="1283"/>
      <c r="B8" s="1283"/>
      <c r="C8" s="1283"/>
      <c r="D8" s="1283"/>
      <c r="E8" s="2150"/>
      <c r="F8" s="2150"/>
      <c r="G8" s="2150"/>
      <c r="H8" s="2150"/>
      <c r="I8" s="1937"/>
      <c r="J8" s="1937"/>
      <c r="K8" s="1953">
        <f>J7&amp;".1"</f>
      </c>
      <c r="L8" s="119"/>
      <c r="M8" s="1327" t="s">
        <v>423</v>
      </c>
      <c r="N8" s="505"/>
      <c r="O8" s="315"/>
      <c r="P8" s="315"/>
      <c r="Q8" s="2093"/>
      <c r="R8" s="2093"/>
      <c r="S8" s="2093">
        <v>1</v>
      </c>
      <c r="T8" s="345"/>
      <c r="U8" s="1353">
        <f>$K8</f>
      </c>
      <c r="V8" s="1364"/>
      <c r="W8" s="280"/>
      <c r="X8" s="746"/>
      <c r="Y8" s="746"/>
      <c r="Z8" s="746"/>
      <c r="AA8" s="746"/>
      <c r="AB8" s="1422"/>
      <c r="AC8" s="2094"/>
      <c r="AD8" s="1963" t="s">
        <v>61</v>
      </c>
      <c r="AE8" s="2094"/>
      <c r="AF8" s="1963" t="s">
        <v>61</v>
      </c>
      <c r="AG8" s="1424"/>
      <c r="AH8" s="746"/>
      <c r="AI8" s="746"/>
      <c r="AJ8" s="746"/>
      <c r="AK8" s="1272"/>
      <c r="AL8" s="2094"/>
      <c r="AM8" s="1963" t="s">
        <v>61</v>
      </c>
      <c r="AN8" s="2094"/>
      <c r="AO8" s="1963" t="s">
        <v>61</v>
      </c>
      <c r="AP8" s="746"/>
      <c r="AQ8" s="746"/>
      <c r="AR8" s="746"/>
      <c r="AS8" s="746"/>
      <c r="AT8" s="1422"/>
      <c r="AU8" s="2425"/>
      <c r="AV8" s="1963" t="s">
        <v>61</v>
      </c>
      <c r="AW8" s="2425"/>
      <c r="AX8" s="1963" t="s">
        <v>61</v>
      </c>
      <c r="AY8" s="746"/>
      <c r="AZ8" s="746"/>
      <c r="BA8" s="746"/>
      <c r="BB8" s="746"/>
      <c r="BC8" s="1422"/>
      <c r="BD8" s="2425"/>
      <c r="BE8" s="1963" t="s">
        <v>61</v>
      </c>
      <c r="BF8" s="2425"/>
      <c r="BG8" s="1963" t="s">
        <v>61</v>
      </c>
      <c r="BH8" s="746"/>
      <c r="BI8" s="746"/>
      <c r="BJ8" s="746"/>
      <c r="BK8" s="746"/>
      <c r="BL8" s="1422"/>
      <c r="BM8" s="2425"/>
      <c r="BN8" s="1963" t="s">
        <v>61</v>
      </c>
      <c r="BO8" s="2425"/>
      <c r="BP8" s="1963" t="s">
        <v>61</v>
      </c>
      <c r="BQ8" s="746"/>
      <c r="BR8" s="746"/>
      <c r="BS8" s="746"/>
      <c r="BT8" s="746"/>
      <c r="BU8" s="1422"/>
      <c r="BV8" s="2425"/>
      <c r="BW8" s="1963" t="s">
        <v>61</v>
      </c>
      <c r="BX8" s="2425"/>
      <c r="BY8" s="1963" t="s">
        <v>61</v>
      </c>
      <c r="BZ8" s="746"/>
      <c r="CA8" s="746"/>
      <c r="CB8" s="746"/>
      <c r="CC8" s="746"/>
      <c r="CD8" s="1422"/>
      <c r="CE8" s="2425"/>
      <c r="CF8" s="1963" t="s">
        <v>61</v>
      </c>
      <c r="CG8" s="2425"/>
      <c r="CH8" s="1963" t="s">
        <v>61</v>
      </c>
      <c r="CI8" s="746"/>
      <c r="CJ8" s="746"/>
      <c r="CK8" s="746"/>
      <c r="CL8" s="746"/>
      <c r="CM8" s="1422"/>
      <c r="CN8" s="2425"/>
      <c r="CO8" s="1963" t="s">
        <v>61</v>
      </c>
      <c r="CP8" s="2425"/>
      <c r="CQ8" s="1963" t="s">
        <v>61</v>
      </c>
      <c r="CR8" s="746"/>
      <c r="CS8" s="746"/>
      <c r="CT8" s="746"/>
      <c r="CU8" s="746"/>
      <c r="CV8" s="1422"/>
      <c r="CW8" s="2425"/>
      <c r="CX8" s="1963" t="s">
        <v>61</v>
      </c>
      <c r="CY8" s="2425"/>
      <c r="CZ8" s="1963" t="s">
        <v>61</v>
      </c>
      <c r="DA8" s="746"/>
      <c r="DB8" s="746"/>
      <c r="DC8" s="746"/>
      <c r="DD8" s="746"/>
      <c r="DE8" s="1422"/>
      <c r="DF8" s="2425"/>
      <c r="DG8" s="1963" t="s">
        <v>61</v>
      </c>
      <c r="DH8" s="2425"/>
      <c r="DI8" s="1963" t="s">
        <v>61</v>
      </c>
      <c r="DJ8" s="746"/>
      <c r="DK8" s="746"/>
      <c r="DL8" s="746"/>
      <c r="DM8" s="746"/>
      <c r="DN8" s="1422"/>
      <c r="DO8" s="2425"/>
      <c r="DP8" s="1963" t="s">
        <v>61</v>
      </c>
      <c r="DQ8" s="2425"/>
      <c r="DR8" s="1963" t="s">
        <v>61</v>
      </c>
      <c r="DS8" s="312"/>
      <c r="DT8" s="1324" t="s">
        <v>467</v>
      </c>
      <c r="DU8" s="507">
        <f>STRCHECKDATE(X10:DS10)</f>
      </c>
      <c r="DV8" s="496"/>
      <c r="DW8" s="496" t="str">
        <f>IF(V8="","",V8)</f>
        <v/>
      </c>
      <c r="DX8" s="496"/>
      <c r="DY8" s="496"/>
    </row>
    <row customHeight="1" ht="21" hidden="1">
      <c r="A9" s="1283"/>
      <c r="B9" s="1283"/>
      <c r="C9" s="1283"/>
      <c r="D9" s="1283"/>
      <c r="E9" s="2150"/>
      <c r="F9" s="2150"/>
      <c r="G9" s="2150"/>
      <c r="H9" s="2150"/>
      <c r="I9" s="1937"/>
      <c r="J9" s="1937"/>
      <c r="K9" s="1937"/>
      <c r="L9" s="1953">
        <f>K8&amp;".1"</f>
      </c>
      <c r="M9" s="1327"/>
      <c r="N9" s="505"/>
      <c r="O9" s="315"/>
      <c r="P9" s="315"/>
      <c r="Q9" s="2093"/>
      <c r="R9" s="2093"/>
      <c r="S9" s="2093"/>
      <c r="T9" s="345"/>
      <c r="U9" s="1353">
        <f>$L9</f>
      </c>
      <c r="V9" s="1408"/>
      <c r="W9" s="280"/>
      <c r="X9" s="312"/>
      <c r="Y9" s="746"/>
      <c r="Z9" s="746"/>
      <c r="AA9" s="746"/>
      <c r="AB9" s="1422"/>
      <c r="AC9" s="2134"/>
      <c r="AD9" s="1963"/>
      <c r="AE9" s="2134"/>
      <c r="AF9" s="1963"/>
      <c r="AG9" s="1424"/>
      <c r="AH9" s="746"/>
      <c r="AI9" s="746"/>
      <c r="AJ9" s="746"/>
      <c r="AK9" s="1272"/>
      <c r="AL9" s="2134"/>
      <c r="AM9" s="1963"/>
      <c r="AN9" s="2134"/>
      <c r="AO9" s="1963"/>
      <c r="AP9" s="312"/>
      <c r="AQ9" s="746"/>
      <c r="AR9" s="746"/>
      <c r="AS9" s="746"/>
      <c r="AT9" s="1422"/>
      <c r="AU9" s="2134"/>
      <c r="AV9" s="1963"/>
      <c r="AW9" s="2134"/>
      <c r="AX9" s="1963"/>
      <c r="AY9" s="312"/>
      <c r="AZ9" s="746"/>
      <c r="BA9" s="746"/>
      <c r="BB9" s="746"/>
      <c r="BC9" s="1422"/>
      <c r="BD9" s="2134"/>
      <c r="BE9" s="1963"/>
      <c r="BF9" s="2134"/>
      <c r="BG9" s="1963"/>
      <c r="BH9" s="312"/>
      <c r="BI9" s="746"/>
      <c r="BJ9" s="746"/>
      <c r="BK9" s="746"/>
      <c r="BL9" s="1422"/>
      <c r="BM9" s="2134"/>
      <c r="BN9" s="1963"/>
      <c r="BO9" s="2134"/>
      <c r="BP9" s="1963"/>
      <c r="BQ9" s="312"/>
      <c r="BR9" s="746"/>
      <c r="BS9" s="746"/>
      <c r="BT9" s="746"/>
      <c r="BU9" s="1422"/>
      <c r="BV9" s="2134"/>
      <c r="BW9" s="1963"/>
      <c r="BX9" s="2134"/>
      <c r="BY9" s="1963"/>
      <c r="BZ9" s="312"/>
      <c r="CA9" s="746"/>
      <c r="CB9" s="746"/>
      <c r="CC9" s="746"/>
      <c r="CD9" s="1422"/>
      <c r="CE9" s="2134"/>
      <c r="CF9" s="1963"/>
      <c r="CG9" s="2134"/>
      <c r="CH9" s="1963"/>
      <c r="CI9" s="312"/>
      <c r="CJ9" s="746"/>
      <c r="CK9" s="746"/>
      <c r="CL9" s="746"/>
      <c r="CM9" s="1422"/>
      <c r="CN9" s="2134"/>
      <c r="CO9" s="1963"/>
      <c r="CP9" s="2134"/>
      <c r="CQ9" s="1963"/>
      <c r="CR9" s="312"/>
      <c r="CS9" s="746"/>
      <c r="CT9" s="746"/>
      <c r="CU9" s="746"/>
      <c r="CV9" s="1422"/>
      <c r="CW9" s="2134"/>
      <c r="CX9" s="1963"/>
      <c r="CY9" s="2134"/>
      <c r="CZ9" s="1963"/>
      <c r="DA9" s="312"/>
      <c r="DB9" s="746"/>
      <c r="DC9" s="746"/>
      <c r="DD9" s="746"/>
      <c r="DE9" s="1422"/>
      <c r="DF9" s="2134"/>
      <c r="DG9" s="1963"/>
      <c r="DH9" s="2134"/>
      <c r="DI9" s="1963"/>
      <c r="DJ9" s="312"/>
      <c r="DK9" s="746"/>
      <c r="DL9" s="746"/>
      <c r="DM9" s="746"/>
      <c r="DN9" s="1422"/>
      <c r="DO9" s="2134"/>
      <c r="DP9" s="1963"/>
      <c r="DQ9" s="2134"/>
      <c r="DR9" s="1963"/>
      <c r="DS9" s="312"/>
      <c r="DT9" s="2119" t="s">
        <v>468</v>
      </c>
      <c r="DV9" s="496"/>
      <c r="DW9" s="496"/>
      <c r="DX9" s="496"/>
      <c r="DY9" s="496"/>
    </row>
    <row customHeight="1" ht="14.25" hidden="1">
      <c r="A10" s="1283"/>
      <c r="B10" s="1283"/>
      <c r="C10" s="1283"/>
      <c r="D10" s="1283"/>
      <c r="E10" s="2150"/>
      <c r="F10" s="2150"/>
      <c r="G10" s="2150"/>
      <c r="H10" s="2150"/>
      <c r="I10" s="1937"/>
      <c r="J10" s="1937"/>
      <c r="K10" s="1937"/>
      <c r="L10" s="1953"/>
      <c r="M10" s="1327"/>
      <c r="N10" s="505"/>
      <c r="O10" s="315"/>
      <c r="P10" s="315"/>
      <c r="Q10" s="2093"/>
      <c r="R10" s="2093"/>
      <c r="S10" s="2093"/>
      <c r="T10" s="345"/>
      <c r="U10" s="1359"/>
      <c r="V10" s="280"/>
      <c r="W10" s="280"/>
      <c r="X10" s="312"/>
      <c r="Y10" s="312"/>
      <c r="Z10" s="312"/>
      <c r="AA10" s="312"/>
      <c r="AB10" s="1423" t="str">
        <f>AC8&amp;"-"&amp;AE8</f>
        <v>-</v>
      </c>
      <c r="AC10" s="2134"/>
      <c r="AD10" s="1963"/>
      <c r="AE10" s="2134"/>
      <c r="AF10" s="1963"/>
      <c r="AG10" s="1399"/>
      <c r="AH10" s="312"/>
      <c r="AI10" s="312"/>
      <c r="AJ10" s="312"/>
      <c r="AK10" s="316" t="str">
        <f>AL8&amp;"-"&amp;AN8</f>
        <v>-</v>
      </c>
      <c r="AL10" s="2134"/>
      <c r="AM10" s="1963"/>
      <c r="AN10" s="2134"/>
      <c r="AO10" s="1963"/>
      <c r="AP10" s="312"/>
      <c r="AQ10" s="312"/>
      <c r="AR10" s="312"/>
      <c r="AS10" s="312"/>
      <c r="AT10" s="1423" t="str">
        <f>AU8&amp;"-"&amp;AW8</f>
        <v>-</v>
      </c>
      <c r="AU10" s="2134"/>
      <c r="AV10" s="1963"/>
      <c r="AW10" s="2134"/>
      <c r="AX10" s="1963"/>
      <c r="AY10" s="312"/>
      <c r="AZ10" s="312"/>
      <c r="BA10" s="312"/>
      <c r="BB10" s="312"/>
      <c r="BC10" s="1423" t="str">
        <f>BD8&amp;"-"&amp;BF8</f>
        <v>-</v>
      </c>
      <c r="BD10" s="2134"/>
      <c r="BE10" s="1963"/>
      <c r="BF10" s="2134"/>
      <c r="BG10" s="1963"/>
      <c r="BH10" s="312"/>
      <c r="BI10" s="312"/>
      <c r="BJ10" s="312"/>
      <c r="BK10" s="312"/>
      <c r="BL10" s="1423" t="str">
        <f>BM8&amp;"-"&amp;BO8</f>
        <v>-</v>
      </c>
      <c r="BM10" s="2134"/>
      <c r="BN10" s="1963"/>
      <c r="BO10" s="2134"/>
      <c r="BP10" s="1963"/>
      <c r="BQ10" s="312"/>
      <c r="BR10" s="312"/>
      <c r="BS10" s="312"/>
      <c r="BT10" s="312"/>
      <c r="BU10" s="1423" t="str">
        <f>BV8&amp;"-"&amp;BX8</f>
        <v>-</v>
      </c>
      <c r="BV10" s="2134"/>
      <c r="BW10" s="1963"/>
      <c r="BX10" s="2134"/>
      <c r="BY10" s="1963"/>
      <c r="BZ10" s="312"/>
      <c r="CA10" s="312"/>
      <c r="CB10" s="312"/>
      <c r="CC10" s="312"/>
      <c r="CD10" s="1423" t="str">
        <f>CE8&amp;"-"&amp;CG8</f>
        <v>-</v>
      </c>
      <c r="CE10" s="2134"/>
      <c r="CF10" s="1963"/>
      <c r="CG10" s="2134"/>
      <c r="CH10" s="1963"/>
      <c r="CI10" s="312"/>
      <c r="CJ10" s="312"/>
      <c r="CK10" s="312"/>
      <c r="CL10" s="312"/>
      <c r="CM10" s="1423" t="str">
        <f>CN8&amp;"-"&amp;CP8</f>
        <v>-</v>
      </c>
      <c r="CN10" s="2134"/>
      <c r="CO10" s="1963"/>
      <c r="CP10" s="2134"/>
      <c r="CQ10" s="1963"/>
      <c r="CR10" s="312"/>
      <c r="CS10" s="312"/>
      <c r="CT10" s="312"/>
      <c r="CU10" s="312"/>
      <c r="CV10" s="1423" t="str">
        <f>CW8&amp;"-"&amp;CY8</f>
        <v>-</v>
      </c>
      <c r="CW10" s="2134"/>
      <c r="CX10" s="1963"/>
      <c r="CY10" s="2134"/>
      <c r="CZ10" s="1963"/>
      <c r="DA10" s="312"/>
      <c r="DB10" s="312"/>
      <c r="DC10" s="312"/>
      <c r="DD10" s="312"/>
      <c r="DE10" s="1423" t="str">
        <f>DF8&amp;"-"&amp;DH8</f>
        <v>-</v>
      </c>
      <c r="DF10" s="2134"/>
      <c r="DG10" s="1963"/>
      <c r="DH10" s="2134"/>
      <c r="DI10" s="1963"/>
      <c r="DJ10" s="312"/>
      <c r="DK10" s="312"/>
      <c r="DL10" s="312"/>
      <c r="DM10" s="312"/>
      <c r="DN10" s="1423" t="str">
        <f>DO8&amp;"-"&amp;DQ8</f>
        <v>-</v>
      </c>
      <c r="DO10" s="2134"/>
      <c r="DP10" s="1963"/>
      <c r="DQ10" s="2134"/>
      <c r="DR10" s="1963"/>
      <c r="DS10" s="312"/>
      <c r="DT10" s="2120"/>
      <c r="DV10" s="496"/>
      <c r="DW10" s="496" t="str">
        <f>IF(V10="","",V10)</f>
        <v/>
      </c>
      <c r="DX10" s="496"/>
      <c r="DY10" s="496"/>
    </row>
    <row customHeight="1" ht="11.25" hidden="1">
      <c r="A11" s="1283"/>
      <c r="B11" s="1283"/>
      <c r="C11" s="1283"/>
      <c r="D11" s="1283"/>
      <c r="E11" s="2150"/>
      <c r="F11" s="2150"/>
      <c r="G11" s="2150"/>
      <c r="H11" s="2150"/>
      <c r="I11" s="1937"/>
      <c r="J11" s="1937"/>
      <c r="K11" s="1953"/>
      <c r="L11" s="1283"/>
      <c r="M11" s="1327"/>
      <c r="N11" s="505"/>
      <c r="O11" s="315"/>
      <c r="P11" s="315"/>
      <c r="Q11" s="2093"/>
      <c r="R11" s="2093"/>
      <c r="S11" s="2093"/>
      <c r="T11" s="345"/>
      <c r="U11" s="1295"/>
      <c r="V11" s="269" t="s">
        <v>469</v>
      </c>
      <c r="W11" s="1409"/>
      <c r="X11" s="1410"/>
      <c r="Y11" s="1410"/>
      <c r="Z11" s="1410"/>
      <c r="AA11" s="1410"/>
      <c r="AB11" s="1411"/>
      <c r="AC11" s="2134"/>
      <c r="AD11" s="1963"/>
      <c r="AE11" s="2134"/>
      <c r="AF11" s="1963"/>
      <c r="AG11" s="1410"/>
      <c r="AH11" s="1410"/>
      <c r="AI11" s="1410"/>
      <c r="AJ11" s="1410"/>
      <c r="AK11" s="1411"/>
      <c r="AL11" s="2134"/>
      <c r="AM11" s="1963"/>
      <c r="AN11" s="2134"/>
      <c r="AO11" s="1963"/>
      <c r="AP11" s="4785"/>
      <c r="AQ11" s="4786"/>
      <c r="AR11" s="4787"/>
      <c r="AS11" s="4788"/>
      <c r="AT11" s="4789"/>
      <c r="AU11" s="2134"/>
      <c r="AV11" s="1963"/>
      <c r="AW11" s="2134"/>
      <c r="AX11" s="1963"/>
      <c r="AY11" s="4790"/>
      <c r="AZ11" s="4791"/>
      <c r="BA11" s="4792"/>
      <c r="BB11" s="4793"/>
      <c r="BC11" s="4794"/>
      <c r="BD11" s="2134"/>
      <c r="BE11" s="1963"/>
      <c r="BF11" s="2134"/>
      <c r="BG11" s="1963"/>
      <c r="BH11" s="4795"/>
      <c r="BI11" s="4796"/>
      <c r="BJ11" s="4797"/>
      <c r="BK11" s="4798"/>
      <c r="BL11" s="4799"/>
      <c r="BM11" s="2134"/>
      <c r="BN11" s="1963"/>
      <c r="BO11" s="2134"/>
      <c r="BP11" s="1963"/>
      <c r="BQ11" s="4800"/>
      <c r="BR11" s="4801"/>
      <c r="BS11" s="4802"/>
      <c r="BT11" s="4803"/>
      <c r="BU11" s="4804"/>
      <c r="BV11" s="2134"/>
      <c r="BW11" s="1963"/>
      <c r="BX11" s="2134"/>
      <c r="BY11" s="1963"/>
      <c r="BZ11" s="4805"/>
      <c r="CA11" s="4806"/>
      <c r="CB11" s="4807"/>
      <c r="CC11" s="4808"/>
      <c r="CD11" s="4809"/>
      <c r="CE11" s="2134"/>
      <c r="CF11" s="1963"/>
      <c r="CG11" s="2134"/>
      <c r="CH11" s="1963"/>
      <c r="CI11" s="4810"/>
      <c r="CJ11" s="4811"/>
      <c r="CK11" s="4812"/>
      <c r="CL11" s="4813"/>
      <c r="CM11" s="4814"/>
      <c r="CN11" s="2134"/>
      <c r="CO11" s="1963"/>
      <c r="CP11" s="2134"/>
      <c r="CQ11" s="1963"/>
      <c r="CR11" s="4815"/>
      <c r="CS11" s="4816"/>
      <c r="CT11" s="4817"/>
      <c r="CU11" s="4818"/>
      <c r="CV11" s="4819"/>
      <c r="CW11" s="2134"/>
      <c r="CX11" s="1963"/>
      <c r="CY11" s="2134"/>
      <c r="CZ11" s="1963"/>
      <c r="DA11" s="4820"/>
      <c r="DB11" s="4821"/>
      <c r="DC11" s="4822"/>
      <c r="DD11" s="4823"/>
      <c r="DE11" s="4824"/>
      <c r="DF11" s="2134"/>
      <c r="DG11" s="1963"/>
      <c r="DH11" s="2134"/>
      <c r="DI11" s="1963"/>
      <c r="DJ11" s="4825"/>
      <c r="DK11" s="4826"/>
      <c r="DL11" s="4827"/>
      <c r="DM11" s="4828"/>
      <c r="DN11" s="4829"/>
      <c r="DO11" s="2134"/>
      <c r="DP11" s="1963"/>
      <c r="DQ11" s="2134"/>
      <c r="DR11" s="1963"/>
      <c r="DS11" s="1412"/>
      <c r="DT11" s="2120"/>
      <c r="DV11" s="496"/>
      <c r="DW11" s="496"/>
      <c r="DX11" s="496"/>
      <c r="DY11" s="496"/>
    </row>
    <row customHeight="1" ht="15" hidden="1">
      <c r="A12" s="1283"/>
      <c r="B12" s="1283"/>
      <c r="C12" s="1283"/>
      <c r="D12" s="1283"/>
      <c r="E12" s="2150"/>
      <c r="F12" s="2150"/>
      <c r="G12" s="2150"/>
      <c r="H12" s="2150"/>
      <c r="I12" s="1937"/>
      <c r="J12" s="1953"/>
      <c r="K12" s="1283"/>
      <c r="L12" s="1283"/>
      <c r="M12" s="1327"/>
      <c r="N12" s="505"/>
      <c r="O12" s="315"/>
      <c r="Q12" s="2093"/>
      <c r="R12" s="2093"/>
      <c r="S12" s="1348"/>
      <c r="T12" s="344"/>
      <c r="U12" s="1295"/>
      <c r="V12" s="268" t="s">
        <v>425</v>
      </c>
      <c r="W12" s="359"/>
      <c r="X12" s="359"/>
      <c r="Y12" s="359"/>
      <c r="Z12" s="359"/>
      <c r="AA12" s="359"/>
      <c r="AB12" s="359"/>
      <c r="AC12" s="1425"/>
      <c r="AD12" s="1425"/>
      <c r="AE12" s="1425"/>
      <c r="AF12" s="1425"/>
      <c r="AG12" s="359"/>
      <c r="AH12" s="359"/>
      <c r="AI12" s="359"/>
      <c r="AJ12" s="359"/>
      <c r="AK12" s="359"/>
      <c r="AL12" s="359"/>
      <c r="AM12" s="359"/>
      <c r="AN12" s="359"/>
      <c r="AO12" s="359"/>
      <c r="AP12" s="4830"/>
      <c r="AQ12" s="4831"/>
      <c r="AR12" s="4832"/>
      <c r="AS12" s="4833"/>
      <c r="AT12" s="4834"/>
      <c r="AU12" s="4835"/>
      <c r="AV12" s="4836"/>
      <c r="AW12" s="4837"/>
      <c r="AX12" s="4838"/>
      <c r="AY12" s="4839"/>
      <c r="AZ12" s="4840"/>
      <c r="BA12" s="4841"/>
      <c r="BB12" s="4842"/>
      <c r="BC12" s="4843"/>
      <c r="BD12" s="4844"/>
      <c r="BE12" s="4845"/>
      <c r="BF12" s="4846"/>
      <c r="BG12" s="4847"/>
      <c r="BH12" s="4848"/>
      <c r="BI12" s="4849"/>
      <c r="BJ12" s="4850"/>
      <c r="BK12" s="4851"/>
      <c r="BL12" s="4852"/>
      <c r="BM12" s="4853"/>
      <c r="BN12" s="4854"/>
      <c r="BO12" s="4855"/>
      <c r="BP12" s="4856"/>
      <c r="BQ12" s="4857"/>
      <c r="BR12" s="4858"/>
      <c r="BS12" s="4859"/>
      <c r="BT12" s="4860"/>
      <c r="BU12" s="4861"/>
      <c r="BV12" s="4862"/>
      <c r="BW12" s="4863"/>
      <c r="BX12" s="4864"/>
      <c r="BY12" s="4865"/>
      <c r="BZ12" s="4866"/>
      <c r="CA12" s="4867"/>
      <c r="CB12" s="4868"/>
      <c r="CC12" s="4869"/>
      <c r="CD12" s="4870"/>
      <c r="CE12" s="4871"/>
      <c r="CF12" s="4872"/>
      <c r="CG12" s="4873"/>
      <c r="CH12" s="4874"/>
      <c r="CI12" s="4875"/>
      <c r="CJ12" s="4876"/>
      <c r="CK12" s="4877"/>
      <c r="CL12" s="4878"/>
      <c r="CM12" s="4879"/>
      <c r="CN12" s="4880"/>
      <c r="CO12" s="4881"/>
      <c r="CP12" s="4882"/>
      <c r="CQ12" s="4883"/>
      <c r="CR12" s="4884"/>
      <c r="CS12" s="4885"/>
      <c r="CT12" s="4886"/>
      <c r="CU12" s="4887"/>
      <c r="CV12" s="4888"/>
      <c r="CW12" s="4889"/>
      <c r="CX12" s="4890"/>
      <c r="CY12" s="4891"/>
      <c r="CZ12" s="4892"/>
      <c r="DA12" s="4893"/>
      <c r="DB12" s="4894"/>
      <c r="DC12" s="4895"/>
      <c r="DD12" s="4896"/>
      <c r="DE12" s="4897"/>
      <c r="DF12" s="4898"/>
      <c r="DG12" s="4899"/>
      <c r="DH12" s="4900"/>
      <c r="DI12" s="4901"/>
      <c r="DJ12" s="4902"/>
      <c r="DK12" s="4903"/>
      <c r="DL12" s="4904"/>
      <c r="DM12" s="4905"/>
      <c r="DN12" s="4906"/>
      <c r="DO12" s="4907"/>
      <c r="DP12" s="4908"/>
      <c r="DQ12" s="4909"/>
      <c r="DR12" s="4910"/>
      <c r="DS12" s="311"/>
      <c r="DT12" s="2121"/>
      <c r="DV12" s="496"/>
      <c r="DW12" s="496" t="str">
        <f>IF(V12="","",V12)</f>
        <v>Добавить вид теплоносителя (параметры теплоносителя)</v>
      </c>
      <c r="DX12" s="496"/>
      <c r="DY12" s="496"/>
    </row>
    <row customHeight="1" ht="11.25" hidden="1">
      <c r="A13" s="1283"/>
      <c r="B13" s="1283"/>
      <c r="C13" s="1283"/>
      <c r="D13" s="1283"/>
      <c r="E13" s="2150"/>
      <c r="F13" s="2150"/>
      <c r="G13" s="2150"/>
      <c r="H13" s="2150"/>
      <c r="I13" s="1953"/>
      <c r="J13" s="1283"/>
      <c r="K13" s="1283"/>
      <c r="L13" s="1283"/>
      <c r="M13" s="1327"/>
      <c r="N13" s="505"/>
      <c r="Q13" s="2093"/>
      <c r="R13" s="1348"/>
      <c r="S13" s="1348"/>
      <c r="T13" s="344"/>
      <c r="U13" s="1295"/>
      <c r="V13" s="356" t="s">
        <v>426</v>
      </c>
      <c r="W13" s="359"/>
      <c r="X13" s="359"/>
      <c r="Y13" s="359"/>
      <c r="Z13" s="359"/>
      <c r="AA13" s="359"/>
      <c r="AB13" s="359"/>
      <c r="AC13" s="359"/>
      <c r="AD13" s="359"/>
      <c r="AE13" s="359"/>
      <c r="AF13" s="358"/>
      <c r="AG13" s="359"/>
      <c r="AH13" s="359"/>
      <c r="AI13" s="359"/>
      <c r="AJ13" s="359"/>
      <c r="AK13" s="359"/>
      <c r="AL13" s="359"/>
      <c r="AM13" s="359"/>
      <c r="AN13" s="359"/>
      <c r="AO13" s="358"/>
      <c r="AP13" s="4911"/>
      <c r="AQ13" s="4912"/>
      <c r="AR13" s="4913"/>
      <c r="AS13" s="4914"/>
      <c r="AT13" s="4915"/>
      <c r="AU13" s="4916"/>
      <c r="AV13" s="4917"/>
      <c r="AW13" s="4918"/>
      <c r="AX13" s="4919"/>
      <c r="AY13" s="4920"/>
      <c r="AZ13" s="4921"/>
      <c r="BA13" s="4922"/>
      <c r="BB13" s="4923"/>
      <c r="BC13" s="4924"/>
      <c r="BD13" s="4925"/>
      <c r="BE13" s="4926"/>
      <c r="BF13" s="4927"/>
      <c r="BG13" s="4928"/>
      <c r="BH13" s="4929"/>
      <c r="BI13" s="4930"/>
      <c r="BJ13" s="4931"/>
      <c r="BK13" s="4932"/>
      <c r="BL13" s="4933"/>
      <c r="BM13" s="4934"/>
      <c r="BN13" s="4935"/>
      <c r="BO13" s="4936"/>
      <c r="BP13" s="4937"/>
      <c r="BQ13" s="4938"/>
      <c r="BR13" s="4939"/>
      <c r="BS13" s="4940"/>
      <c r="BT13" s="4941"/>
      <c r="BU13" s="4942"/>
      <c r="BV13" s="4943"/>
      <c r="BW13" s="4944"/>
      <c r="BX13" s="4945"/>
      <c r="BY13" s="4946"/>
      <c r="BZ13" s="4947"/>
      <c r="CA13" s="4948"/>
      <c r="CB13" s="4949"/>
      <c r="CC13" s="4950"/>
      <c r="CD13" s="4951"/>
      <c r="CE13" s="4952"/>
      <c r="CF13" s="4953"/>
      <c r="CG13" s="4954"/>
      <c r="CH13" s="4955"/>
      <c r="CI13" s="4956"/>
      <c r="CJ13" s="4957"/>
      <c r="CK13" s="4958"/>
      <c r="CL13" s="4959"/>
      <c r="CM13" s="4960"/>
      <c r="CN13" s="4961"/>
      <c r="CO13" s="4962"/>
      <c r="CP13" s="4963"/>
      <c r="CQ13" s="4964"/>
      <c r="CR13" s="4965"/>
      <c r="CS13" s="4966"/>
      <c r="CT13" s="4967"/>
      <c r="CU13" s="4968"/>
      <c r="CV13" s="4969"/>
      <c r="CW13" s="4970"/>
      <c r="CX13" s="4971"/>
      <c r="CY13" s="4972"/>
      <c r="CZ13" s="4973"/>
      <c r="DA13" s="4974"/>
      <c r="DB13" s="4975"/>
      <c r="DC13" s="4976"/>
      <c r="DD13" s="4977"/>
      <c r="DE13" s="4978"/>
      <c r="DF13" s="4979"/>
      <c r="DG13" s="4980"/>
      <c r="DH13" s="4981"/>
      <c r="DI13" s="4982"/>
      <c r="DJ13" s="4983"/>
      <c r="DK13" s="4984"/>
      <c r="DL13" s="4985"/>
      <c r="DM13" s="4986"/>
      <c r="DN13" s="4987"/>
      <c r="DO13" s="4988"/>
      <c r="DP13" s="4989"/>
      <c r="DQ13" s="4990"/>
      <c r="DR13" s="4991"/>
      <c r="DS13" s="359"/>
      <c r="DT13" s="283"/>
      <c r="DV13" s="496"/>
      <c r="DW13" s="496" t="str">
        <f>IF(V13="","",V13)</f>
        <v>Добавить группу потребителей</v>
      </c>
      <c r="DX13" s="496"/>
      <c r="DY13" s="496"/>
    </row>
    <row customHeight="1" ht="14.25" hidden="1">
      <c r="A14" s="1283"/>
      <c r="B14" s="1283"/>
      <c r="C14" s="1283"/>
      <c r="D14" s="1283"/>
      <c r="E14" s="2150"/>
      <c r="F14" s="2150"/>
      <c r="G14" s="2150"/>
      <c r="H14" s="2149"/>
      <c r="I14" s="1283"/>
      <c r="J14" s="1283"/>
      <c r="K14" s="1283"/>
      <c r="L14" s="1283"/>
      <c r="M14" s="1327"/>
      <c r="N14" s="683"/>
      <c r="O14" s="683"/>
      <c r="P14" s="505"/>
      <c r="Q14" s="348"/>
      <c r="R14" s="367"/>
      <c r="S14" s="343"/>
      <c r="T14" s="348"/>
      <c r="U14" s="1403"/>
      <c r="V14" s="1404"/>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5"/>
      <c r="BD14" s="1405"/>
      <c r="BE14" s="1405"/>
      <c r="BF14" s="1405"/>
      <c r="BG14" s="1405"/>
      <c r="BH14" s="1405"/>
      <c r="BI14" s="1405"/>
      <c r="BJ14" s="1405"/>
      <c r="BK14" s="1405"/>
      <c r="BL14" s="1405"/>
      <c r="BM14" s="1405"/>
      <c r="BN14" s="1405"/>
      <c r="BO14" s="1405"/>
      <c r="BP14" s="1405"/>
      <c r="BQ14" s="1405"/>
      <c r="BR14" s="1405"/>
      <c r="BS14" s="1405"/>
      <c r="BT14" s="1405"/>
      <c r="BU14" s="1405"/>
      <c r="BV14" s="1405"/>
      <c r="BW14" s="1405"/>
      <c r="BX14" s="1405"/>
      <c r="BY14" s="1405"/>
      <c r="BZ14" s="1405"/>
      <c r="CA14" s="1405"/>
      <c r="CB14" s="1405"/>
      <c r="CC14" s="1405"/>
      <c r="CD14" s="1405"/>
      <c r="CE14" s="1405"/>
      <c r="CF14" s="1405"/>
      <c r="CG14" s="1405"/>
      <c r="CH14" s="1405"/>
      <c r="CI14" s="1405"/>
      <c r="CJ14" s="1405"/>
      <c r="CK14" s="1405"/>
      <c r="CL14" s="1405"/>
      <c r="CM14" s="1405"/>
      <c r="CN14" s="1405"/>
      <c r="CO14" s="1405"/>
      <c r="CP14" s="1405"/>
      <c r="CQ14" s="1405"/>
      <c r="CR14" s="1405"/>
      <c r="CS14" s="1405"/>
      <c r="CT14" s="1405"/>
      <c r="CU14" s="1405"/>
      <c r="CV14" s="1405"/>
      <c r="CW14" s="1405"/>
      <c r="CX14" s="1405"/>
      <c r="CY14" s="1405"/>
      <c r="CZ14" s="1405"/>
      <c r="DA14" s="1405"/>
      <c r="DB14" s="1405"/>
      <c r="DC14" s="1405"/>
      <c r="DD14" s="1405"/>
      <c r="DE14" s="1405"/>
      <c r="DF14" s="1405"/>
      <c r="DG14" s="1405"/>
      <c r="DH14" s="1405"/>
      <c r="DI14" s="1405"/>
      <c r="DJ14" s="1405"/>
      <c r="DK14" s="1405"/>
      <c r="DL14" s="1405"/>
      <c r="DM14" s="1405"/>
      <c r="DN14" s="1405"/>
      <c r="DO14" s="1405"/>
      <c r="DP14" s="1405"/>
      <c r="DQ14" s="1405"/>
      <c r="DR14" s="1405"/>
      <c r="DS14" s="1405"/>
      <c r="DT14" s="1406"/>
      <c r="DV14" s="496"/>
      <c r="DW14" s="496" t="str">
        <f>IF(V14="","",V14)</f>
        <v/>
      </c>
      <c r="DX14" s="496"/>
      <c r="DY14" s="496"/>
    </row>
    <row s="1667" customFormat="1" customHeight="1" ht="14.25" hidden="1">
      <c r="A15" s="1391"/>
      <c r="B15" s="1391"/>
      <c r="C15" s="1391"/>
      <c r="D15" s="1391"/>
      <c r="E15" s="2150"/>
      <c r="F15" s="2150"/>
      <c r="G15" s="2149"/>
      <c r="H15" s="1391"/>
      <c r="I15" s="1391"/>
      <c r="J15" s="1391"/>
      <c r="K15" s="1391"/>
      <c r="L15" s="1391"/>
      <c r="M15" s="1394"/>
      <c r="N15" s="1395"/>
      <c r="O15" s="1395"/>
      <c r="P15" s="339"/>
      <c r="Q15" s="1333"/>
      <c r="R15" s="1334"/>
      <c r="S15" s="1333"/>
      <c r="T15" s="1333"/>
      <c r="U15" s="1335"/>
      <c r="V15" s="1336" t="s">
        <v>160</v>
      </c>
      <c r="W15" s="1337"/>
      <c r="X15" s="1337"/>
      <c r="Y15" s="1337"/>
      <c r="Z15" s="1337"/>
      <c r="AA15" s="1337"/>
      <c r="AB15" s="1337"/>
      <c r="AC15" s="1337"/>
      <c r="AD15" s="1337"/>
      <c r="AE15" s="1337"/>
      <c r="AF15" s="1337"/>
      <c r="AG15" s="1337"/>
      <c r="AH15" s="1337"/>
      <c r="AI15" s="1337"/>
      <c r="AJ15" s="1337"/>
      <c r="AK15" s="1337"/>
      <c r="AL15" s="1337"/>
      <c r="AM15" s="1337"/>
      <c r="AN15" s="1337"/>
      <c r="AO15" s="1337"/>
      <c r="AP15" s="1337"/>
      <c r="AQ15" s="1337"/>
      <c r="AR15" s="1337"/>
      <c r="AS15" s="1337"/>
      <c r="AT15" s="1337"/>
      <c r="AU15" s="1337"/>
      <c r="AV15" s="1337"/>
      <c r="AW15" s="1337"/>
      <c r="AX15" s="1337"/>
      <c r="AY15" s="1337"/>
      <c r="AZ15" s="1337"/>
      <c r="BA15" s="1337"/>
      <c r="BB15" s="1337"/>
      <c r="BC15" s="1337"/>
      <c r="BD15" s="1337"/>
      <c r="BE15" s="1337"/>
      <c r="BF15" s="1337"/>
      <c r="BG15" s="1337"/>
      <c r="BH15" s="1337"/>
      <c r="BI15" s="1337"/>
      <c r="BJ15" s="1337"/>
      <c r="BK15" s="1337"/>
      <c r="BL15" s="1337"/>
      <c r="BM15" s="1337"/>
      <c r="BN15" s="1337"/>
      <c r="BO15" s="1337"/>
      <c r="BP15" s="1337"/>
      <c r="BQ15" s="1337"/>
      <c r="BR15" s="1337"/>
      <c r="BS15" s="1337"/>
      <c r="BT15" s="1337"/>
      <c r="BU15" s="1337"/>
      <c r="BV15" s="1337"/>
      <c r="BW15" s="1337"/>
      <c r="BX15" s="1337"/>
      <c r="BY15" s="1337"/>
      <c r="BZ15" s="1337"/>
      <c r="CA15" s="1337"/>
      <c r="CB15" s="1337"/>
      <c r="CC15" s="1337"/>
      <c r="CD15" s="1337"/>
      <c r="CE15" s="1337"/>
      <c r="CF15" s="1337"/>
      <c r="CG15" s="1337"/>
      <c r="CH15" s="1337"/>
      <c r="CI15" s="1337"/>
      <c r="CJ15" s="1337"/>
      <c r="CK15" s="1337"/>
      <c r="CL15" s="1337"/>
      <c r="CM15" s="1337"/>
      <c r="CN15" s="1337"/>
      <c r="CO15" s="1337"/>
      <c r="CP15" s="1337"/>
      <c r="CQ15" s="1337"/>
      <c r="CR15" s="1337"/>
      <c r="CS15" s="1337"/>
      <c r="CT15" s="1337"/>
      <c r="CU15" s="1337"/>
      <c r="CV15" s="1337"/>
      <c r="CW15" s="1337"/>
      <c r="CX15" s="1337"/>
      <c r="CY15" s="1337"/>
      <c r="CZ15" s="1337"/>
      <c r="DA15" s="1337"/>
      <c r="DB15" s="1337"/>
      <c r="DC15" s="1337"/>
      <c r="DD15" s="1337"/>
      <c r="DE15" s="1337"/>
      <c r="DF15" s="1337"/>
      <c r="DG15" s="1337"/>
      <c r="DH15" s="1337"/>
      <c r="DI15" s="1337"/>
      <c r="DJ15" s="1337"/>
      <c r="DK15" s="1337"/>
      <c r="DL15" s="1337"/>
      <c r="DM15" s="1337"/>
      <c r="DN15" s="1337"/>
      <c r="DO15" s="1337"/>
      <c r="DP15" s="1337"/>
      <c r="DQ15" s="1337"/>
      <c r="DR15" s="1337"/>
      <c r="DS15" s="1337"/>
      <c r="DT15" s="1337"/>
      <c r="DV15" s="783"/>
      <c r="DW15" s="783" t="str">
        <f>IF(V15="","",V15)</f>
        <v>Добавить источник для дифференциации</v>
      </c>
      <c r="DX15" s="783"/>
      <c r="DY15" s="783"/>
    </row>
    <row s="1667" customFormat="1" customHeight="1" ht="14.25" hidden="1">
      <c r="A16" s="1391"/>
      <c r="B16" s="1391"/>
      <c r="C16" s="1391"/>
      <c r="D16" s="1391"/>
      <c r="E16" s="2150"/>
      <c r="F16" s="2149"/>
      <c r="G16" s="1391"/>
      <c r="H16" s="1391"/>
      <c r="I16" s="1391"/>
      <c r="J16" s="1391"/>
      <c r="K16" s="1391"/>
      <c r="L16" s="1391"/>
      <c r="M16" s="1394"/>
      <c r="N16" s="1396"/>
      <c r="O16" s="1396"/>
      <c r="P16" s="339"/>
      <c r="Q16" s="1333"/>
      <c r="R16" s="1334"/>
      <c r="S16" s="1333"/>
      <c r="T16" s="1333"/>
      <c r="U16" s="1339"/>
      <c r="V16" s="1340" t="s">
        <v>161</v>
      </c>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D16" s="1341"/>
      <c r="BE16" s="1341"/>
      <c r="BF16" s="1341"/>
      <c r="BG16" s="1341"/>
      <c r="BH16" s="1341"/>
      <c r="BI16" s="1341"/>
      <c r="BJ16" s="1341"/>
      <c r="BK16" s="1341"/>
      <c r="BL16" s="1341"/>
      <c r="BM16" s="1341"/>
      <c r="BN16" s="1341"/>
      <c r="BO16" s="1341"/>
      <c r="BP16" s="1341"/>
      <c r="BQ16" s="1341"/>
      <c r="BR16" s="1341"/>
      <c r="BS16" s="1341"/>
      <c r="BT16" s="1341"/>
      <c r="BU16" s="1341"/>
      <c r="BV16" s="1341"/>
      <c r="BW16" s="1341"/>
      <c r="BX16" s="1341"/>
      <c r="BY16" s="1341"/>
      <c r="BZ16" s="1341"/>
      <c r="CA16" s="1341"/>
      <c r="CB16" s="1341"/>
      <c r="CC16" s="1341"/>
      <c r="CD16" s="1341"/>
      <c r="CE16" s="1341"/>
      <c r="CF16" s="1341"/>
      <c r="CG16" s="1341"/>
      <c r="CH16" s="1341"/>
      <c r="CI16" s="1341"/>
      <c r="CJ16" s="1341"/>
      <c r="CK16" s="1341"/>
      <c r="CL16" s="1341"/>
      <c r="CM16" s="1341"/>
      <c r="CN16" s="1341"/>
      <c r="CO16" s="1341"/>
      <c r="CP16" s="1341"/>
      <c r="CQ16" s="1341"/>
      <c r="CR16" s="1341"/>
      <c r="CS16" s="1341"/>
      <c r="CT16" s="1341"/>
      <c r="CU16" s="1341"/>
      <c r="CV16" s="1341"/>
      <c r="CW16" s="1341"/>
      <c r="CX16" s="1341"/>
      <c r="CY16" s="1341"/>
      <c r="CZ16" s="1341"/>
      <c r="DA16" s="1341"/>
      <c r="DB16" s="1341"/>
      <c r="DC16" s="1341"/>
      <c r="DD16" s="1341"/>
      <c r="DE16" s="1341"/>
      <c r="DF16" s="1341"/>
      <c r="DG16" s="1341"/>
      <c r="DH16" s="1341"/>
      <c r="DI16" s="1341"/>
      <c r="DJ16" s="1341"/>
      <c r="DK16" s="1341"/>
      <c r="DL16" s="1341"/>
      <c r="DM16" s="1341"/>
      <c r="DN16" s="1341"/>
      <c r="DO16" s="1341"/>
      <c r="DP16" s="1341"/>
      <c r="DQ16" s="1341"/>
      <c r="DR16" s="1341"/>
      <c r="DS16" s="1341"/>
      <c r="DT16" s="1341"/>
      <c r="DV16" s="783"/>
      <c r="DW16" s="783" t="str">
        <f>IF(V16="","",V16)</f>
        <v>Добавить централизованную систему для дифференциации</v>
      </c>
      <c r="DX16" s="783"/>
      <c r="DY16" s="783"/>
    </row>
    <row s="1667" customFormat="1" customHeight="1" ht="14.25" hidden="1">
      <c r="A17" s="1391"/>
      <c r="B17" s="1391"/>
      <c r="C17" s="1391"/>
      <c r="D17" s="1391"/>
      <c r="E17" s="2149"/>
      <c r="F17" s="1391"/>
      <c r="G17" s="1391"/>
      <c r="H17" s="1391"/>
      <c r="I17" s="1391"/>
      <c r="J17" s="1391"/>
      <c r="K17" s="1391"/>
      <c r="L17" s="1391"/>
      <c r="M17" s="1394"/>
      <c r="N17" s="1396"/>
      <c r="O17" s="1396"/>
      <c r="P17" s="339"/>
      <c r="Q17" s="1333"/>
      <c r="R17" s="1334"/>
      <c r="S17" s="1333"/>
      <c r="T17" s="1333"/>
      <c r="U17" s="1339"/>
      <c r="V17" s="1342" t="s">
        <v>162</v>
      </c>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D17" s="1341"/>
      <c r="BE17" s="1341"/>
      <c r="BF17" s="1341"/>
      <c r="BG17" s="1341"/>
      <c r="BH17" s="1341"/>
      <c r="BI17" s="1341"/>
      <c r="BJ17" s="1341"/>
      <c r="BK17" s="1341"/>
      <c r="BL17" s="1341"/>
      <c r="BM17" s="1341"/>
      <c r="BN17" s="1341"/>
      <c r="BO17" s="1341"/>
      <c r="BP17" s="1341"/>
      <c r="BQ17" s="1341"/>
      <c r="BR17" s="1341"/>
      <c r="BS17" s="1341"/>
      <c r="BT17" s="1341"/>
      <c r="BU17" s="1341"/>
      <c r="BV17" s="1341"/>
      <c r="BW17" s="1341"/>
      <c r="BX17" s="1341"/>
      <c r="BY17" s="1341"/>
      <c r="BZ17" s="1341"/>
      <c r="CA17" s="1341"/>
      <c r="CB17" s="1341"/>
      <c r="CC17" s="1341"/>
      <c r="CD17" s="1341"/>
      <c r="CE17" s="1341"/>
      <c r="CF17" s="1341"/>
      <c r="CG17" s="1341"/>
      <c r="CH17" s="1341"/>
      <c r="CI17" s="1341"/>
      <c r="CJ17" s="1341"/>
      <c r="CK17" s="1341"/>
      <c r="CL17" s="1341"/>
      <c r="CM17" s="1341"/>
      <c r="CN17" s="1341"/>
      <c r="CO17" s="1341"/>
      <c r="CP17" s="1341"/>
      <c r="CQ17" s="1341"/>
      <c r="CR17" s="1341"/>
      <c r="CS17" s="1341"/>
      <c r="CT17" s="1341"/>
      <c r="CU17" s="1341"/>
      <c r="CV17" s="1341"/>
      <c r="CW17" s="1341"/>
      <c r="CX17" s="1341"/>
      <c r="CY17" s="1341"/>
      <c r="CZ17" s="1341"/>
      <c r="DA17" s="1341"/>
      <c r="DB17" s="1341"/>
      <c r="DC17" s="1341"/>
      <c r="DD17" s="1341"/>
      <c r="DE17" s="1341"/>
      <c r="DF17" s="1341"/>
      <c r="DG17" s="1341"/>
      <c r="DH17" s="1341"/>
      <c r="DI17" s="1341"/>
      <c r="DJ17" s="1341"/>
      <c r="DK17" s="1341"/>
      <c r="DL17" s="1341"/>
      <c r="DM17" s="1341"/>
      <c r="DN17" s="1341"/>
      <c r="DO17" s="1341"/>
      <c r="DP17" s="1341"/>
      <c r="DQ17" s="1341"/>
      <c r="DR17" s="1341"/>
      <c r="DS17" s="1341"/>
      <c r="DT17" s="1341"/>
      <c r="DV17" s="783"/>
      <c r="DW17" s="783" t="str">
        <f>IF(V17="","",V17)</f>
        <v>Добавить территорию для дифференциации</v>
      </c>
      <c r="DX17" s="783"/>
      <c r="DY17" s="783"/>
    </row>
    <row customHeight="1" ht="14.25" hidden="1">
      <c r="AF18" s="315"/>
      <c r="AO18" s="315"/>
      <c r="AP18" s="1660"/>
      <c r="AQ18" s="1660"/>
      <c r="AR18" s="1660"/>
      <c r="AS18" s="1660"/>
      <c r="AT18" s="1660"/>
      <c r="AU18" s="1660"/>
      <c r="AV18" s="1660"/>
      <c r="AW18" s="1660"/>
      <c r="AX18" s="1660"/>
      <c r="AY18" s="1660"/>
      <c r="AZ18" s="1660"/>
      <c r="BA18" s="1660"/>
      <c r="BB18" s="1660"/>
      <c r="BC18" s="1660"/>
      <c r="BD18" s="1660"/>
      <c r="BE18" s="1660"/>
      <c r="BF18" s="1660"/>
      <c r="BG18" s="1660"/>
      <c r="BH18" s="1660"/>
      <c r="BI18" s="1660"/>
      <c r="BJ18" s="1660"/>
      <c r="BK18" s="1660"/>
      <c r="BL18" s="1660"/>
      <c r="BM18" s="1660"/>
      <c r="BN18" s="1660"/>
      <c r="BO18" s="1660"/>
      <c r="BP18" s="1660"/>
      <c r="BQ18" s="1660"/>
      <c r="BR18" s="1660"/>
      <c r="BS18" s="1660"/>
      <c r="BT18" s="1660"/>
      <c r="BU18" s="1660"/>
      <c r="BV18" s="1660"/>
      <c r="BW18" s="1660"/>
      <c r="BX18" s="1660"/>
      <c r="BY18" s="1660"/>
      <c r="BZ18" s="1660"/>
      <c r="CA18" s="1660"/>
      <c r="CB18" s="1660"/>
      <c r="CC18" s="1660"/>
      <c r="CD18" s="1660"/>
      <c r="CE18" s="1660"/>
      <c r="CF18" s="1660"/>
      <c r="CG18" s="1660"/>
      <c r="CH18" s="1660"/>
      <c r="CI18" s="1660"/>
      <c r="CJ18" s="1660"/>
      <c r="CK18" s="1660"/>
      <c r="CL18" s="1660"/>
      <c r="CM18" s="1660"/>
      <c r="CN18" s="1660"/>
      <c r="CO18" s="1660"/>
      <c r="CP18" s="1660"/>
      <c r="CQ18" s="1660"/>
      <c r="CR18" s="1660"/>
      <c r="CS18" s="1660"/>
      <c r="CT18" s="1660"/>
      <c r="CU18" s="1660"/>
      <c r="CV18" s="1660"/>
      <c r="CW18" s="1660"/>
      <c r="CX18" s="1660"/>
      <c r="CY18" s="1660"/>
      <c r="CZ18" s="1660"/>
      <c r="DA18" s="1660"/>
      <c r="DB18" s="1660"/>
      <c r="DC18" s="1660"/>
      <c r="DD18" s="1660"/>
      <c r="DE18" s="1660"/>
      <c r="DF18" s="1660"/>
      <c r="DG18" s="1660"/>
      <c r="DH18" s="1660"/>
      <c r="DI18" s="1660"/>
      <c r="DJ18" s="1660"/>
      <c r="DK18" s="1660"/>
      <c r="DL18" s="1660"/>
      <c r="DM18" s="1660"/>
      <c r="DN18" s="1660"/>
      <c r="DO18" s="1660"/>
      <c r="DP18" s="1660"/>
      <c r="DQ18" s="1660"/>
      <c r="DR18" s="1660"/>
    </row>
    <row customHeight="1" ht="14.25" hidden="1">
      <c r="AG19" s="1377"/>
      <c r="AH19" s="1377"/>
      <c r="AI19" s="1377"/>
      <c r="AJ19" s="1377"/>
      <c r="AK19" s="1378"/>
      <c r="AL19" s="2087"/>
      <c r="AM19" s="2086" t="s">
        <v>61</v>
      </c>
      <c r="AN19" s="2087"/>
      <c r="AO19" s="2086" t="s">
        <v>61</v>
      </c>
      <c r="AP19" s="1660"/>
      <c r="AQ19" s="1660"/>
      <c r="AR19" s="1660"/>
      <c r="AS19" s="1660"/>
      <c r="AT19" s="1660"/>
      <c r="AU19" s="1660"/>
      <c r="AV19" s="1660"/>
      <c r="AW19" s="1660"/>
      <c r="AX19" s="1660"/>
      <c r="AY19" s="1660"/>
      <c r="AZ19" s="1660"/>
      <c r="BA19" s="1660"/>
      <c r="BB19" s="1660"/>
      <c r="BC19" s="1660"/>
      <c r="BD19" s="1660"/>
      <c r="BE19" s="1660"/>
      <c r="BF19" s="1660"/>
      <c r="BG19" s="1660"/>
      <c r="BH19" s="1660"/>
      <c r="BI19" s="1660"/>
      <c r="BJ19" s="1660"/>
      <c r="BK19" s="1660"/>
      <c r="BL19" s="1660"/>
      <c r="BM19" s="1660"/>
      <c r="BN19" s="1660"/>
      <c r="BO19" s="1660"/>
      <c r="BP19" s="1660"/>
      <c r="BQ19" s="1660"/>
      <c r="BR19" s="1660"/>
      <c r="BS19" s="1660"/>
      <c r="BT19" s="1660"/>
      <c r="BU19" s="1660"/>
      <c r="BV19" s="1660"/>
      <c r="BW19" s="1660"/>
      <c r="BX19" s="1660"/>
      <c r="BY19" s="1660"/>
      <c r="BZ19" s="1660"/>
      <c r="CA19" s="1660"/>
      <c r="CB19" s="1660"/>
      <c r="CC19" s="1660"/>
      <c r="CD19" s="1660"/>
      <c r="CE19" s="1660"/>
      <c r="CF19" s="1660"/>
      <c r="CG19" s="1660"/>
      <c r="CH19" s="1660"/>
      <c r="CI19" s="1660"/>
      <c r="CJ19" s="1660"/>
      <c r="CK19" s="1660"/>
      <c r="CL19" s="1660"/>
      <c r="CM19" s="1660"/>
      <c r="CN19" s="1660"/>
      <c r="CO19" s="1660"/>
      <c r="CP19" s="1660"/>
      <c r="CQ19" s="1660"/>
      <c r="CR19" s="1660"/>
      <c r="CS19" s="1660"/>
      <c r="CT19" s="1660"/>
      <c r="CU19" s="1660"/>
      <c r="CV19" s="1660"/>
      <c r="CW19" s="1660"/>
      <c r="CX19" s="1660"/>
      <c r="CY19" s="1660"/>
      <c r="CZ19" s="1660"/>
      <c r="DA19" s="1660"/>
      <c r="DB19" s="1660"/>
      <c r="DC19" s="1660"/>
      <c r="DD19" s="1660"/>
      <c r="DE19" s="1660"/>
      <c r="DF19" s="1660"/>
      <c r="DG19" s="1660"/>
      <c r="DH19" s="1660"/>
      <c r="DI19" s="1660"/>
      <c r="DJ19" s="1660"/>
      <c r="DK19" s="1660"/>
      <c r="DL19" s="1660"/>
      <c r="DM19" s="1660"/>
      <c r="DN19" s="1660"/>
      <c r="DO19" s="1660"/>
      <c r="DP19" s="1660"/>
      <c r="DQ19" s="1660"/>
      <c r="DR19" s="1660"/>
    </row>
    <row customHeight="1" ht="14.25" hidden="1">
      <c r="AG20" s="1377"/>
      <c r="AH20" s="1377"/>
      <c r="AI20" s="1377"/>
      <c r="AJ20" s="1377"/>
      <c r="AK20" s="1378"/>
      <c r="AL20" s="2087"/>
      <c r="AM20" s="2086"/>
      <c r="AN20" s="2087"/>
      <c r="AO20" s="2086"/>
      <c r="AP20" s="1660"/>
      <c r="AQ20" s="1660"/>
      <c r="AR20" s="1660"/>
      <c r="AS20" s="1660"/>
      <c r="AT20" s="1660"/>
      <c r="AU20" s="1660"/>
      <c r="AV20" s="1660"/>
      <c r="AW20" s="1660"/>
      <c r="AX20" s="1660"/>
      <c r="AY20" s="1660"/>
      <c r="AZ20" s="1660"/>
      <c r="BA20" s="1660"/>
      <c r="BB20" s="1660"/>
      <c r="BC20" s="1660"/>
      <c r="BD20" s="1660"/>
      <c r="BE20" s="1660"/>
      <c r="BF20" s="1660"/>
      <c r="BG20" s="1660"/>
      <c r="BH20" s="1660"/>
      <c r="BI20" s="1660"/>
      <c r="BJ20" s="1660"/>
      <c r="BK20" s="1660"/>
      <c r="BL20" s="1660"/>
      <c r="BM20" s="1660"/>
      <c r="BN20" s="1660"/>
      <c r="BO20" s="1660"/>
      <c r="BP20" s="1660"/>
      <c r="BQ20" s="1660"/>
      <c r="BR20" s="1660"/>
      <c r="BS20" s="1660"/>
      <c r="BT20" s="1660"/>
      <c r="BU20" s="1660"/>
      <c r="BV20" s="1660"/>
      <c r="BW20" s="1660"/>
      <c r="BX20" s="1660"/>
      <c r="BY20" s="1660"/>
      <c r="BZ20" s="1660"/>
      <c r="CA20" s="1660"/>
      <c r="CB20" s="1660"/>
      <c r="CC20" s="1660"/>
      <c r="CD20" s="1660"/>
      <c r="CE20" s="1660"/>
      <c r="CF20" s="1660"/>
      <c r="CG20" s="1660"/>
      <c r="CH20" s="1660"/>
      <c r="CI20" s="1660"/>
      <c r="CJ20" s="1660"/>
      <c r="CK20" s="1660"/>
      <c r="CL20" s="1660"/>
      <c r="CM20" s="1660"/>
      <c r="CN20" s="1660"/>
      <c r="CO20" s="1660"/>
      <c r="CP20" s="1660"/>
      <c r="CQ20" s="1660"/>
      <c r="CR20" s="1660"/>
      <c r="CS20" s="1660"/>
      <c r="CT20" s="1660"/>
      <c r="CU20" s="1660"/>
      <c r="CV20" s="1660"/>
      <c r="CW20" s="1660"/>
      <c r="CX20" s="1660"/>
      <c r="CY20" s="1660"/>
      <c r="CZ20" s="1660"/>
      <c r="DA20" s="1660"/>
      <c r="DB20" s="1660"/>
      <c r="DC20" s="1660"/>
      <c r="DD20" s="1660"/>
      <c r="DE20" s="1660"/>
      <c r="DF20" s="1660"/>
      <c r="DG20" s="1660"/>
      <c r="DH20" s="1660"/>
      <c r="DI20" s="1660"/>
      <c r="DJ20" s="1660"/>
      <c r="DK20" s="1660"/>
      <c r="DL20" s="1660"/>
      <c r="DM20" s="1660"/>
      <c r="DN20" s="1660"/>
      <c r="DO20" s="1660"/>
      <c r="DP20" s="1660"/>
      <c r="DQ20" s="1660"/>
      <c r="DR20" s="1660"/>
    </row>
    <row customHeight="1" ht="14.25" hidden="1">
      <c r="AG21" s="1377"/>
      <c r="AH21" s="1377"/>
      <c r="AI21" s="1377"/>
      <c r="AJ21" s="1377"/>
      <c r="AK21" s="1378"/>
      <c r="AL21" s="2087"/>
      <c r="AM21" s="2086"/>
      <c r="AN21" s="2087"/>
      <c r="AO21" s="2086"/>
      <c r="AP21" s="1660"/>
      <c r="AQ21" s="1660"/>
      <c r="AR21" s="1660"/>
      <c r="AS21" s="1660"/>
      <c r="AT21" s="1660"/>
      <c r="AU21" s="1660"/>
      <c r="AV21" s="1660"/>
      <c r="AW21" s="1660"/>
      <c r="AX21" s="1660"/>
      <c r="AY21" s="1660"/>
      <c r="AZ21" s="1660"/>
      <c r="BA21" s="1660"/>
      <c r="BB21" s="1660"/>
      <c r="BC21" s="1660"/>
      <c r="BD21" s="1660"/>
      <c r="BE21" s="1660"/>
      <c r="BF21" s="1660"/>
      <c r="BG21" s="1660"/>
      <c r="BH21" s="1660"/>
      <c r="BI21" s="1660"/>
      <c r="BJ21" s="1660"/>
      <c r="BK21" s="1660"/>
      <c r="BL21" s="1660"/>
      <c r="BM21" s="1660"/>
      <c r="BN21" s="1660"/>
      <c r="BO21" s="1660"/>
      <c r="BP21" s="1660"/>
      <c r="BQ21" s="1660"/>
      <c r="BR21" s="1660"/>
      <c r="BS21" s="1660"/>
      <c r="BT21" s="1660"/>
      <c r="BU21" s="1660"/>
      <c r="BV21" s="1660"/>
      <c r="BW21" s="1660"/>
      <c r="BX21" s="1660"/>
      <c r="BY21" s="1660"/>
      <c r="BZ21" s="1660"/>
      <c r="CA21" s="1660"/>
      <c r="CB21" s="1660"/>
      <c r="CC21" s="1660"/>
      <c r="CD21" s="1660"/>
      <c r="CE21" s="1660"/>
      <c r="CF21" s="1660"/>
      <c r="CG21" s="1660"/>
      <c r="CH21" s="1660"/>
      <c r="CI21" s="1660"/>
      <c r="CJ21" s="1660"/>
      <c r="CK21" s="1660"/>
      <c r="CL21" s="1660"/>
      <c r="CM21" s="1660"/>
      <c r="CN21" s="1660"/>
      <c r="CO21" s="1660"/>
      <c r="CP21" s="1660"/>
      <c r="CQ21" s="1660"/>
      <c r="CR21" s="1660"/>
      <c r="CS21" s="1660"/>
      <c r="CT21" s="1660"/>
      <c r="CU21" s="1660"/>
      <c r="CV21" s="1660"/>
      <c r="CW21" s="1660"/>
      <c r="CX21" s="1660"/>
      <c r="CY21" s="1660"/>
      <c r="CZ21" s="1660"/>
      <c r="DA21" s="1660"/>
      <c r="DB21" s="1660"/>
      <c r="DC21" s="1660"/>
      <c r="DD21" s="1660"/>
      <c r="DE21" s="1660"/>
      <c r="DF21" s="1660"/>
      <c r="DG21" s="1660"/>
      <c r="DH21" s="1660"/>
      <c r="DI21" s="1660"/>
      <c r="DJ21" s="1660"/>
      <c r="DK21" s="1660"/>
      <c r="DL21" s="1660"/>
      <c r="DM21" s="1660"/>
      <c r="DN21" s="1660"/>
      <c r="DO21" s="1660"/>
      <c r="DP21" s="1660"/>
      <c r="DQ21" s="1660"/>
      <c r="DR21" s="1660"/>
    </row>
    <row customHeight="1" ht="14.25" hidden="1">
      <c r="AG22" s="1377"/>
      <c r="AH22" s="1377"/>
      <c r="AI22" s="1377"/>
      <c r="AJ22" s="1377"/>
      <c r="AK22" s="316" t="str">
        <f>AL19&amp;"-"&amp;AN19</f>
        <v>-</v>
      </c>
      <c r="AL22" s="2086"/>
      <c r="AM22" s="2086"/>
      <c r="AN22" s="2086"/>
      <c r="AO22" s="2086"/>
      <c r="AP22" s="1660"/>
      <c r="AQ22" s="1660"/>
      <c r="AR22" s="1660"/>
      <c r="AS22" s="1660"/>
      <c r="AT22" s="1660"/>
      <c r="AU22" s="1660"/>
      <c r="AV22" s="1660"/>
      <c r="AW22" s="1660"/>
      <c r="AX22" s="1660"/>
      <c r="AY22" s="1660"/>
      <c r="AZ22" s="1660"/>
      <c r="BA22" s="1660"/>
      <c r="BB22" s="1660"/>
      <c r="BC22" s="1660"/>
      <c r="BD22" s="1660"/>
      <c r="BE22" s="1660"/>
      <c r="BF22" s="1660"/>
      <c r="BG22" s="1660"/>
      <c r="BH22" s="1660"/>
      <c r="BI22" s="1660"/>
      <c r="BJ22" s="1660"/>
      <c r="BK22" s="1660"/>
      <c r="BL22" s="1660"/>
      <c r="BM22" s="1660"/>
      <c r="BN22" s="1660"/>
      <c r="BO22" s="1660"/>
      <c r="BP22" s="1660"/>
      <c r="BQ22" s="1660"/>
      <c r="BR22" s="1660"/>
      <c r="BS22" s="1660"/>
      <c r="BT22" s="1660"/>
      <c r="BU22" s="1660"/>
      <c r="BV22" s="1660"/>
      <c r="BW22" s="1660"/>
      <c r="BX22" s="1660"/>
      <c r="BY22" s="1660"/>
      <c r="BZ22" s="1660"/>
      <c r="CA22" s="1660"/>
      <c r="CB22" s="1660"/>
      <c r="CC22" s="1660"/>
      <c r="CD22" s="1660"/>
      <c r="CE22" s="1660"/>
      <c r="CF22" s="1660"/>
      <c r="CG22" s="1660"/>
      <c r="CH22" s="1660"/>
      <c r="CI22" s="1660"/>
      <c r="CJ22" s="1660"/>
      <c r="CK22" s="1660"/>
      <c r="CL22" s="1660"/>
      <c r="CM22" s="1660"/>
      <c r="CN22" s="1660"/>
      <c r="CO22" s="1660"/>
      <c r="CP22" s="1660"/>
      <c r="CQ22" s="1660"/>
      <c r="CR22" s="1660"/>
      <c r="CS22" s="1660"/>
      <c r="CT22" s="1660"/>
      <c r="CU22" s="1660"/>
      <c r="CV22" s="1660"/>
      <c r="CW22" s="1660"/>
      <c r="CX22" s="1660"/>
      <c r="CY22" s="1660"/>
      <c r="CZ22" s="1660"/>
      <c r="DA22" s="1660"/>
      <c r="DB22" s="1660"/>
      <c r="DC22" s="1660"/>
      <c r="DD22" s="1660"/>
      <c r="DE22" s="1660"/>
      <c r="DF22" s="1660"/>
      <c r="DG22" s="1660"/>
      <c r="DH22" s="1660"/>
      <c r="DI22" s="1660"/>
      <c r="DJ22" s="1660"/>
      <c r="DK22" s="1660"/>
      <c r="DL22" s="1660"/>
      <c r="DM22" s="1660"/>
      <c r="DN22" s="1660"/>
      <c r="DO22" s="1660"/>
      <c r="DP22" s="1660"/>
      <c r="DQ22" s="1660"/>
      <c r="DR22" s="1660"/>
    </row>
    <row customHeight="1" ht="14.25" hidden="1">
      <c r="AO23" s="315"/>
      <c r="AP23" s="1660"/>
      <c r="AQ23" s="1660"/>
      <c r="AR23" s="1660"/>
      <c r="AS23" s="1660"/>
      <c r="AT23" s="1660"/>
      <c r="AU23" s="1660"/>
      <c r="AV23" s="1660"/>
      <c r="AW23" s="1660"/>
      <c r="AX23" s="1660"/>
      <c r="AY23" s="1660"/>
      <c r="AZ23" s="1660"/>
      <c r="BA23" s="1660"/>
      <c r="BB23" s="1660"/>
      <c r="BC23" s="1660"/>
      <c r="BD23" s="1660"/>
      <c r="BE23" s="1660"/>
      <c r="BF23" s="1660"/>
      <c r="BG23" s="1660"/>
      <c r="BH23" s="1660"/>
      <c r="BI23" s="1660"/>
      <c r="BJ23" s="1660"/>
      <c r="BK23" s="1660"/>
      <c r="BL23" s="1660"/>
      <c r="BM23" s="1660"/>
      <c r="BN23" s="1660"/>
      <c r="BO23" s="1660"/>
      <c r="BP23" s="1660"/>
      <c r="BQ23" s="1660"/>
      <c r="BR23" s="1660"/>
      <c r="BS23" s="1660"/>
      <c r="BT23" s="1660"/>
      <c r="BU23" s="1660"/>
      <c r="BV23" s="1660"/>
      <c r="BW23" s="1660"/>
      <c r="BX23" s="1660"/>
      <c r="BY23" s="1660"/>
      <c r="BZ23" s="1660"/>
      <c r="CA23" s="1660"/>
      <c r="CB23" s="1660"/>
      <c r="CC23" s="1660"/>
      <c r="CD23" s="1660"/>
      <c r="CE23" s="1660"/>
      <c r="CF23" s="1660"/>
      <c r="CG23" s="1660"/>
      <c r="CH23" s="1660"/>
      <c r="CI23" s="1660"/>
      <c r="CJ23" s="1660"/>
      <c r="CK23" s="1660"/>
      <c r="CL23" s="1660"/>
      <c r="CM23" s="1660"/>
      <c r="CN23" s="1660"/>
      <c r="CO23" s="1660"/>
      <c r="CP23" s="1660"/>
      <c r="CQ23" s="1660"/>
      <c r="CR23" s="1660"/>
      <c r="CS23" s="1660"/>
      <c r="CT23" s="1660"/>
      <c r="CU23" s="1660"/>
      <c r="CV23" s="1660"/>
      <c r="CW23" s="1660"/>
      <c r="CX23" s="1660"/>
      <c r="CY23" s="1660"/>
      <c r="CZ23" s="1660"/>
      <c r="DA23" s="1660"/>
      <c r="DB23" s="1660"/>
      <c r="DC23" s="1660"/>
      <c r="DD23" s="1660"/>
      <c r="DE23" s="1660"/>
      <c r="DF23" s="1660"/>
      <c r="DG23" s="1660"/>
      <c r="DH23" s="1660"/>
      <c r="DI23" s="1660"/>
      <c r="DJ23" s="1660"/>
      <c r="DK23" s="1660"/>
      <c r="DL23" s="1660"/>
      <c r="DM23" s="1660"/>
      <c r="DN23" s="1660"/>
      <c r="DO23" s="1660"/>
      <c r="DP23" s="1660"/>
      <c r="DQ23" s="1660"/>
      <c r="DR23" s="1660"/>
    </row>
    <row s="1383" customFormat="1" customHeight="1" ht="22.5" hidden="1">
      <c r="A24" s="1150"/>
      <c r="B24" s="1150"/>
      <c r="C24" s="1150"/>
      <c r="D24" s="1150"/>
      <c r="E24" s="1150"/>
      <c r="F24" s="1150"/>
      <c r="G24" s="1150"/>
      <c r="H24" s="1150"/>
      <c r="I24" s="1150"/>
      <c r="J24" s="1150"/>
      <c r="K24" s="1150"/>
      <c r="L24" s="1150"/>
      <c r="M24" s="1344"/>
      <c r="N24" s="1345"/>
      <c r="O24" s="1345"/>
      <c r="P24" s="1362" t="s">
        <v>428</v>
      </c>
      <c r="Q24" s="1379"/>
      <c r="R24" s="1388"/>
      <c r="S24" s="1388"/>
      <c r="T24" s="1388"/>
      <c r="U24" s="724"/>
      <c r="AC24" s="1384"/>
      <c r="AE24" s="1384"/>
      <c r="AF24" s="1383"/>
      <c r="AL24" s="1384"/>
      <c r="AN24" s="1384"/>
      <c r="AO24" s="1383"/>
      <c r="AP24" s="1383"/>
      <c r="AQ24" s="1383"/>
      <c r="AR24" s="1383"/>
      <c r="AS24" s="1383"/>
      <c r="AT24" s="1383"/>
      <c r="AU24" s="1384"/>
      <c r="AV24" s="1383"/>
      <c r="AW24" s="1384"/>
      <c r="AX24" s="1383"/>
      <c r="AY24" s="1383"/>
      <c r="AZ24" s="1383"/>
      <c r="BA24" s="1383"/>
      <c r="BB24" s="1383"/>
      <c r="BC24" s="1383"/>
      <c r="BD24" s="1384"/>
      <c r="BE24" s="1383"/>
      <c r="BF24" s="1384"/>
      <c r="BG24" s="1383"/>
      <c r="BH24" s="1383"/>
      <c r="BI24" s="1383"/>
      <c r="BJ24" s="1383"/>
      <c r="BK24" s="1383"/>
      <c r="BL24" s="1383"/>
      <c r="BM24" s="1384"/>
      <c r="BN24" s="1383"/>
      <c r="BO24" s="1384"/>
      <c r="BP24" s="1383"/>
      <c r="BQ24" s="1383"/>
      <c r="BR24" s="1383"/>
      <c r="BS24" s="1383"/>
      <c r="BT24" s="1383"/>
      <c r="BU24" s="1383"/>
      <c r="BV24" s="1384"/>
      <c r="BW24" s="1383"/>
      <c r="BX24" s="1384"/>
      <c r="BY24" s="1383"/>
      <c r="BZ24" s="1383"/>
      <c r="CA24" s="1383"/>
      <c r="CB24" s="1383"/>
      <c r="CC24" s="1383"/>
      <c r="CD24" s="1383"/>
      <c r="CE24" s="1384"/>
      <c r="CF24" s="1383"/>
      <c r="CG24" s="1384"/>
      <c r="CH24" s="1383"/>
      <c r="CI24" s="1383"/>
      <c r="CJ24" s="1383"/>
      <c r="CK24" s="1383"/>
      <c r="CL24" s="1383"/>
      <c r="CM24" s="1383"/>
      <c r="CN24" s="1384"/>
      <c r="CO24" s="1383"/>
      <c r="CP24" s="1384"/>
      <c r="CQ24" s="1383"/>
      <c r="CR24" s="1383"/>
      <c r="CS24" s="1383"/>
      <c r="CT24" s="1383"/>
      <c r="CU24" s="1383"/>
      <c r="CV24" s="1383"/>
      <c r="CW24" s="1384"/>
      <c r="CX24" s="1383"/>
      <c r="CY24" s="1384"/>
      <c r="CZ24" s="1383"/>
      <c r="DA24" s="1383"/>
      <c r="DB24" s="1383"/>
      <c r="DC24" s="1383"/>
      <c r="DD24" s="1383"/>
      <c r="DE24" s="1383"/>
      <c r="DF24" s="1384"/>
      <c r="DG24" s="1383"/>
      <c r="DH24" s="1384"/>
      <c r="DI24" s="1383"/>
      <c r="DJ24" s="1383"/>
      <c r="DK24" s="1383"/>
      <c r="DL24" s="1383"/>
      <c r="DM24" s="1383"/>
      <c r="DN24" s="1383"/>
      <c r="DO24" s="1384"/>
      <c r="DP24" s="1383"/>
      <c r="DQ24" s="1384"/>
      <c r="DR24" s="1383"/>
      <c r="DU24" s="507"/>
      <c r="DV24" s="507"/>
      <c r="DW24" s="507"/>
      <c r="DX24" s="507"/>
      <c r="DY24" s="507"/>
    </row>
    <row s="1383" customFormat="1" customHeight="1" ht="14.25" hidden="1">
      <c r="A25" s="1150"/>
      <c r="B25" s="1150"/>
      <c r="C25" s="1150"/>
      <c r="D25" s="1150"/>
      <c r="E25" s="1150"/>
      <c r="F25" s="1150"/>
      <c r="G25" s="1150"/>
      <c r="H25" s="1150"/>
      <c r="I25" s="1150"/>
      <c r="J25" s="1150"/>
      <c r="K25" s="1150"/>
      <c r="L25" s="1150"/>
      <c r="M25" s="1344"/>
      <c r="N25" s="1345"/>
      <c r="O25" s="1345"/>
      <c r="P25" s="1345"/>
      <c r="Q25" s="1379"/>
      <c r="R25" s="1388"/>
      <c r="S25" s="1388"/>
      <c r="T25" s="1388"/>
      <c r="U25" s="724"/>
      <c r="AF25" s="1383"/>
      <c r="AO25" s="1383"/>
      <c r="AP25" s="1383"/>
      <c r="AQ25" s="1383"/>
      <c r="AR25" s="1383"/>
      <c r="AS25" s="1383"/>
      <c r="AT25" s="1383"/>
      <c r="AU25" s="1383"/>
      <c r="AV25" s="1383"/>
      <c r="AW25" s="1383"/>
      <c r="AX25" s="1383"/>
      <c r="AY25" s="1383"/>
      <c r="AZ25" s="1383"/>
      <c r="BA25" s="1383"/>
      <c r="BB25" s="1383"/>
      <c r="BC25" s="1383"/>
      <c r="BD25" s="1383"/>
      <c r="BE25" s="1383"/>
      <c r="BF25" s="1383"/>
      <c r="BG25" s="1383"/>
      <c r="BH25" s="1383"/>
      <c r="BI25" s="1383"/>
      <c r="BJ25" s="1383"/>
      <c r="BK25" s="1383"/>
      <c r="BL25" s="1383"/>
      <c r="BM25" s="1383"/>
      <c r="BN25" s="1383"/>
      <c r="BO25" s="1383"/>
      <c r="BP25" s="1383"/>
      <c r="BQ25" s="1383"/>
      <c r="BR25" s="1383"/>
      <c r="BS25" s="1383"/>
      <c r="BT25" s="1383"/>
      <c r="BU25" s="1383"/>
      <c r="BV25" s="1383"/>
      <c r="BW25" s="1383"/>
      <c r="BX25" s="1383"/>
      <c r="BY25" s="1383"/>
      <c r="BZ25" s="1383"/>
      <c r="CA25" s="1383"/>
      <c r="CB25" s="1383"/>
      <c r="CC25" s="1383"/>
      <c r="CD25" s="1383"/>
      <c r="CE25" s="1383"/>
      <c r="CF25" s="1383"/>
      <c r="CG25" s="1383"/>
      <c r="CH25" s="1383"/>
      <c r="CI25" s="1383"/>
      <c r="CJ25" s="1383"/>
      <c r="CK25" s="1383"/>
      <c r="CL25" s="1383"/>
      <c r="CM25" s="1383"/>
      <c r="CN25" s="1383"/>
      <c r="CO25" s="1383"/>
      <c r="CP25" s="1383"/>
      <c r="CQ25" s="1383"/>
      <c r="CR25" s="1383"/>
      <c r="CS25" s="1383"/>
      <c r="CT25" s="1383"/>
      <c r="CU25" s="1383"/>
      <c r="CV25" s="1383"/>
      <c r="CW25" s="1383"/>
      <c r="CX25" s="1383"/>
      <c r="CY25" s="1383"/>
      <c r="CZ25" s="1383"/>
      <c r="DA25" s="1383"/>
      <c r="DB25" s="1383"/>
      <c r="DC25" s="1383"/>
      <c r="DD25" s="1383"/>
      <c r="DE25" s="1383"/>
      <c r="DF25" s="1383"/>
      <c r="DG25" s="1383"/>
      <c r="DH25" s="1383"/>
      <c r="DI25" s="1383"/>
      <c r="DJ25" s="1383"/>
      <c r="DK25" s="1383"/>
      <c r="DL25" s="1383"/>
      <c r="DM25" s="1383"/>
      <c r="DN25" s="1383"/>
      <c r="DO25" s="1383"/>
      <c r="DP25" s="1383"/>
      <c r="DQ25" s="1383"/>
      <c r="DR25" s="1383"/>
      <c r="DU25" s="507"/>
      <c r="DV25" s="507"/>
      <c r="DW25" s="507"/>
      <c r="DX25" s="507"/>
      <c r="DY25" s="507"/>
    </row>
    <row s="1383" customFormat="1" customHeight="1" ht="14.25" hidden="1">
      <c r="A26" s="1150"/>
      <c r="B26" s="1150"/>
      <c r="C26" s="1150"/>
      <c r="D26" s="1150"/>
      <c r="E26" s="1150"/>
      <c r="F26" s="1150"/>
      <c r="G26" s="1150"/>
      <c r="H26" s="1150"/>
      <c r="I26" s="1150"/>
      <c r="J26" s="1150"/>
      <c r="K26" s="1150"/>
      <c r="L26" s="1150"/>
      <c r="M26" s="1344"/>
      <c r="N26" s="1345"/>
      <c r="O26" s="1345"/>
      <c r="P26" s="1327" t="s">
        <v>429</v>
      </c>
      <c r="Q26" s="1379"/>
      <c r="R26" s="1388"/>
      <c r="S26" s="1388"/>
      <c r="T26" s="1388"/>
      <c r="U26" s="724"/>
      <c r="V26" s="1155" t="s">
        <v>430</v>
      </c>
      <c r="AD26" s="166" t="s">
        <v>431</v>
      </c>
      <c r="AF26" s="166" t="s">
        <v>432</v>
      </c>
      <c r="AG26" s="1155" t="s">
        <v>430</v>
      </c>
      <c r="AM26" s="166" t="s">
        <v>433</v>
      </c>
      <c r="AO26" s="166" t="s">
        <v>432</v>
      </c>
      <c r="AP26" s="1383"/>
      <c r="AQ26" s="1383"/>
      <c r="AR26" s="1383"/>
      <c r="AS26" s="1383"/>
      <c r="AT26" s="1383"/>
      <c r="AU26" s="1383"/>
      <c r="AV26" s="1387" t="s">
        <v>431</v>
      </c>
      <c r="AW26" s="1383"/>
      <c r="AX26" s="1387" t="s">
        <v>432</v>
      </c>
      <c r="AY26" s="1383"/>
      <c r="AZ26" s="1383"/>
      <c r="BA26" s="1383"/>
      <c r="BB26" s="1383"/>
      <c r="BC26" s="1383"/>
      <c r="BD26" s="1383"/>
      <c r="BE26" s="1387" t="s">
        <v>431</v>
      </c>
      <c r="BF26" s="1383"/>
      <c r="BG26" s="1387" t="s">
        <v>432</v>
      </c>
      <c r="BH26" s="1383"/>
      <c r="BI26" s="1383"/>
      <c r="BJ26" s="1383"/>
      <c r="BK26" s="1383"/>
      <c r="BL26" s="1383"/>
      <c r="BM26" s="1383"/>
      <c r="BN26" s="1387" t="s">
        <v>431</v>
      </c>
      <c r="BO26" s="1383"/>
      <c r="BP26" s="1387" t="s">
        <v>432</v>
      </c>
      <c r="BQ26" s="1383"/>
      <c r="BR26" s="1383"/>
      <c r="BS26" s="1383"/>
      <c r="BT26" s="1383"/>
      <c r="BU26" s="1383"/>
      <c r="BV26" s="1383"/>
      <c r="BW26" s="1387" t="s">
        <v>431</v>
      </c>
      <c r="BX26" s="1383"/>
      <c r="BY26" s="1387" t="s">
        <v>432</v>
      </c>
      <c r="BZ26" s="1383"/>
      <c r="CA26" s="1383"/>
      <c r="CB26" s="1383"/>
      <c r="CC26" s="1383"/>
      <c r="CD26" s="1383"/>
      <c r="CE26" s="1383"/>
      <c r="CF26" s="1387" t="s">
        <v>431</v>
      </c>
      <c r="CG26" s="1383"/>
      <c r="CH26" s="1387" t="s">
        <v>432</v>
      </c>
      <c r="CI26" s="1383"/>
      <c r="CJ26" s="1383"/>
      <c r="CK26" s="1383"/>
      <c r="CL26" s="1383"/>
      <c r="CM26" s="1383"/>
      <c r="CN26" s="1383"/>
      <c r="CO26" s="1387" t="s">
        <v>431</v>
      </c>
      <c r="CP26" s="1383"/>
      <c r="CQ26" s="1387" t="s">
        <v>432</v>
      </c>
      <c r="CR26" s="1383"/>
      <c r="CS26" s="1383"/>
      <c r="CT26" s="1383"/>
      <c r="CU26" s="1383"/>
      <c r="CV26" s="1383"/>
      <c r="CW26" s="1383"/>
      <c r="CX26" s="1387" t="s">
        <v>431</v>
      </c>
      <c r="CY26" s="1383"/>
      <c r="CZ26" s="1387" t="s">
        <v>432</v>
      </c>
      <c r="DA26" s="1383"/>
      <c r="DB26" s="1383"/>
      <c r="DC26" s="1383"/>
      <c r="DD26" s="1383"/>
      <c r="DE26" s="1383"/>
      <c r="DF26" s="1383"/>
      <c r="DG26" s="1387" t="s">
        <v>431</v>
      </c>
      <c r="DH26" s="1383"/>
      <c r="DI26" s="1387" t="s">
        <v>432</v>
      </c>
      <c r="DJ26" s="1383"/>
      <c r="DK26" s="1383"/>
      <c r="DL26" s="1383"/>
      <c r="DM26" s="1383"/>
      <c r="DN26" s="1383"/>
      <c r="DO26" s="1383"/>
      <c r="DP26" s="1387" t="s">
        <v>431</v>
      </c>
      <c r="DQ26" s="1383"/>
      <c r="DR26" s="1387" t="s">
        <v>432</v>
      </c>
      <c r="DU26" s="507"/>
      <c r="DV26" s="507"/>
      <c r="DW26" s="507"/>
      <c r="DX26" s="507"/>
      <c r="DY26" s="507"/>
    </row>
    <row customHeight="1" ht="14.25" hidden="1">
      <c r="P27" s="1327"/>
      <c r="AP27" s="1660"/>
      <c r="AQ27" s="1660"/>
      <c r="AR27" s="1660"/>
      <c r="AS27" s="1660"/>
      <c r="AT27" s="1660"/>
      <c r="AU27" s="1660"/>
      <c r="AV27" s="1660"/>
      <c r="AW27" s="1660"/>
      <c r="AX27" s="1660"/>
      <c r="AY27" s="1660"/>
      <c r="AZ27" s="1660"/>
      <c r="BA27" s="1660"/>
      <c r="BB27" s="1660"/>
      <c r="BC27" s="1660"/>
      <c r="BD27" s="1660"/>
      <c r="BE27" s="1660"/>
      <c r="BF27" s="1660"/>
      <c r="BG27" s="1660"/>
      <c r="BH27" s="1660"/>
      <c r="BI27" s="1660"/>
      <c r="BJ27" s="1660"/>
      <c r="BK27" s="1660"/>
      <c r="BL27" s="1660"/>
      <c r="BM27" s="1660"/>
      <c r="BN27" s="1660"/>
      <c r="BO27" s="1660"/>
      <c r="BP27" s="1660"/>
      <c r="BQ27" s="1660"/>
      <c r="BR27" s="1660"/>
      <c r="BS27" s="1660"/>
      <c r="BT27" s="1660"/>
      <c r="BU27" s="1660"/>
      <c r="BV27" s="1660"/>
      <c r="BW27" s="1660"/>
      <c r="BX27" s="1660"/>
      <c r="BY27" s="1660"/>
      <c r="BZ27" s="1660"/>
      <c r="CA27" s="1660"/>
      <c r="CB27" s="1660"/>
      <c r="CC27" s="1660"/>
      <c r="CD27" s="1660"/>
      <c r="CE27" s="1660"/>
      <c r="CF27" s="1660"/>
      <c r="CG27" s="1660"/>
      <c r="CH27" s="1660"/>
      <c r="CI27" s="1660"/>
      <c r="CJ27" s="1660"/>
      <c r="CK27" s="1660"/>
      <c r="CL27" s="1660"/>
      <c r="CM27" s="1660"/>
      <c r="CN27" s="1660"/>
      <c r="CO27" s="1660"/>
      <c r="CP27" s="1660"/>
      <c r="CQ27" s="1660"/>
      <c r="CR27" s="1660"/>
      <c r="CS27" s="1660"/>
      <c r="CT27" s="1660"/>
      <c r="CU27" s="1660"/>
      <c r="CV27" s="1660"/>
      <c r="CW27" s="1660"/>
      <c r="CX27" s="1660"/>
      <c r="CY27" s="1660"/>
      <c r="CZ27" s="1660"/>
      <c r="DA27" s="1660"/>
      <c r="DB27" s="1660"/>
      <c r="DC27" s="1660"/>
      <c r="DD27" s="1660"/>
      <c r="DE27" s="1660"/>
      <c r="DF27" s="1660"/>
      <c r="DG27" s="1660"/>
      <c r="DH27" s="1660"/>
      <c r="DI27" s="1660"/>
      <c r="DJ27" s="1660"/>
      <c r="DK27" s="1660"/>
      <c r="DL27" s="1660"/>
      <c r="DM27" s="1660"/>
      <c r="DN27" s="1660"/>
      <c r="DO27" s="1660"/>
      <c r="DP27" s="1660"/>
      <c r="DQ27" s="1660"/>
      <c r="DR27" s="1660"/>
    </row>
    <row customHeight="1" ht="14.25" hidden="1">
      <c r="P28" s="1327"/>
      <c r="AP28" s="1660"/>
      <c r="AQ28" s="1660"/>
      <c r="AR28" s="1660"/>
      <c r="AS28" s="1660"/>
      <c r="AT28" s="1660"/>
      <c r="AU28" s="1660"/>
      <c r="AV28" s="1660"/>
      <c r="AW28" s="1660"/>
      <c r="AX28" s="1660"/>
      <c r="AY28" s="1660"/>
      <c r="AZ28" s="1660"/>
      <c r="BA28" s="1660"/>
      <c r="BB28" s="1660"/>
      <c r="BC28" s="1660"/>
      <c r="BD28" s="1660"/>
      <c r="BE28" s="1660"/>
      <c r="BF28" s="1660"/>
      <c r="BG28" s="1660"/>
      <c r="BH28" s="1660"/>
      <c r="BI28" s="1660"/>
      <c r="BJ28" s="1660"/>
      <c r="BK28" s="1660"/>
      <c r="BL28" s="1660"/>
      <c r="BM28" s="1660"/>
      <c r="BN28" s="1660"/>
      <c r="BO28" s="1660"/>
      <c r="BP28" s="1660"/>
      <c r="BQ28" s="1660"/>
      <c r="BR28" s="1660"/>
      <c r="BS28" s="1660"/>
      <c r="BT28" s="1660"/>
      <c r="BU28" s="1660"/>
      <c r="BV28" s="1660"/>
      <c r="BW28" s="1660"/>
      <c r="BX28" s="1660"/>
      <c r="BY28" s="1660"/>
      <c r="BZ28" s="1660"/>
      <c r="CA28" s="1660"/>
      <c r="CB28" s="1660"/>
      <c r="CC28" s="1660"/>
      <c r="CD28" s="1660"/>
      <c r="CE28" s="1660"/>
      <c r="CF28" s="1660"/>
      <c r="CG28" s="1660"/>
      <c r="CH28" s="1660"/>
      <c r="CI28" s="1660"/>
      <c r="CJ28" s="1660"/>
      <c r="CK28" s="1660"/>
      <c r="CL28" s="1660"/>
      <c r="CM28" s="1660"/>
      <c r="CN28" s="1660"/>
      <c r="CO28" s="1660"/>
      <c r="CP28" s="1660"/>
      <c r="CQ28" s="1660"/>
      <c r="CR28" s="1660"/>
      <c r="CS28" s="1660"/>
      <c r="CT28" s="1660"/>
      <c r="CU28" s="1660"/>
      <c r="CV28" s="1660"/>
      <c r="CW28" s="1660"/>
      <c r="CX28" s="1660"/>
      <c r="CY28" s="1660"/>
      <c r="CZ28" s="1660"/>
      <c r="DA28" s="1660"/>
      <c r="DB28" s="1660"/>
      <c r="DC28" s="1660"/>
      <c r="DD28" s="1660"/>
      <c r="DE28" s="1660"/>
      <c r="DF28" s="1660"/>
      <c r="DG28" s="1660"/>
      <c r="DH28" s="1660"/>
      <c r="DI28" s="1660"/>
      <c r="DJ28" s="1660"/>
      <c r="DK28" s="1660"/>
      <c r="DL28" s="1660"/>
      <c r="DM28" s="1660"/>
      <c r="DN28" s="1660"/>
      <c r="DO28" s="1660"/>
      <c r="DP28" s="1660"/>
      <c r="DQ28" s="1660"/>
      <c r="DR28" s="1660"/>
    </row>
    <row customHeight="1" ht="14.25">
      <c r="R29" s="368"/>
      <c r="S29" s="368"/>
      <c r="T29" s="368"/>
      <c r="U29" s="1292"/>
      <c r="V29" s="353"/>
      <c r="W29" s="353"/>
      <c r="X29" s="505"/>
      <c r="Y29" s="505"/>
      <c r="Z29" s="505"/>
      <c r="AA29" s="505"/>
      <c r="AB29" s="505"/>
      <c r="AC29" s="505"/>
      <c r="AD29" s="505"/>
      <c r="AE29" s="505"/>
      <c r="AF29" s="505"/>
      <c r="AG29" s="505"/>
      <c r="AH29" s="505"/>
      <c r="AI29" s="505"/>
      <c r="AJ29" s="505"/>
      <c r="AK29" s="505"/>
      <c r="AL29" s="505"/>
      <c r="AM29" s="505"/>
      <c r="AN29" s="505"/>
      <c r="AO29" s="505"/>
      <c r="AP29" s="1660"/>
      <c r="AQ29" s="1660"/>
      <c r="AR29" s="1660"/>
      <c r="AS29" s="1660"/>
      <c r="AT29" s="1660"/>
      <c r="AU29" s="1660"/>
      <c r="AV29" s="1660"/>
      <c r="AW29" s="1660"/>
      <c r="AX29" s="1660"/>
      <c r="AY29" s="1660"/>
      <c r="AZ29" s="1660"/>
      <c r="BA29" s="1660"/>
      <c r="BB29" s="1660"/>
      <c r="BC29" s="1660"/>
      <c r="BD29" s="1660"/>
      <c r="BE29" s="1660"/>
      <c r="BF29" s="1660"/>
      <c r="BG29" s="1660"/>
      <c r="BH29" s="1660"/>
      <c r="BI29" s="1660"/>
      <c r="BJ29" s="1660"/>
      <c r="BK29" s="1660"/>
      <c r="BL29" s="1660"/>
      <c r="BM29" s="1660"/>
      <c r="BN29" s="1660"/>
      <c r="BO29" s="1660"/>
      <c r="BP29" s="1660"/>
      <c r="BQ29" s="1660"/>
      <c r="BR29" s="1660"/>
      <c r="BS29" s="1660"/>
      <c r="BT29" s="1660"/>
      <c r="BU29" s="1660"/>
      <c r="BV29" s="1660"/>
      <c r="BW29" s="1660"/>
      <c r="BX29" s="1660"/>
      <c r="BY29" s="1660"/>
      <c r="BZ29" s="1660"/>
      <c r="CA29" s="1660"/>
      <c r="CB29" s="1660"/>
      <c r="CC29" s="1660"/>
      <c r="CD29" s="1660"/>
      <c r="CE29" s="1660"/>
      <c r="CF29" s="1660"/>
      <c r="CG29" s="1660"/>
      <c r="CH29" s="1660"/>
      <c r="CI29" s="1660"/>
      <c r="CJ29" s="1660"/>
      <c r="CK29" s="1660"/>
      <c r="CL29" s="1660"/>
      <c r="CM29" s="1660"/>
      <c r="CN29" s="1660"/>
      <c r="CO29" s="1660"/>
      <c r="CP29" s="1660"/>
      <c r="CQ29" s="1660"/>
      <c r="CR29" s="1660"/>
      <c r="CS29" s="1660"/>
      <c r="CT29" s="1660"/>
      <c r="CU29" s="1660"/>
      <c r="CV29" s="1660"/>
      <c r="CW29" s="1660"/>
      <c r="CX29" s="1660"/>
      <c r="CY29" s="1660"/>
      <c r="CZ29" s="1660"/>
      <c r="DA29" s="1660"/>
      <c r="DB29" s="1660"/>
      <c r="DC29" s="1660"/>
      <c r="DD29" s="1660"/>
      <c r="DE29" s="1660"/>
      <c r="DF29" s="1660"/>
      <c r="DG29" s="1660"/>
      <c r="DH29" s="1660"/>
      <c r="DI29" s="1660"/>
      <c r="DJ29" s="1660"/>
      <c r="DK29" s="1660"/>
      <c r="DL29" s="1660"/>
      <c r="DM29" s="1660"/>
      <c r="DN29" s="1660"/>
      <c r="DO29" s="1660"/>
      <c r="DP29" s="1660"/>
      <c r="DQ29" s="1660"/>
      <c r="DR29" s="1660"/>
    </row>
    <row customHeight="1" ht="54">
      <c r="R30" s="368"/>
      <c r="S30" s="368"/>
      <c r="T30" s="368"/>
      <c r="U30" s="2122"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22"/>
      <c r="W30" s="2122"/>
      <c r="X30" s="2122"/>
      <c r="Y30" s="2122"/>
      <c r="Z30" s="2122"/>
      <c r="AA30" s="2122"/>
      <c r="AB30" s="2122"/>
      <c r="AC30" s="2122"/>
      <c r="AD30" s="2122"/>
      <c r="AE30" s="2122"/>
      <c r="AF30" s="2122"/>
      <c r="AG30" s="2122"/>
      <c r="AH30" s="2122"/>
      <c r="AI30" s="2122"/>
      <c r="AJ30" s="2122"/>
      <c r="AK30" s="2122"/>
      <c r="AL30" s="2122"/>
      <c r="AM30" s="2122"/>
      <c r="AN30" s="2122"/>
      <c r="AO30" s="1248"/>
      <c r="AP30" s="2122"/>
      <c r="AQ30" s="2122"/>
      <c r="AR30" s="2122"/>
      <c r="AS30" s="2122"/>
      <c r="AT30" s="2122"/>
      <c r="AU30" s="2122"/>
      <c r="AV30" s="2122"/>
      <c r="AW30" s="2122"/>
      <c r="AX30" s="2122"/>
      <c r="AY30" s="2122"/>
      <c r="AZ30" s="2122"/>
      <c r="BA30" s="2122"/>
      <c r="BB30" s="2122"/>
      <c r="BC30" s="2122"/>
      <c r="BD30" s="2122"/>
      <c r="BE30" s="2122"/>
      <c r="BF30" s="2122"/>
      <c r="BG30" s="2122"/>
      <c r="BH30" s="2122"/>
      <c r="BI30" s="2122"/>
      <c r="BJ30" s="2122"/>
      <c r="BK30" s="2122"/>
      <c r="BL30" s="2122"/>
      <c r="BM30" s="2122"/>
      <c r="BN30" s="2122"/>
      <c r="BO30" s="2122"/>
      <c r="BP30" s="2122"/>
      <c r="BQ30" s="2122"/>
      <c r="BR30" s="2122"/>
      <c r="BS30" s="2122"/>
      <c r="BT30" s="2122"/>
      <c r="BU30" s="2122"/>
      <c r="BV30" s="2122"/>
      <c r="BW30" s="2122"/>
      <c r="BX30" s="2122"/>
      <c r="BY30" s="2122"/>
      <c r="BZ30" s="2122"/>
      <c r="CA30" s="2122"/>
      <c r="CB30" s="2122"/>
      <c r="CC30" s="2122"/>
      <c r="CD30" s="2122"/>
      <c r="CE30" s="2122"/>
      <c r="CF30" s="2122"/>
      <c r="CG30" s="2122"/>
      <c r="CH30" s="2122"/>
      <c r="CI30" s="2122"/>
      <c r="CJ30" s="2122"/>
      <c r="CK30" s="2122"/>
      <c r="CL30" s="2122"/>
      <c r="CM30" s="2122"/>
      <c r="CN30" s="2122"/>
      <c r="CO30" s="2122"/>
      <c r="CP30" s="2122"/>
      <c r="CQ30" s="2122"/>
      <c r="CR30" s="2122"/>
      <c r="CS30" s="2122"/>
      <c r="CT30" s="2122"/>
      <c r="CU30" s="2122"/>
      <c r="CV30" s="2122"/>
      <c r="CW30" s="2122"/>
      <c r="CX30" s="2122"/>
      <c r="CY30" s="2122"/>
      <c r="CZ30" s="2122"/>
      <c r="DA30" s="2122"/>
      <c r="DB30" s="2122"/>
      <c r="DC30" s="2122"/>
      <c r="DD30" s="2122"/>
      <c r="DE30" s="2122"/>
      <c r="DF30" s="2122"/>
      <c r="DG30" s="2122"/>
      <c r="DH30" s="2122"/>
      <c r="DI30" s="2122"/>
      <c r="DJ30" s="2122"/>
      <c r="DK30" s="2122"/>
      <c r="DL30" s="2122"/>
      <c r="DM30" s="2122"/>
      <c r="DN30" s="2122"/>
      <c r="DO30" s="2122"/>
      <c r="DP30" s="2122"/>
      <c r="DQ30" s="2122"/>
      <c r="DR30" s="2122"/>
    </row>
    <row customHeight="1" ht="14.25">
      <c r="R31" s="368"/>
      <c r="S31" s="368"/>
      <c r="T31" s="368"/>
      <c r="U31" s="2123" t="str">
        <f>IF(org=0,"Не определено",org)</f>
        <v>ПАО "ТГК-1" филиал "Невский"</v>
      </c>
      <c r="V31" s="2123"/>
      <c r="W31" s="2123"/>
      <c r="X31" s="2123"/>
      <c r="Y31" s="2123"/>
      <c r="Z31" s="2123"/>
      <c r="AA31" s="2123"/>
      <c r="AB31" s="2123"/>
      <c r="AC31" s="2123"/>
      <c r="AD31" s="2123"/>
      <c r="AE31" s="2123"/>
      <c r="AF31" s="2123"/>
      <c r="AG31" s="2123"/>
      <c r="AH31" s="2123"/>
      <c r="AI31" s="2123"/>
      <c r="AJ31" s="2123"/>
      <c r="AK31" s="2123"/>
      <c r="AL31" s="2123"/>
      <c r="AM31" s="2123"/>
      <c r="AN31" s="2123"/>
      <c r="AO31" s="1248"/>
      <c r="AP31" s="2123"/>
      <c r="AQ31" s="2123"/>
      <c r="AR31" s="2123"/>
      <c r="AS31" s="2123"/>
      <c r="AT31" s="2123"/>
      <c r="AU31" s="2123"/>
      <c r="AV31" s="2123"/>
      <c r="AW31" s="2123"/>
      <c r="AX31" s="2123"/>
      <c r="AY31" s="2123"/>
      <c r="AZ31" s="2123"/>
      <c r="BA31" s="2123"/>
      <c r="BB31" s="2123"/>
      <c r="BC31" s="2123"/>
      <c r="BD31" s="2123"/>
      <c r="BE31" s="2123"/>
      <c r="BF31" s="2123"/>
      <c r="BG31" s="2123"/>
      <c r="BH31" s="2123"/>
      <c r="BI31" s="2123"/>
      <c r="BJ31" s="2123"/>
      <c r="BK31" s="2123"/>
      <c r="BL31" s="2123"/>
      <c r="BM31" s="2123"/>
      <c r="BN31" s="2123"/>
      <c r="BO31" s="2123"/>
      <c r="BP31" s="2123"/>
      <c r="BQ31" s="2123"/>
      <c r="BR31" s="2123"/>
      <c r="BS31" s="2123"/>
      <c r="BT31" s="2123"/>
      <c r="BU31" s="2123"/>
      <c r="BV31" s="2123"/>
      <c r="BW31" s="2123"/>
      <c r="BX31" s="2123"/>
      <c r="BY31" s="2123"/>
      <c r="BZ31" s="2123"/>
      <c r="CA31" s="2123"/>
      <c r="CB31" s="2123"/>
      <c r="CC31" s="2123"/>
      <c r="CD31" s="2123"/>
      <c r="CE31" s="2123"/>
      <c r="CF31" s="2123"/>
      <c r="CG31" s="2123"/>
      <c r="CH31" s="2123"/>
      <c r="CI31" s="2123"/>
      <c r="CJ31" s="2123"/>
      <c r="CK31" s="2123"/>
      <c r="CL31" s="2123"/>
      <c r="CM31" s="2123"/>
      <c r="CN31" s="2123"/>
      <c r="CO31" s="2123"/>
      <c r="CP31" s="2123"/>
      <c r="CQ31" s="2123"/>
      <c r="CR31" s="2123"/>
      <c r="CS31" s="2123"/>
      <c r="CT31" s="2123"/>
      <c r="CU31" s="2123"/>
      <c r="CV31" s="2123"/>
      <c r="CW31" s="2123"/>
      <c r="CX31" s="2123"/>
      <c r="CY31" s="2123"/>
      <c r="CZ31" s="2123"/>
      <c r="DA31" s="2123"/>
      <c r="DB31" s="2123"/>
      <c r="DC31" s="2123"/>
      <c r="DD31" s="2123"/>
      <c r="DE31" s="2123"/>
      <c r="DF31" s="2123"/>
      <c r="DG31" s="2123"/>
      <c r="DH31" s="2123"/>
      <c r="DI31" s="2123"/>
      <c r="DJ31" s="2123"/>
      <c r="DK31" s="2123"/>
      <c r="DL31" s="2123"/>
      <c r="DM31" s="2123"/>
      <c r="DN31" s="2123"/>
      <c r="DO31" s="2123"/>
      <c r="DP31" s="2123"/>
      <c r="DQ31" s="2123"/>
      <c r="DR31" s="2123"/>
    </row>
    <row customHeight="1" ht="14.25">
      <c r="R32" s="368"/>
      <c r="S32" s="368"/>
      <c r="T32" s="368"/>
      <c r="U32" s="1292"/>
      <c r="V32" s="353"/>
      <c r="W32" s="353"/>
      <c r="X32" s="308"/>
      <c r="Y32" s="308"/>
      <c r="Z32" s="308"/>
      <c r="AA32" s="308"/>
      <c r="AB32" s="308"/>
      <c r="AC32" s="308"/>
      <c r="AD32" s="308"/>
      <c r="AE32" s="308"/>
      <c r="AF32" s="308"/>
      <c r="AG32" s="308"/>
      <c r="AH32" s="308"/>
      <c r="AI32" s="308"/>
      <c r="AJ32" s="308"/>
      <c r="AK32" s="308"/>
      <c r="AL32" s="308"/>
      <c r="AM32" s="308"/>
      <c r="AN32" s="308"/>
      <c r="AO32" s="308"/>
      <c r="AP32" s="308"/>
      <c r="AQ32" s="308"/>
      <c r="AR32" s="308"/>
      <c r="AS32" s="308"/>
      <c r="AT32" s="308"/>
      <c r="AU32" s="308"/>
      <c r="AV32" s="308"/>
      <c r="AW32" s="308"/>
      <c r="AX32" s="308"/>
      <c r="AY32" s="308"/>
      <c r="AZ32" s="308"/>
      <c r="BA32" s="308"/>
      <c r="BB32" s="308"/>
      <c r="BC32" s="308"/>
      <c r="BD32" s="308"/>
      <c r="BE32" s="308"/>
      <c r="BF32" s="308"/>
      <c r="BG32" s="308"/>
      <c r="BH32" s="308"/>
      <c r="BI32" s="308"/>
      <c r="BJ32" s="308"/>
      <c r="BK32" s="308"/>
      <c r="BL32" s="308"/>
      <c r="BM32" s="308"/>
      <c r="BN32" s="308"/>
      <c r="BO32" s="308"/>
      <c r="BP32" s="308"/>
      <c r="BQ32" s="308"/>
      <c r="BR32" s="308"/>
      <c r="BS32" s="308"/>
      <c r="BT32" s="308"/>
      <c r="BU32" s="308"/>
      <c r="BV32" s="308"/>
      <c r="BW32" s="308"/>
      <c r="BX32" s="308"/>
      <c r="BY32" s="308"/>
      <c r="BZ32" s="308"/>
      <c r="CA32" s="308"/>
      <c r="CB32" s="308"/>
      <c r="CC32" s="308"/>
      <c r="CD32" s="308"/>
      <c r="CE32" s="308"/>
      <c r="CF32" s="308"/>
      <c r="CG32" s="308"/>
      <c r="CH32" s="308"/>
      <c r="CI32" s="308"/>
      <c r="CJ32" s="308"/>
      <c r="CK32" s="308"/>
      <c r="CL32" s="308"/>
      <c r="CM32" s="308"/>
      <c r="CN32" s="308"/>
      <c r="CO32" s="308"/>
      <c r="CP32" s="308"/>
      <c r="CQ32" s="308"/>
      <c r="CR32" s="308"/>
      <c r="CS32" s="308"/>
      <c r="CT32" s="308"/>
      <c r="CU32" s="308"/>
      <c r="CV32" s="308"/>
      <c r="CW32" s="308"/>
      <c r="CX32" s="308"/>
      <c r="CY32" s="308"/>
      <c r="CZ32" s="308"/>
      <c r="DA32" s="308"/>
      <c r="DB32" s="308"/>
      <c r="DC32" s="308"/>
      <c r="DD32" s="308"/>
      <c r="DE32" s="308"/>
      <c r="DF32" s="308"/>
      <c r="DG32" s="308"/>
      <c r="DH32" s="308"/>
      <c r="DI32" s="308"/>
      <c r="DJ32" s="308"/>
      <c r="DK32" s="308"/>
      <c r="DL32" s="308"/>
      <c r="DM32" s="308"/>
      <c r="DN32" s="308"/>
      <c r="DO32" s="308"/>
      <c r="DP32" s="308"/>
      <c r="DQ32" s="308"/>
      <c r="DR32" s="308"/>
      <c r="DS32" s="505"/>
    </row>
    <row s="1877" customFormat="1" customHeight="1" ht="25.5">
      <c r="A33" s="1254"/>
      <c r="B33" s="1254"/>
      <c r="C33" s="1254"/>
      <c r="D33" s="1254"/>
      <c r="E33" s="1254"/>
      <c r="F33" s="1254"/>
      <c r="G33" s="1254"/>
      <c r="H33" s="1254"/>
      <c r="I33" s="1254"/>
      <c r="J33" s="1254"/>
      <c r="K33" s="1254"/>
      <c r="L33" s="1254"/>
      <c r="M33" s="1397"/>
      <c r="N33" s="1254"/>
      <c r="O33" s="1254"/>
      <c r="P33" s="1254"/>
      <c r="U33" s="2080" t="s">
        <v>38</v>
      </c>
      <c r="V33" s="2080"/>
      <c r="W33" s="1389"/>
      <c r="X33" s="2082" t="str">
        <f>IF(TITLE_NAME_OR_PR_CHANGE="",IF(TITLE_NAME_OR_PR="","",TITLE_NAME_OR_PR),TITLE_NAME_OR_PR_CHANGE)</f>
        <v>Комитет по тарифам Санкт-Петербурга</v>
      </c>
      <c r="Y33" s="2082"/>
      <c r="Z33" s="2082"/>
      <c r="AA33" s="2082"/>
      <c r="AB33" s="2082"/>
      <c r="AC33" s="2082"/>
      <c r="AD33" s="2082"/>
      <c r="AE33" s="2082"/>
      <c r="AF33" s="314"/>
      <c r="AG33" s="2082" t="str">
        <f>IF(TITLE_NAME_OR_PR_CHANGE="",IF(TITLE_NAME_OR_PR="","",TITLE_NAME_OR_PR),TITLE_NAME_OR_PR_CHANGE)</f>
        <v>Комитет по тарифам Санкт-Петербурга</v>
      </c>
      <c r="AH33" s="2082"/>
      <c r="AI33" s="2082"/>
      <c r="AJ33" s="2082"/>
      <c r="AK33" s="2082"/>
      <c r="AL33" s="2082"/>
      <c r="AM33" s="2082"/>
      <c r="AN33" s="2082"/>
      <c r="AO33" s="314"/>
      <c r="AP33" s="2082" t="str">
        <f>IF(TITLE_NAME_OR_PR_CHANGE="",IF(TITLE_NAME_OR_PR="","",TITLE_NAME_OR_PR),TITLE_NAME_OR_PR_CHANGE)</f>
        <v>Комитет по тарифам Санкт-Петербурга</v>
      </c>
      <c r="AQ33" s="2082"/>
      <c r="AR33" s="2082"/>
      <c r="AS33" s="2082"/>
      <c r="AT33" s="2082"/>
      <c r="AU33" s="2082"/>
      <c r="AV33" s="2082"/>
      <c r="AW33" s="2082"/>
      <c r="AX33" s="1660"/>
      <c r="AY33" s="2082" t="str">
        <f>IF(TITLE_NAME_OR_PR_CHANGE="",IF(TITLE_NAME_OR_PR="","",TITLE_NAME_OR_PR),TITLE_NAME_OR_PR_CHANGE)</f>
        <v>Комитет по тарифам Санкт-Петербурга</v>
      </c>
      <c r="AZ33" s="2082"/>
      <c r="BA33" s="2082"/>
      <c r="BB33" s="2082"/>
      <c r="BC33" s="2082"/>
      <c r="BD33" s="2082"/>
      <c r="BE33" s="2082"/>
      <c r="BF33" s="2082"/>
      <c r="BG33" s="1660"/>
      <c r="BH33" s="2082" t="str">
        <f>IF(TITLE_NAME_OR_PR_CHANGE="",IF(TITLE_NAME_OR_PR="","",TITLE_NAME_OR_PR),TITLE_NAME_OR_PR_CHANGE)</f>
        <v>Комитет по тарифам Санкт-Петербурга</v>
      </c>
      <c r="BI33" s="2082"/>
      <c r="BJ33" s="2082"/>
      <c r="BK33" s="2082"/>
      <c r="BL33" s="2082"/>
      <c r="BM33" s="2082"/>
      <c r="BN33" s="2082"/>
      <c r="BO33" s="2082"/>
      <c r="BP33" s="1660"/>
      <c r="BQ33" s="2082" t="str">
        <f>IF(TITLE_NAME_OR_PR_CHANGE="",IF(TITLE_NAME_OR_PR="","",TITLE_NAME_OR_PR),TITLE_NAME_OR_PR_CHANGE)</f>
        <v>Комитет по тарифам Санкт-Петербурга</v>
      </c>
      <c r="BR33" s="2082"/>
      <c r="BS33" s="2082"/>
      <c r="BT33" s="2082"/>
      <c r="BU33" s="2082"/>
      <c r="BV33" s="2082"/>
      <c r="BW33" s="2082"/>
      <c r="BX33" s="2082"/>
      <c r="BY33" s="1660"/>
      <c r="BZ33" s="2082" t="str">
        <f>IF(TITLE_NAME_OR_PR_CHANGE="",IF(TITLE_NAME_OR_PR="","",TITLE_NAME_OR_PR),TITLE_NAME_OR_PR_CHANGE)</f>
        <v>Комитет по тарифам Санкт-Петербурга</v>
      </c>
      <c r="CA33" s="2082"/>
      <c r="CB33" s="2082"/>
      <c r="CC33" s="2082"/>
      <c r="CD33" s="2082"/>
      <c r="CE33" s="2082"/>
      <c r="CF33" s="2082"/>
      <c r="CG33" s="2082"/>
      <c r="CH33" s="1660"/>
      <c r="CI33" s="2082" t="str">
        <f>IF(TITLE_NAME_OR_PR_CHANGE="",IF(TITLE_NAME_OR_PR="","",TITLE_NAME_OR_PR),TITLE_NAME_OR_PR_CHANGE)</f>
        <v>Комитет по тарифам Санкт-Петербурга</v>
      </c>
      <c r="CJ33" s="2082"/>
      <c r="CK33" s="2082"/>
      <c r="CL33" s="2082"/>
      <c r="CM33" s="2082"/>
      <c r="CN33" s="2082"/>
      <c r="CO33" s="2082"/>
      <c r="CP33" s="2082"/>
      <c r="CQ33" s="1660"/>
      <c r="CR33" s="2082" t="str">
        <f>IF(TITLE_NAME_OR_PR_CHANGE="",IF(TITLE_NAME_OR_PR="","",TITLE_NAME_OR_PR),TITLE_NAME_OR_PR_CHANGE)</f>
        <v>Комитет по тарифам Санкт-Петербурга</v>
      </c>
      <c r="CS33" s="2082"/>
      <c r="CT33" s="2082"/>
      <c r="CU33" s="2082"/>
      <c r="CV33" s="2082"/>
      <c r="CW33" s="2082"/>
      <c r="CX33" s="2082"/>
      <c r="CY33" s="2082"/>
      <c r="CZ33" s="1660"/>
      <c r="DA33" s="2082" t="str">
        <f>IF(TITLE_NAME_OR_PR_CHANGE="",IF(TITLE_NAME_OR_PR="","",TITLE_NAME_OR_PR),TITLE_NAME_OR_PR_CHANGE)</f>
        <v>Комитет по тарифам Санкт-Петербурга</v>
      </c>
      <c r="DB33" s="2082"/>
      <c r="DC33" s="2082"/>
      <c r="DD33" s="2082"/>
      <c r="DE33" s="2082"/>
      <c r="DF33" s="2082"/>
      <c r="DG33" s="2082"/>
      <c r="DH33" s="2082"/>
      <c r="DI33" s="1660"/>
      <c r="DJ33" s="2082" t="str">
        <f>IF(TITLE_NAME_OR_PR_CHANGE="",IF(TITLE_NAME_OR_PR="","",TITLE_NAME_OR_PR),TITLE_NAME_OR_PR_CHANGE)</f>
        <v>Комитет по тарифам Санкт-Петербурга</v>
      </c>
      <c r="DK33" s="2082"/>
      <c r="DL33" s="2082"/>
      <c r="DM33" s="2082"/>
      <c r="DN33" s="2082"/>
      <c r="DO33" s="2082"/>
      <c r="DP33" s="2082"/>
      <c r="DQ33" s="2082"/>
      <c r="DR33" s="1660"/>
      <c r="DS33" s="314"/>
      <c r="DT33" s="261"/>
      <c r="DU33" s="360"/>
      <c r="DV33" s="360"/>
      <c r="DW33" s="360"/>
      <c r="DX33" s="360"/>
      <c r="DY33" s="360"/>
    </row>
    <row s="1877" customFormat="1" customHeight="1" ht="18.75">
      <c r="A34" s="1254"/>
      <c r="B34" s="1254"/>
      <c r="C34" s="1254"/>
      <c r="D34" s="1254"/>
      <c r="E34" s="1254"/>
      <c r="F34" s="1254"/>
      <c r="G34" s="1254"/>
      <c r="H34" s="1254"/>
      <c r="I34" s="1254"/>
      <c r="J34" s="1254"/>
      <c r="K34" s="1254"/>
      <c r="L34" s="1254"/>
      <c r="M34" s="1397"/>
      <c r="N34" s="1254"/>
      <c r="O34" s="1254"/>
      <c r="P34" s="1254"/>
      <c r="U34" s="2080" t="s">
        <v>434</v>
      </c>
      <c r="V34" s="2080"/>
      <c r="W34" s="1389"/>
      <c r="X34" s="2081" t="str">
        <f>IF(TITLE_DATE_PR_CHANGE="",IF(TITLE_DATE_PR="","",TITLE_DATE_PR),TITLE_DATE_PR_CHANGE)</f>
        <v>45280.49324074074</v>
      </c>
      <c r="Y34" s="2081"/>
      <c r="Z34" s="2081"/>
      <c r="AA34" s="2081"/>
      <c r="AB34" s="2081"/>
      <c r="AC34" s="2081"/>
      <c r="AD34" s="2081"/>
      <c r="AE34" s="2081"/>
      <c r="AF34" s="314"/>
      <c r="AG34" s="2081" t="str">
        <f>IF(TITLE_DATE_PR_CHANGE="",IF(TITLE_DATE_PR="","",TITLE_DATE_PR),TITLE_DATE_PR_CHANGE)</f>
        <v>45280.49324074074</v>
      </c>
      <c r="AH34" s="2081"/>
      <c r="AI34" s="2081"/>
      <c r="AJ34" s="2081"/>
      <c r="AK34" s="2081"/>
      <c r="AL34" s="2081"/>
      <c r="AM34" s="2081"/>
      <c r="AN34" s="2081"/>
      <c r="AO34" s="314"/>
      <c r="AP34" s="2081" t="str">
        <f>IF(TITLE_DATE_PR_CHANGE="",IF(TITLE_DATE_PR="","",TITLE_DATE_PR),TITLE_DATE_PR_CHANGE)</f>
        <v>45280.49324074074</v>
      </c>
      <c r="AQ34" s="2081"/>
      <c r="AR34" s="2081"/>
      <c r="AS34" s="2081"/>
      <c r="AT34" s="2081"/>
      <c r="AU34" s="2081"/>
      <c r="AV34" s="2081"/>
      <c r="AW34" s="2081"/>
      <c r="AX34" s="1660"/>
      <c r="AY34" s="2081" t="str">
        <f>IF(TITLE_DATE_PR_CHANGE="",IF(TITLE_DATE_PR="","",TITLE_DATE_PR),TITLE_DATE_PR_CHANGE)</f>
        <v>45280.49324074074</v>
      </c>
      <c r="AZ34" s="2081"/>
      <c r="BA34" s="2081"/>
      <c r="BB34" s="2081"/>
      <c r="BC34" s="2081"/>
      <c r="BD34" s="2081"/>
      <c r="BE34" s="2081"/>
      <c r="BF34" s="2081"/>
      <c r="BG34" s="1660"/>
      <c r="BH34" s="2081" t="str">
        <f>IF(TITLE_DATE_PR_CHANGE="",IF(TITLE_DATE_PR="","",TITLE_DATE_PR),TITLE_DATE_PR_CHANGE)</f>
        <v>45280.49324074074</v>
      </c>
      <c r="BI34" s="2081"/>
      <c r="BJ34" s="2081"/>
      <c r="BK34" s="2081"/>
      <c r="BL34" s="2081"/>
      <c r="BM34" s="2081"/>
      <c r="BN34" s="2081"/>
      <c r="BO34" s="2081"/>
      <c r="BP34" s="1660"/>
      <c r="BQ34" s="2081" t="str">
        <f>IF(TITLE_DATE_PR_CHANGE="",IF(TITLE_DATE_PR="","",TITLE_DATE_PR),TITLE_DATE_PR_CHANGE)</f>
        <v>45280.49324074074</v>
      </c>
      <c r="BR34" s="2081"/>
      <c r="BS34" s="2081"/>
      <c r="BT34" s="2081"/>
      <c r="BU34" s="2081"/>
      <c r="BV34" s="2081"/>
      <c r="BW34" s="2081"/>
      <c r="BX34" s="2081"/>
      <c r="BY34" s="1660"/>
      <c r="BZ34" s="2081" t="str">
        <f>IF(TITLE_DATE_PR_CHANGE="",IF(TITLE_DATE_PR="","",TITLE_DATE_PR),TITLE_DATE_PR_CHANGE)</f>
        <v>45280.49324074074</v>
      </c>
      <c r="CA34" s="2081"/>
      <c r="CB34" s="2081"/>
      <c r="CC34" s="2081"/>
      <c r="CD34" s="2081"/>
      <c r="CE34" s="2081"/>
      <c r="CF34" s="2081"/>
      <c r="CG34" s="2081"/>
      <c r="CH34" s="1660"/>
      <c r="CI34" s="2081" t="str">
        <f>IF(TITLE_DATE_PR_CHANGE="",IF(TITLE_DATE_PR="","",TITLE_DATE_PR),TITLE_DATE_PR_CHANGE)</f>
        <v>45280.49324074074</v>
      </c>
      <c r="CJ34" s="2081"/>
      <c r="CK34" s="2081"/>
      <c r="CL34" s="2081"/>
      <c r="CM34" s="2081"/>
      <c r="CN34" s="2081"/>
      <c r="CO34" s="2081"/>
      <c r="CP34" s="2081"/>
      <c r="CQ34" s="1660"/>
      <c r="CR34" s="2081" t="str">
        <f>IF(TITLE_DATE_PR_CHANGE="",IF(TITLE_DATE_PR="","",TITLE_DATE_PR),TITLE_DATE_PR_CHANGE)</f>
        <v>45280.49324074074</v>
      </c>
      <c r="CS34" s="2081"/>
      <c r="CT34" s="2081"/>
      <c r="CU34" s="2081"/>
      <c r="CV34" s="2081"/>
      <c r="CW34" s="2081"/>
      <c r="CX34" s="2081"/>
      <c r="CY34" s="2081"/>
      <c r="CZ34" s="1660"/>
      <c r="DA34" s="2081" t="str">
        <f>IF(TITLE_DATE_PR_CHANGE="",IF(TITLE_DATE_PR="","",TITLE_DATE_PR),TITLE_DATE_PR_CHANGE)</f>
        <v>45280.49324074074</v>
      </c>
      <c r="DB34" s="2081"/>
      <c r="DC34" s="2081"/>
      <c r="DD34" s="2081"/>
      <c r="DE34" s="2081"/>
      <c r="DF34" s="2081"/>
      <c r="DG34" s="2081"/>
      <c r="DH34" s="2081"/>
      <c r="DI34" s="1660"/>
      <c r="DJ34" s="2081" t="str">
        <f>IF(TITLE_DATE_PR_CHANGE="",IF(TITLE_DATE_PR="","",TITLE_DATE_PR),TITLE_DATE_PR_CHANGE)</f>
        <v>45280.49324074074</v>
      </c>
      <c r="DK34" s="2081"/>
      <c r="DL34" s="2081"/>
      <c r="DM34" s="2081"/>
      <c r="DN34" s="2081"/>
      <c r="DO34" s="2081"/>
      <c r="DP34" s="2081"/>
      <c r="DQ34" s="2081"/>
      <c r="DR34" s="1660"/>
      <c r="DS34" s="314"/>
      <c r="DT34" s="261"/>
      <c r="DU34" s="360"/>
      <c r="DV34" s="360"/>
      <c r="DW34" s="360"/>
      <c r="DX34" s="360"/>
      <c r="DY34" s="360"/>
    </row>
    <row s="1877" customFormat="1" customHeight="1" ht="18.75">
      <c r="A35" s="1254"/>
      <c r="B35" s="1254"/>
      <c r="C35" s="1254"/>
      <c r="D35" s="1254"/>
      <c r="E35" s="1254"/>
      <c r="F35" s="1254"/>
      <c r="G35" s="1254"/>
      <c r="H35" s="1254"/>
      <c r="I35" s="1254"/>
      <c r="J35" s="1254"/>
      <c r="K35" s="1254"/>
      <c r="L35" s="1254"/>
      <c r="M35" s="1397"/>
      <c r="N35" s="1254"/>
      <c r="O35" s="1254"/>
      <c r="P35" s="1254"/>
      <c r="U35" s="2080" t="s">
        <v>435</v>
      </c>
      <c r="V35" s="2080"/>
      <c r="W35" s="1389"/>
      <c r="X35" s="2082" t="str">
        <f>IF(TITLE_NUMBER_PR_CHANGE="",IF(TITLE_NUMBER_PR="","",TITLE_NUMBER_PR),TITLE_NUMBER_PR_CHANGE)</f>
        <v>262-р</v>
      </c>
      <c r="Y35" s="2082"/>
      <c r="Z35" s="2082"/>
      <c r="AA35" s="2082"/>
      <c r="AB35" s="2082"/>
      <c r="AC35" s="2082"/>
      <c r="AD35" s="2082"/>
      <c r="AE35" s="2082"/>
      <c r="AF35" s="314"/>
      <c r="AG35" s="2082" t="str">
        <f>IF(TITLE_NUMBER_PR_CHANGE="",IF(TITLE_NUMBER_PR="","",TITLE_NUMBER_PR),TITLE_NUMBER_PR_CHANGE)</f>
        <v>262-р</v>
      </c>
      <c r="AH35" s="2082"/>
      <c r="AI35" s="2082"/>
      <c r="AJ35" s="2082"/>
      <c r="AK35" s="2082"/>
      <c r="AL35" s="2082"/>
      <c r="AM35" s="2082"/>
      <c r="AN35" s="2082"/>
      <c r="AO35" s="314"/>
      <c r="AP35" s="2082" t="str">
        <f>IF(TITLE_NUMBER_PR_CHANGE="",IF(TITLE_NUMBER_PR="","",TITLE_NUMBER_PR),TITLE_NUMBER_PR_CHANGE)</f>
        <v>262-р</v>
      </c>
      <c r="AQ35" s="2082"/>
      <c r="AR35" s="2082"/>
      <c r="AS35" s="2082"/>
      <c r="AT35" s="2082"/>
      <c r="AU35" s="2082"/>
      <c r="AV35" s="2082"/>
      <c r="AW35" s="2082"/>
      <c r="AX35" s="1660"/>
      <c r="AY35" s="2082" t="str">
        <f>IF(TITLE_NUMBER_PR_CHANGE="",IF(TITLE_NUMBER_PR="","",TITLE_NUMBER_PR),TITLE_NUMBER_PR_CHANGE)</f>
        <v>262-р</v>
      </c>
      <c r="AZ35" s="2082"/>
      <c r="BA35" s="2082"/>
      <c r="BB35" s="2082"/>
      <c r="BC35" s="2082"/>
      <c r="BD35" s="2082"/>
      <c r="BE35" s="2082"/>
      <c r="BF35" s="2082"/>
      <c r="BG35" s="1660"/>
      <c r="BH35" s="2082" t="str">
        <f>IF(TITLE_NUMBER_PR_CHANGE="",IF(TITLE_NUMBER_PR="","",TITLE_NUMBER_PR),TITLE_NUMBER_PR_CHANGE)</f>
        <v>262-р</v>
      </c>
      <c r="BI35" s="2082"/>
      <c r="BJ35" s="2082"/>
      <c r="BK35" s="2082"/>
      <c r="BL35" s="2082"/>
      <c r="BM35" s="2082"/>
      <c r="BN35" s="2082"/>
      <c r="BO35" s="2082"/>
      <c r="BP35" s="1660"/>
      <c r="BQ35" s="2082" t="str">
        <f>IF(TITLE_NUMBER_PR_CHANGE="",IF(TITLE_NUMBER_PR="","",TITLE_NUMBER_PR),TITLE_NUMBER_PR_CHANGE)</f>
        <v>262-р</v>
      </c>
      <c r="BR35" s="2082"/>
      <c r="BS35" s="2082"/>
      <c r="BT35" s="2082"/>
      <c r="BU35" s="2082"/>
      <c r="BV35" s="2082"/>
      <c r="BW35" s="2082"/>
      <c r="BX35" s="2082"/>
      <c r="BY35" s="1660"/>
      <c r="BZ35" s="2082" t="str">
        <f>IF(TITLE_NUMBER_PR_CHANGE="",IF(TITLE_NUMBER_PR="","",TITLE_NUMBER_PR),TITLE_NUMBER_PR_CHANGE)</f>
        <v>262-р</v>
      </c>
      <c r="CA35" s="2082"/>
      <c r="CB35" s="2082"/>
      <c r="CC35" s="2082"/>
      <c r="CD35" s="2082"/>
      <c r="CE35" s="2082"/>
      <c r="CF35" s="2082"/>
      <c r="CG35" s="2082"/>
      <c r="CH35" s="1660"/>
      <c r="CI35" s="2082" t="str">
        <f>IF(TITLE_NUMBER_PR_CHANGE="",IF(TITLE_NUMBER_PR="","",TITLE_NUMBER_PR),TITLE_NUMBER_PR_CHANGE)</f>
        <v>262-р</v>
      </c>
      <c r="CJ35" s="2082"/>
      <c r="CK35" s="2082"/>
      <c r="CL35" s="2082"/>
      <c r="CM35" s="2082"/>
      <c r="CN35" s="2082"/>
      <c r="CO35" s="2082"/>
      <c r="CP35" s="2082"/>
      <c r="CQ35" s="1660"/>
      <c r="CR35" s="2082" t="str">
        <f>IF(TITLE_NUMBER_PR_CHANGE="",IF(TITLE_NUMBER_PR="","",TITLE_NUMBER_PR),TITLE_NUMBER_PR_CHANGE)</f>
        <v>262-р</v>
      </c>
      <c r="CS35" s="2082"/>
      <c r="CT35" s="2082"/>
      <c r="CU35" s="2082"/>
      <c r="CV35" s="2082"/>
      <c r="CW35" s="2082"/>
      <c r="CX35" s="2082"/>
      <c r="CY35" s="2082"/>
      <c r="CZ35" s="1660"/>
      <c r="DA35" s="2082" t="str">
        <f>IF(TITLE_NUMBER_PR_CHANGE="",IF(TITLE_NUMBER_PR="","",TITLE_NUMBER_PR),TITLE_NUMBER_PR_CHANGE)</f>
        <v>262-р</v>
      </c>
      <c r="DB35" s="2082"/>
      <c r="DC35" s="2082"/>
      <c r="DD35" s="2082"/>
      <c r="DE35" s="2082"/>
      <c r="DF35" s="2082"/>
      <c r="DG35" s="2082"/>
      <c r="DH35" s="2082"/>
      <c r="DI35" s="1660"/>
      <c r="DJ35" s="2082" t="str">
        <f>IF(TITLE_NUMBER_PR_CHANGE="",IF(TITLE_NUMBER_PR="","",TITLE_NUMBER_PR),TITLE_NUMBER_PR_CHANGE)</f>
        <v>262-р</v>
      </c>
      <c r="DK35" s="2082"/>
      <c r="DL35" s="2082"/>
      <c r="DM35" s="2082"/>
      <c r="DN35" s="2082"/>
      <c r="DO35" s="2082"/>
      <c r="DP35" s="2082"/>
      <c r="DQ35" s="2082"/>
      <c r="DR35" s="1660"/>
      <c r="DS35" s="314"/>
      <c r="DT35" s="261"/>
      <c r="DU35" s="360"/>
      <c r="DV35" s="360"/>
      <c r="DW35" s="360"/>
      <c r="DX35" s="360"/>
      <c r="DY35" s="360"/>
    </row>
    <row s="1877" customFormat="1" customHeight="1" ht="18.75">
      <c r="A36" s="1254"/>
      <c r="B36" s="1254"/>
      <c r="C36" s="1254"/>
      <c r="D36" s="1254"/>
      <c r="E36" s="1254"/>
      <c r="F36" s="1254"/>
      <c r="G36" s="1254"/>
      <c r="H36" s="1254"/>
      <c r="I36" s="1254"/>
      <c r="J36" s="1254"/>
      <c r="K36" s="1254"/>
      <c r="L36" s="1254"/>
      <c r="M36" s="1397"/>
      <c r="N36" s="1254"/>
      <c r="O36" s="1254"/>
      <c r="P36" s="1254"/>
      <c r="U36" s="2080" t="s">
        <v>40</v>
      </c>
      <c r="V36" s="2080"/>
      <c r="W36" s="1389"/>
      <c r="X36" s="2082" t="str">
        <f>IF(TITLE_IST_PUB_CHANGE="",IF(TITLE_IST_PUB="","",TITLE_IST_PUB),TITLE_IST_PUB_CHANGE)</f>
        <v>https://www.gov.spb.ru/static/writable/documents/2023/12/22/%D0%BE%D1%82_20.12.2023__262-%D1%80.pdf</v>
      </c>
      <c r="Y36" s="2082"/>
      <c r="Z36" s="2082"/>
      <c r="AA36" s="2082"/>
      <c r="AB36" s="2082"/>
      <c r="AC36" s="2082"/>
      <c r="AD36" s="2082"/>
      <c r="AE36" s="2082"/>
      <c r="AF36" s="314"/>
      <c r="AG36" s="2082" t="str">
        <f>IF(TITLE_IST_PUB_CHANGE="",IF(TITLE_IST_PUB="","",TITLE_IST_PUB),TITLE_IST_PUB_CHANGE)</f>
        <v>https://www.gov.spb.ru/static/writable/documents/2023/12/22/%D0%BE%D1%82_20.12.2023__262-%D1%80.pdf</v>
      </c>
      <c r="AH36" s="2082"/>
      <c r="AI36" s="2082"/>
      <c r="AJ36" s="2082"/>
      <c r="AK36" s="2082"/>
      <c r="AL36" s="2082"/>
      <c r="AM36" s="2082"/>
      <c r="AN36" s="2082"/>
      <c r="AO36" s="314"/>
      <c r="AP36" s="2082" t="str">
        <f>IF(TITLE_IST_PUB_CHANGE="",IF(TITLE_IST_PUB="","",TITLE_IST_PUB),TITLE_IST_PUB_CHANGE)</f>
        <v>https://www.gov.spb.ru/static/writable/documents/2023/12/22/%D0%BE%D1%82_20.12.2023__262-%D1%80.pdf</v>
      </c>
      <c r="AQ36" s="2082"/>
      <c r="AR36" s="2082"/>
      <c r="AS36" s="2082"/>
      <c r="AT36" s="2082"/>
      <c r="AU36" s="2082"/>
      <c r="AV36" s="2082"/>
      <c r="AW36" s="2082"/>
      <c r="AX36" s="1660"/>
      <c r="AY36" s="2082" t="str">
        <f>IF(TITLE_IST_PUB_CHANGE="",IF(TITLE_IST_PUB="","",TITLE_IST_PUB),TITLE_IST_PUB_CHANGE)</f>
        <v>https://www.gov.spb.ru/static/writable/documents/2023/12/22/%D0%BE%D1%82_20.12.2023__262-%D1%80.pdf</v>
      </c>
      <c r="AZ36" s="2082"/>
      <c r="BA36" s="2082"/>
      <c r="BB36" s="2082"/>
      <c r="BC36" s="2082"/>
      <c r="BD36" s="2082"/>
      <c r="BE36" s="2082"/>
      <c r="BF36" s="2082"/>
      <c r="BG36" s="1660"/>
      <c r="BH36" s="2082" t="str">
        <f>IF(TITLE_IST_PUB_CHANGE="",IF(TITLE_IST_PUB="","",TITLE_IST_PUB),TITLE_IST_PUB_CHANGE)</f>
        <v>https://www.gov.spb.ru/static/writable/documents/2023/12/22/%D0%BE%D1%82_20.12.2023__262-%D1%80.pdf</v>
      </c>
      <c r="BI36" s="2082"/>
      <c r="BJ36" s="2082"/>
      <c r="BK36" s="2082"/>
      <c r="BL36" s="2082"/>
      <c r="BM36" s="2082"/>
      <c r="BN36" s="2082"/>
      <c r="BO36" s="2082"/>
      <c r="BP36" s="1660"/>
      <c r="BQ36" s="2082" t="str">
        <f>IF(TITLE_IST_PUB_CHANGE="",IF(TITLE_IST_PUB="","",TITLE_IST_PUB),TITLE_IST_PUB_CHANGE)</f>
        <v>https://www.gov.spb.ru/static/writable/documents/2023/12/22/%D0%BE%D1%82_20.12.2023__262-%D1%80.pdf</v>
      </c>
      <c r="BR36" s="2082"/>
      <c r="BS36" s="2082"/>
      <c r="BT36" s="2082"/>
      <c r="BU36" s="2082"/>
      <c r="BV36" s="2082"/>
      <c r="BW36" s="2082"/>
      <c r="BX36" s="2082"/>
      <c r="BY36" s="1660"/>
      <c r="BZ36" s="2082" t="str">
        <f>IF(TITLE_IST_PUB_CHANGE="",IF(TITLE_IST_PUB="","",TITLE_IST_PUB),TITLE_IST_PUB_CHANGE)</f>
        <v>https://www.gov.spb.ru/static/writable/documents/2023/12/22/%D0%BE%D1%82_20.12.2023__262-%D1%80.pdf</v>
      </c>
      <c r="CA36" s="2082"/>
      <c r="CB36" s="2082"/>
      <c r="CC36" s="2082"/>
      <c r="CD36" s="2082"/>
      <c r="CE36" s="2082"/>
      <c r="CF36" s="2082"/>
      <c r="CG36" s="2082"/>
      <c r="CH36" s="1660"/>
      <c r="CI36" s="2082" t="str">
        <f>IF(TITLE_IST_PUB_CHANGE="",IF(TITLE_IST_PUB="","",TITLE_IST_PUB),TITLE_IST_PUB_CHANGE)</f>
        <v>https://www.gov.spb.ru/static/writable/documents/2023/12/22/%D0%BE%D1%82_20.12.2023__262-%D1%80.pdf</v>
      </c>
      <c r="CJ36" s="2082"/>
      <c r="CK36" s="2082"/>
      <c r="CL36" s="2082"/>
      <c r="CM36" s="2082"/>
      <c r="CN36" s="2082"/>
      <c r="CO36" s="2082"/>
      <c r="CP36" s="2082"/>
      <c r="CQ36" s="1660"/>
      <c r="CR36" s="2082" t="str">
        <f>IF(TITLE_IST_PUB_CHANGE="",IF(TITLE_IST_PUB="","",TITLE_IST_PUB),TITLE_IST_PUB_CHANGE)</f>
        <v>https://www.gov.spb.ru/static/writable/documents/2023/12/22/%D0%BE%D1%82_20.12.2023__262-%D1%80.pdf</v>
      </c>
      <c r="CS36" s="2082"/>
      <c r="CT36" s="2082"/>
      <c r="CU36" s="2082"/>
      <c r="CV36" s="2082"/>
      <c r="CW36" s="2082"/>
      <c r="CX36" s="2082"/>
      <c r="CY36" s="2082"/>
      <c r="CZ36" s="1660"/>
      <c r="DA36" s="2082" t="str">
        <f>IF(TITLE_IST_PUB_CHANGE="",IF(TITLE_IST_PUB="","",TITLE_IST_PUB),TITLE_IST_PUB_CHANGE)</f>
        <v>https://www.gov.spb.ru/static/writable/documents/2023/12/22/%D0%BE%D1%82_20.12.2023__262-%D1%80.pdf</v>
      </c>
      <c r="DB36" s="2082"/>
      <c r="DC36" s="2082"/>
      <c r="DD36" s="2082"/>
      <c r="DE36" s="2082"/>
      <c r="DF36" s="2082"/>
      <c r="DG36" s="2082"/>
      <c r="DH36" s="2082"/>
      <c r="DI36" s="1660"/>
      <c r="DJ36" s="2082" t="str">
        <f>IF(TITLE_IST_PUB_CHANGE="",IF(TITLE_IST_PUB="","",TITLE_IST_PUB),TITLE_IST_PUB_CHANGE)</f>
        <v>https://www.gov.spb.ru/static/writable/documents/2023/12/22/%D0%BE%D1%82_20.12.2023__262-%D1%80.pdf</v>
      </c>
      <c r="DK36" s="2082"/>
      <c r="DL36" s="2082"/>
      <c r="DM36" s="2082"/>
      <c r="DN36" s="2082"/>
      <c r="DO36" s="2082"/>
      <c r="DP36" s="2082"/>
      <c r="DQ36" s="2082"/>
      <c r="DR36" s="1660"/>
      <c r="DS36" s="314"/>
      <c r="DT36" s="261"/>
      <c r="DU36" s="360"/>
      <c r="DV36" s="360"/>
      <c r="DW36" s="360"/>
      <c r="DX36" s="360"/>
      <c r="DY36" s="360"/>
    </row>
    <row customHeight="1" ht="14.25" hidden="1">
      <c r="R37" s="368"/>
      <c r="S37" s="368"/>
      <c r="T37" s="368"/>
      <c r="U37" s="1292"/>
      <c r="V37" s="353"/>
      <c r="W37" s="353"/>
      <c r="X37" s="308"/>
      <c r="Y37" s="308"/>
      <c r="Z37" s="308"/>
      <c r="AA37" s="308"/>
      <c r="AB37" s="308"/>
      <c r="AC37" s="308"/>
      <c r="AD37" s="308"/>
      <c r="AE37" s="308"/>
      <c r="AF37" s="308"/>
      <c r="AG37" s="308"/>
      <c r="AH37" s="308"/>
      <c r="AI37" s="308"/>
      <c r="AJ37" s="308"/>
      <c r="AK37" s="308"/>
      <c r="AL37" s="308"/>
      <c r="AM37" s="308"/>
      <c r="AN37" s="308"/>
      <c r="AO37" s="308"/>
      <c r="AP37" s="308"/>
      <c r="AQ37" s="308"/>
      <c r="AR37" s="308"/>
      <c r="AS37" s="308"/>
      <c r="AT37" s="308"/>
      <c r="AU37" s="308"/>
      <c r="AV37" s="308"/>
      <c r="AW37" s="308"/>
      <c r="AX37" s="308"/>
      <c r="AY37" s="308"/>
      <c r="AZ37" s="308"/>
      <c r="BA37" s="308"/>
      <c r="BB37" s="308"/>
      <c r="BC37" s="308"/>
      <c r="BD37" s="308"/>
      <c r="BE37" s="308"/>
      <c r="BF37" s="308"/>
      <c r="BG37" s="308"/>
      <c r="BH37" s="308"/>
      <c r="BI37" s="308"/>
      <c r="BJ37" s="308"/>
      <c r="BK37" s="308"/>
      <c r="BL37" s="308"/>
      <c r="BM37" s="308"/>
      <c r="BN37" s="308"/>
      <c r="BO37" s="308"/>
      <c r="BP37" s="308"/>
      <c r="BQ37" s="308"/>
      <c r="BR37" s="308"/>
      <c r="BS37" s="308"/>
      <c r="BT37" s="308"/>
      <c r="BU37" s="308"/>
      <c r="BV37" s="308"/>
      <c r="BW37" s="308"/>
      <c r="BX37" s="308"/>
      <c r="BY37" s="308"/>
      <c r="BZ37" s="308"/>
      <c r="CA37" s="308"/>
      <c r="CB37" s="308"/>
      <c r="CC37" s="308"/>
      <c r="CD37" s="308"/>
      <c r="CE37" s="308"/>
      <c r="CF37" s="308"/>
      <c r="CG37" s="308"/>
      <c r="CH37" s="308"/>
      <c r="CI37" s="308"/>
      <c r="CJ37" s="308"/>
      <c r="CK37" s="308"/>
      <c r="CL37" s="308"/>
      <c r="CM37" s="308"/>
      <c r="CN37" s="308"/>
      <c r="CO37" s="308"/>
      <c r="CP37" s="308"/>
      <c r="CQ37" s="308"/>
      <c r="CR37" s="308"/>
      <c r="CS37" s="308"/>
      <c r="CT37" s="308"/>
      <c r="CU37" s="308"/>
      <c r="CV37" s="308"/>
      <c r="CW37" s="308"/>
      <c r="CX37" s="308"/>
      <c r="CY37" s="308"/>
      <c r="CZ37" s="308"/>
      <c r="DA37" s="308"/>
      <c r="DB37" s="308"/>
      <c r="DC37" s="308"/>
      <c r="DD37" s="308"/>
      <c r="DE37" s="308"/>
      <c r="DF37" s="308"/>
      <c r="DG37" s="308"/>
      <c r="DH37" s="308"/>
      <c r="DI37" s="308"/>
      <c r="DJ37" s="308"/>
      <c r="DK37" s="308"/>
      <c r="DL37" s="308"/>
      <c r="DM37" s="308"/>
      <c r="DN37" s="308"/>
      <c r="DO37" s="308"/>
      <c r="DP37" s="308"/>
      <c r="DQ37" s="308"/>
      <c r="DR37" s="308"/>
      <c r="DS37" s="505"/>
    </row>
    <row s="1877" customFormat="1" customHeight="1" ht="18.75" hidden="1">
      <c r="A38" s="1254"/>
      <c r="B38" s="1254"/>
      <c r="C38" s="1254"/>
      <c r="D38" s="1254"/>
      <c r="E38" s="1254"/>
      <c r="F38" s="1254"/>
      <c r="G38" s="1254"/>
      <c r="H38" s="1254"/>
      <c r="I38" s="1254"/>
      <c r="J38" s="1254"/>
      <c r="K38" s="1254"/>
      <c r="L38" s="1254"/>
      <c r="M38" s="1397"/>
      <c r="N38" s="1254"/>
      <c r="O38" s="1254"/>
      <c r="P38" s="1254"/>
      <c r="U38" s="2080" t="s">
        <v>436</v>
      </c>
      <c r="V38" s="2080"/>
      <c r="W38" s="1389"/>
      <c r="X38" s="2081" t="str">
        <f>IF(TITLE_DATE_PR_CHANGE="",IF(TITLE_DATE_PR="","",TITLE_DATE_PR),TITLE_DATE_PR_CHANGE)</f>
        <v>45280.49324074074</v>
      </c>
      <c r="Y38" s="2081"/>
      <c r="Z38" s="2081"/>
      <c r="AA38" s="2081"/>
      <c r="AB38" s="2081"/>
      <c r="AC38" s="2081"/>
      <c r="AD38" s="2081"/>
      <c r="AE38" s="2081"/>
      <c r="AF38" s="314"/>
      <c r="AG38" s="2081" t="str">
        <f>IF(TITLE_DATE_PR_CHANGE="",IF(TITLE_DATE_PR="","",TITLE_DATE_PR),TITLE_DATE_PR_CHANGE)</f>
        <v>45280.49324074074</v>
      </c>
      <c r="AH38" s="2081"/>
      <c r="AI38" s="2081"/>
      <c r="AJ38" s="2081"/>
      <c r="AK38" s="2081"/>
      <c r="AL38" s="2081"/>
      <c r="AM38" s="2081"/>
      <c r="AN38" s="2081"/>
      <c r="AO38" s="314"/>
      <c r="AP38" s="2081" t="str">
        <f>IF(TITLE_DATE_PR_CHANGE="",IF(TITLE_DATE_PR="","",TITLE_DATE_PR),TITLE_DATE_PR_CHANGE)</f>
        <v>45280.49324074074</v>
      </c>
      <c r="AQ38" s="2081"/>
      <c r="AR38" s="2081"/>
      <c r="AS38" s="2081"/>
      <c r="AT38" s="2081"/>
      <c r="AU38" s="2081"/>
      <c r="AV38" s="2081"/>
      <c r="AW38" s="2081"/>
      <c r="AX38" s="1660"/>
      <c r="AY38" s="2081" t="str">
        <f>IF(TITLE_DATE_PR_CHANGE="",IF(TITLE_DATE_PR="","",TITLE_DATE_PR),TITLE_DATE_PR_CHANGE)</f>
        <v>45280.49324074074</v>
      </c>
      <c r="AZ38" s="2081"/>
      <c r="BA38" s="2081"/>
      <c r="BB38" s="2081"/>
      <c r="BC38" s="2081"/>
      <c r="BD38" s="2081"/>
      <c r="BE38" s="2081"/>
      <c r="BF38" s="2081"/>
      <c r="BG38" s="1660"/>
      <c r="BH38" s="2081" t="str">
        <f>IF(TITLE_DATE_PR_CHANGE="",IF(TITLE_DATE_PR="","",TITLE_DATE_PR),TITLE_DATE_PR_CHANGE)</f>
        <v>45280.49324074074</v>
      </c>
      <c r="BI38" s="2081"/>
      <c r="BJ38" s="2081"/>
      <c r="BK38" s="2081"/>
      <c r="BL38" s="2081"/>
      <c r="BM38" s="2081"/>
      <c r="BN38" s="2081"/>
      <c r="BO38" s="2081"/>
      <c r="BP38" s="1660"/>
      <c r="BQ38" s="2081" t="str">
        <f>IF(TITLE_DATE_PR_CHANGE="",IF(TITLE_DATE_PR="","",TITLE_DATE_PR),TITLE_DATE_PR_CHANGE)</f>
        <v>45280.49324074074</v>
      </c>
      <c r="BR38" s="2081"/>
      <c r="BS38" s="2081"/>
      <c r="BT38" s="2081"/>
      <c r="BU38" s="2081"/>
      <c r="BV38" s="2081"/>
      <c r="BW38" s="2081"/>
      <c r="BX38" s="2081"/>
      <c r="BY38" s="1660"/>
      <c r="BZ38" s="2081" t="str">
        <f>IF(TITLE_DATE_PR_CHANGE="",IF(TITLE_DATE_PR="","",TITLE_DATE_PR),TITLE_DATE_PR_CHANGE)</f>
        <v>45280.49324074074</v>
      </c>
      <c r="CA38" s="2081"/>
      <c r="CB38" s="2081"/>
      <c r="CC38" s="2081"/>
      <c r="CD38" s="2081"/>
      <c r="CE38" s="2081"/>
      <c r="CF38" s="2081"/>
      <c r="CG38" s="2081"/>
      <c r="CH38" s="1660"/>
      <c r="CI38" s="2081" t="str">
        <f>IF(TITLE_DATE_PR_CHANGE="",IF(TITLE_DATE_PR="","",TITLE_DATE_PR),TITLE_DATE_PR_CHANGE)</f>
        <v>45280.49324074074</v>
      </c>
      <c r="CJ38" s="2081"/>
      <c r="CK38" s="2081"/>
      <c r="CL38" s="2081"/>
      <c r="CM38" s="2081"/>
      <c r="CN38" s="2081"/>
      <c r="CO38" s="2081"/>
      <c r="CP38" s="2081"/>
      <c r="CQ38" s="1660"/>
      <c r="CR38" s="2081" t="str">
        <f>IF(TITLE_DATE_PR_CHANGE="",IF(TITLE_DATE_PR="","",TITLE_DATE_PR),TITLE_DATE_PR_CHANGE)</f>
        <v>45280.49324074074</v>
      </c>
      <c r="CS38" s="2081"/>
      <c r="CT38" s="2081"/>
      <c r="CU38" s="2081"/>
      <c r="CV38" s="2081"/>
      <c r="CW38" s="2081"/>
      <c r="CX38" s="2081"/>
      <c r="CY38" s="2081"/>
      <c r="CZ38" s="1660"/>
      <c r="DA38" s="2081" t="str">
        <f>IF(TITLE_DATE_PR_CHANGE="",IF(TITLE_DATE_PR="","",TITLE_DATE_PR),TITLE_DATE_PR_CHANGE)</f>
        <v>45280.49324074074</v>
      </c>
      <c r="DB38" s="2081"/>
      <c r="DC38" s="2081"/>
      <c r="DD38" s="2081"/>
      <c r="DE38" s="2081"/>
      <c r="DF38" s="2081"/>
      <c r="DG38" s="2081"/>
      <c r="DH38" s="2081"/>
      <c r="DI38" s="1660"/>
      <c r="DJ38" s="2081" t="str">
        <f>IF(TITLE_DATE_PR_CHANGE="",IF(TITLE_DATE_PR="","",TITLE_DATE_PR),TITLE_DATE_PR_CHANGE)</f>
        <v>45280.49324074074</v>
      </c>
      <c r="DK38" s="2081"/>
      <c r="DL38" s="2081"/>
      <c r="DM38" s="2081"/>
      <c r="DN38" s="2081"/>
      <c r="DO38" s="2081"/>
      <c r="DP38" s="2081"/>
      <c r="DQ38" s="2081"/>
      <c r="DR38" s="1660"/>
      <c r="DS38" s="314"/>
      <c r="DT38" s="261"/>
      <c r="DU38" s="360"/>
      <c r="DV38" s="360"/>
      <c r="DW38" s="360"/>
      <c r="DX38" s="360"/>
      <c r="DY38" s="360"/>
    </row>
    <row s="1877" customFormat="1" customHeight="1" ht="18.75" hidden="1">
      <c r="A39" s="1254"/>
      <c r="B39" s="1254"/>
      <c r="C39" s="1254"/>
      <c r="D39" s="1254"/>
      <c r="E39" s="1254"/>
      <c r="F39" s="1254"/>
      <c r="G39" s="1254"/>
      <c r="H39" s="1254"/>
      <c r="I39" s="1254"/>
      <c r="J39" s="1254"/>
      <c r="K39" s="1254"/>
      <c r="L39" s="1254"/>
      <c r="M39" s="1397"/>
      <c r="N39" s="1254"/>
      <c r="O39" s="1254"/>
      <c r="P39" s="1254"/>
      <c r="U39" s="2080" t="s">
        <v>437</v>
      </c>
      <c r="V39" s="2080"/>
      <c r="W39" s="1389"/>
      <c r="X39" s="2082" t="str">
        <f>IF(TITLE_NUMBER_PR_CHANGE="",IF(TITLE_NUMBER_PR="","",TITLE_NUMBER_PR),TITLE_NUMBER_PR_CHANGE)</f>
        <v>262-р</v>
      </c>
      <c r="Y39" s="2082"/>
      <c r="Z39" s="2082"/>
      <c r="AA39" s="2082"/>
      <c r="AB39" s="2082"/>
      <c r="AC39" s="2082"/>
      <c r="AD39" s="2082"/>
      <c r="AE39" s="2082"/>
      <c r="AF39" s="314"/>
      <c r="AG39" s="2082" t="str">
        <f>IF(TITLE_NUMBER_PR_CHANGE="",IF(TITLE_NUMBER_PR="","",TITLE_NUMBER_PR),TITLE_NUMBER_PR_CHANGE)</f>
        <v>262-р</v>
      </c>
      <c r="AH39" s="2082"/>
      <c r="AI39" s="2082"/>
      <c r="AJ39" s="2082"/>
      <c r="AK39" s="2082"/>
      <c r="AL39" s="2082"/>
      <c r="AM39" s="2082"/>
      <c r="AN39" s="2082"/>
      <c r="AO39" s="314"/>
      <c r="AP39" s="2082" t="str">
        <f>IF(TITLE_NUMBER_PR_CHANGE="",IF(TITLE_NUMBER_PR="","",TITLE_NUMBER_PR),TITLE_NUMBER_PR_CHANGE)</f>
        <v>262-р</v>
      </c>
      <c r="AQ39" s="2082"/>
      <c r="AR39" s="2082"/>
      <c r="AS39" s="2082"/>
      <c r="AT39" s="2082"/>
      <c r="AU39" s="2082"/>
      <c r="AV39" s="2082"/>
      <c r="AW39" s="2082"/>
      <c r="AX39" s="1660"/>
      <c r="AY39" s="2082" t="str">
        <f>IF(TITLE_NUMBER_PR_CHANGE="",IF(TITLE_NUMBER_PR="","",TITLE_NUMBER_PR),TITLE_NUMBER_PR_CHANGE)</f>
        <v>262-р</v>
      </c>
      <c r="AZ39" s="2082"/>
      <c r="BA39" s="2082"/>
      <c r="BB39" s="2082"/>
      <c r="BC39" s="2082"/>
      <c r="BD39" s="2082"/>
      <c r="BE39" s="2082"/>
      <c r="BF39" s="2082"/>
      <c r="BG39" s="1660"/>
      <c r="BH39" s="2082" t="str">
        <f>IF(TITLE_NUMBER_PR_CHANGE="",IF(TITLE_NUMBER_PR="","",TITLE_NUMBER_PR),TITLE_NUMBER_PR_CHANGE)</f>
        <v>262-р</v>
      </c>
      <c r="BI39" s="2082"/>
      <c r="BJ39" s="2082"/>
      <c r="BK39" s="2082"/>
      <c r="BL39" s="2082"/>
      <c r="BM39" s="2082"/>
      <c r="BN39" s="2082"/>
      <c r="BO39" s="2082"/>
      <c r="BP39" s="1660"/>
      <c r="BQ39" s="2082" t="str">
        <f>IF(TITLE_NUMBER_PR_CHANGE="",IF(TITLE_NUMBER_PR="","",TITLE_NUMBER_PR),TITLE_NUMBER_PR_CHANGE)</f>
        <v>262-р</v>
      </c>
      <c r="BR39" s="2082"/>
      <c r="BS39" s="2082"/>
      <c r="BT39" s="2082"/>
      <c r="BU39" s="2082"/>
      <c r="BV39" s="2082"/>
      <c r="BW39" s="2082"/>
      <c r="BX39" s="2082"/>
      <c r="BY39" s="1660"/>
      <c r="BZ39" s="2082" t="str">
        <f>IF(TITLE_NUMBER_PR_CHANGE="",IF(TITLE_NUMBER_PR="","",TITLE_NUMBER_PR),TITLE_NUMBER_PR_CHANGE)</f>
        <v>262-р</v>
      </c>
      <c r="CA39" s="2082"/>
      <c r="CB39" s="2082"/>
      <c r="CC39" s="2082"/>
      <c r="CD39" s="2082"/>
      <c r="CE39" s="2082"/>
      <c r="CF39" s="2082"/>
      <c r="CG39" s="2082"/>
      <c r="CH39" s="1660"/>
      <c r="CI39" s="2082" t="str">
        <f>IF(TITLE_NUMBER_PR_CHANGE="",IF(TITLE_NUMBER_PR="","",TITLE_NUMBER_PR),TITLE_NUMBER_PR_CHANGE)</f>
        <v>262-р</v>
      </c>
      <c r="CJ39" s="2082"/>
      <c r="CK39" s="2082"/>
      <c r="CL39" s="2082"/>
      <c r="CM39" s="2082"/>
      <c r="CN39" s="2082"/>
      <c r="CO39" s="2082"/>
      <c r="CP39" s="2082"/>
      <c r="CQ39" s="1660"/>
      <c r="CR39" s="2082" t="str">
        <f>IF(TITLE_NUMBER_PR_CHANGE="",IF(TITLE_NUMBER_PR="","",TITLE_NUMBER_PR),TITLE_NUMBER_PR_CHANGE)</f>
        <v>262-р</v>
      </c>
      <c r="CS39" s="2082"/>
      <c r="CT39" s="2082"/>
      <c r="CU39" s="2082"/>
      <c r="CV39" s="2082"/>
      <c r="CW39" s="2082"/>
      <c r="CX39" s="2082"/>
      <c r="CY39" s="2082"/>
      <c r="CZ39" s="1660"/>
      <c r="DA39" s="2082" t="str">
        <f>IF(TITLE_NUMBER_PR_CHANGE="",IF(TITLE_NUMBER_PR="","",TITLE_NUMBER_PR),TITLE_NUMBER_PR_CHANGE)</f>
        <v>262-р</v>
      </c>
      <c r="DB39" s="2082"/>
      <c r="DC39" s="2082"/>
      <c r="DD39" s="2082"/>
      <c r="DE39" s="2082"/>
      <c r="DF39" s="2082"/>
      <c r="DG39" s="2082"/>
      <c r="DH39" s="2082"/>
      <c r="DI39" s="1660"/>
      <c r="DJ39" s="2082" t="str">
        <f>IF(TITLE_NUMBER_PR_CHANGE="",IF(TITLE_NUMBER_PR="","",TITLE_NUMBER_PR),TITLE_NUMBER_PR_CHANGE)</f>
        <v>262-р</v>
      </c>
      <c r="DK39" s="2082"/>
      <c r="DL39" s="2082"/>
      <c r="DM39" s="2082"/>
      <c r="DN39" s="2082"/>
      <c r="DO39" s="2082"/>
      <c r="DP39" s="2082"/>
      <c r="DQ39" s="2082"/>
      <c r="DR39" s="1660"/>
      <c r="DS39" s="314"/>
      <c r="DT39" s="261"/>
      <c r="DU39" s="360"/>
      <c r="DV39" s="360"/>
      <c r="DW39" s="360"/>
      <c r="DX39" s="360"/>
      <c r="DY39" s="360"/>
    </row>
    <row s="1877" customFormat="1" customHeight="1" ht="0">
      <c r="A40" s="1254"/>
      <c r="B40" s="1254"/>
      <c r="C40" s="1254"/>
      <c r="D40" s="1254"/>
      <c r="E40" s="1254"/>
      <c r="F40" s="1254"/>
      <c r="G40" s="1254"/>
      <c r="H40" s="1254"/>
      <c r="I40" s="1254"/>
      <c r="J40" s="1254"/>
      <c r="K40" s="1254"/>
      <c r="L40" s="1254"/>
      <c r="M40" s="1397"/>
      <c r="N40" s="1254"/>
      <c r="O40" s="1254"/>
      <c r="P40" s="1254"/>
      <c r="U40" s="310"/>
      <c r="V40" s="310"/>
      <c r="W40" s="1357"/>
      <c r="X40" s="314"/>
      <c r="Y40" s="314"/>
      <c r="Z40" s="314"/>
      <c r="AA40" s="314"/>
      <c r="AB40" s="314"/>
      <c r="AC40" s="314"/>
      <c r="AD40" s="314"/>
      <c r="AE40" s="314"/>
      <c r="AF40" s="259" t="s">
        <v>438</v>
      </c>
      <c r="AG40" s="314"/>
      <c r="AH40" s="314"/>
      <c r="AI40" s="314"/>
      <c r="AJ40" s="314"/>
      <c r="AK40" s="314"/>
      <c r="AL40" s="314"/>
      <c r="AM40" s="314"/>
      <c r="AN40" s="314"/>
      <c r="AO40" s="259" t="s">
        <v>438</v>
      </c>
      <c r="AP40" s="1660"/>
      <c r="AQ40" s="1660"/>
      <c r="AR40" s="1660"/>
      <c r="AS40" s="1660"/>
      <c r="AT40" s="1660"/>
      <c r="AU40" s="1660"/>
      <c r="AV40" s="1660"/>
      <c r="AW40" s="1660"/>
      <c r="AX40" s="1667" t="s">
        <v>438</v>
      </c>
      <c r="AY40" s="1660"/>
      <c r="AZ40" s="1660"/>
      <c r="BA40" s="1660"/>
      <c r="BB40" s="1660"/>
      <c r="BC40" s="1660"/>
      <c r="BD40" s="1660"/>
      <c r="BE40" s="1660"/>
      <c r="BF40" s="1660"/>
      <c r="BG40" s="1667" t="s">
        <v>438</v>
      </c>
      <c r="BH40" s="1660"/>
      <c r="BI40" s="1660"/>
      <c r="BJ40" s="1660"/>
      <c r="BK40" s="1660"/>
      <c r="BL40" s="1660"/>
      <c r="BM40" s="1660"/>
      <c r="BN40" s="1660"/>
      <c r="BO40" s="1660"/>
      <c r="BP40" s="1667" t="s">
        <v>438</v>
      </c>
      <c r="BQ40" s="1660"/>
      <c r="BR40" s="1660"/>
      <c r="BS40" s="1660"/>
      <c r="BT40" s="1660"/>
      <c r="BU40" s="1660"/>
      <c r="BV40" s="1660"/>
      <c r="BW40" s="1660"/>
      <c r="BX40" s="1660"/>
      <c r="BY40" s="1667" t="s">
        <v>438</v>
      </c>
      <c r="BZ40" s="1660"/>
      <c r="CA40" s="1660"/>
      <c r="CB40" s="1660"/>
      <c r="CC40" s="1660"/>
      <c r="CD40" s="1660"/>
      <c r="CE40" s="1660"/>
      <c r="CF40" s="1660"/>
      <c r="CG40" s="1660"/>
      <c r="CH40" s="1667" t="s">
        <v>438</v>
      </c>
      <c r="CI40" s="1660"/>
      <c r="CJ40" s="1660"/>
      <c r="CK40" s="1660"/>
      <c r="CL40" s="1660"/>
      <c r="CM40" s="1660"/>
      <c r="CN40" s="1660"/>
      <c r="CO40" s="1660"/>
      <c r="CP40" s="1660"/>
      <c r="CQ40" s="1667" t="s">
        <v>438</v>
      </c>
      <c r="CR40" s="1660"/>
      <c r="CS40" s="1660"/>
      <c r="CT40" s="1660"/>
      <c r="CU40" s="1660"/>
      <c r="CV40" s="1660"/>
      <c r="CW40" s="1660"/>
      <c r="CX40" s="1660"/>
      <c r="CY40" s="1660"/>
      <c r="CZ40" s="1667" t="s">
        <v>438</v>
      </c>
      <c r="DA40" s="1660"/>
      <c r="DB40" s="1660"/>
      <c r="DC40" s="1660"/>
      <c r="DD40" s="1660"/>
      <c r="DE40" s="1660"/>
      <c r="DF40" s="1660"/>
      <c r="DG40" s="1660"/>
      <c r="DH40" s="1660"/>
      <c r="DI40" s="1667" t="s">
        <v>438</v>
      </c>
      <c r="DJ40" s="1660"/>
      <c r="DK40" s="1660"/>
      <c r="DL40" s="1660"/>
      <c r="DM40" s="1660"/>
      <c r="DN40" s="1660"/>
      <c r="DO40" s="1660"/>
      <c r="DP40" s="1660"/>
      <c r="DQ40" s="1660"/>
      <c r="DR40" s="1667" t="s">
        <v>438</v>
      </c>
      <c r="DU40" s="360"/>
      <c r="DV40" s="360"/>
      <c r="DW40" s="360"/>
      <c r="DX40" s="360"/>
      <c r="DY40" s="360"/>
    </row>
    <row customHeight="1" ht="14.25">
      <c r="R41" s="368"/>
      <c r="S41" s="368"/>
      <c r="T41" s="368"/>
      <c r="U41" s="1292"/>
      <c r="V41" s="353"/>
      <c r="W41" s="1249"/>
      <c r="X41" s="2106"/>
      <c r="Y41" s="2106"/>
      <c r="Z41" s="2106"/>
      <c r="AA41" s="2106"/>
      <c r="AB41" s="2106"/>
      <c r="AC41" s="2106"/>
      <c r="AD41" s="2106"/>
      <c r="AE41" s="2106"/>
      <c r="AF41" s="2106"/>
      <c r="AG41" s="2106"/>
      <c r="AH41" s="2106"/>
      <c r="AI41" s="2106"/>
      <c r="AJ41" s="2106"/>
      <c r="AK41" s="2106"/>
      <c r="AL41" s="2106"/>
      <c r="AM41" s="2106"/>
      <c r="AN41" s="2106"/>
      <c r="AO41" s="2106"/>
      <c r="AP41" s="2106" t="s">
        <v>163</v>
      </c>
      <c r="AQ41" s="2106"/>
      <c r="AR41" s="2106"/>
      <c r="AS41" s="2106"/>
      <c r="AT41" s="2106"/>
      <c r="AU41" s="2106"/>
      <c r="AV41" s="2106"/>
      <c r="AW41" s="2106"/>
      <c r="AX41" s="2106"/>
      <c r="AY41" s="2106" t="s">
        <v>163</v>
      </c>
      <c r="AZ41" s="2106"/>
      <c r="BA41" s="2106"/>
      <c r="BB41" s="2106"/>
      <c r="BC41" s="2106"/>
      <c r="BD41" s="2106"/>
      <c r="BE41" s="2106"/>
      <c r="BF41" s="2106"/>
      <c r="BG41" s="2106"/>
      <c r="BH41" s="2106" t="s">
        <v>163</v>
      </c>
      <c r="BI41" s="2106"/>
      <c r="BJ41" s="2106"/>
      <c r="BK41" s="2106"/>
      <c r="BL41" s="2106"/>
      <c r="BM41" s="2106"/>
      <c r="BN41" s="2106"/>
      <c r="BO41" s="2106"/>
      <c r="BP41" s="2106"/>
      <c r="BQ41" s="2106" t="s">
        <v>163</v>
      </c>
      <c r="BR41" s="2106"/>
      <c r="BS41" s="2106"/>
      <c r="BT41" s="2106"/>
      <c r="BU41" s="2106"/>
      <c r="BV41" s="2106"/>
      <c r="BW41" s="2106"/>
      <c r="BX41" s="2106"/>
      <c r="BY41" s="2106"/>
      <c r="BZ41" s="2106" t="s">
        <v>163</v>
      </c>
      <c r="CA41" s="2106"/>
      <c r="CB41" s="2106"/>
      <c r="CC41" s="2106"/>
      <c r="CD41" s="2106"/>
      <c r="CE41" s="2106"/>
      <c r="CF41" s="2106"/>
      <c r="CG41" s="2106"/>
      <c r="CH41" s="2106"/>
      <c r="CI41" s="2106" t="s">
        <v>163</v>
      </c>
      <c r="CJ41" s="2106"/>
      <c r="CK41" s="2106"/>
      <c r="CL41" s="2106"/>
      <c r="CM41" s="2106"/>
      <c r="CN41" s="2106"/>
      <c r="CO41" s="2106"/>
      <c r="CP41" s="2106"/>
      <c r="CQ41" s="2106"/>
      <c r="CR41" s="2106" t="s">
        <v>163</v>
      </c>
      <c r="CS41" s="2106"/>
      <c r="CT41" s="2106"/>
      <c r="CU41" s="2106"/>
      <c r="CV41" s="2106"/>
      <c r="CW41" s="2106"/>
      <c r="CX41" s="2106"/>
      <c r="CY41" s="2106"/>
      <c r="CZ41" s="2106"/>
      <c r="DA41" s="2106" t="s">
        <v>163</v>
      </c>
      <c r="DB41" s="2106"/>
      <c r="DC41" s="2106"/>
      <c r="DD41" s="2106"/>
      <c r="DE41" s="2106"/>
      <c r="DF41" s="2106"/>
      <c r="DG41" s="2106"/>
      <c r="DH41" s="2106"/>
      <c r="DI41" s="2106"/>
      <c r="DJ41" s="2106" t="s">
        <v>163</v>
      </c>
      <c r="DK41" s="2106"/>
      <c r="DL41" s="2106"/>
      <c r="DM41" s="2106"/>
      <c r="DN41" s="2106"/>
      <c r="DO41" s="2106"/>
      <c r="DP41" s="2106"/>
      <c r="DQ41" s="2106"/>
      <c r="DR41" s="2106"/>
    </row>
    <row customHeight="1" ht="14.25">
      <c r="R42" s="368"/>
      <c r="S42" s="368"/>
      <c r="T42" s="368"/>
      <c r="U42" s="1953" t="s">
        <v>312</v>
      </c>
      <c r="V42" s="1953"/>
      <c r="W42" s="1953"/>
      <c r="X42" s="1953"/>
      <c r="Y42" s="1953"/>
      <c r="Z42" s="1953"/>
      <c r="AA42" s="1953"/>
      <c r="AB42" s="1953"/>
      <c r="AC42" s="1953"/>
      <c r="AD42" s="1953"/>
      <c r="AE42" s="1953"/>
      <c r="AF42" s="1953"/>
      <c r="AG42" s="1953"/>
      <c r="AH42" s="1953"/>
      <c r="AI42" s="1953"/>
      <c r="AJ42" s="1953"/>
      <c r="AK42" s="1953"/>
      <c r="AL42" s="1953"/>
      <c r="AM42" s="1953"/>
      <c r="AN42" s="1953"/>
      <c r="AO42" s="1953"/>
      <c r="AP42" s="2017" t="s">
        <v>312</v>
      </c>
      <c r="AQ42" s="2017"/>
      <c r="AR42" s="2017"/>
      <c r="AS42" s="2017"/>
      <c r="AT42" s="2017"/>
      <c r="AU42" s="2017"/>
      <c r="AV42" s="2017"/>
      <c r="AW42" s="2017"/>
      <c r="AX42" s="2017"/>
      <c r="AY42" s="2017" t="s">
        <v>312</v>
      </c>
      <c r="AZ42" s="2017"/>
      <c r="BA42" s="2017"/>
      <c r="BB42" s="2017"/>
      <c r="BC42" s="2017"/>
      <c r="BD42" s="2017"/>
      <c r="BE42" s="2017"/>
      <c r="BF42" s="2017"/>
      <c r="BG42" s="2017"/>
      <c r="BH42" s="2017" t="s">
        <v>312</v>
      </c>
      <c r="BI42" s="2017"/>
      <c r="BJ42" s="2017"/>
      <c r="BK42" s="2017"/>
      <c r="BL42" s="2017"/>
      <c r="BM42" s="2017"/>
      <c r="BN42" s="2017"/>
      <c r="BO42" s="2017"/>
      <c r="BP42" s="2017"/>
      <c r="BQ42" s="2017" t="s">
        <v>312</v>
      </c>
      <c r="BR42" s="2017"/>
      <c r="BS42" s="2017"/>
      <c r="BT42" s="2017"/>
      <c r="BU42" s="2017"/>
      <c r="BV42" s="2017"/>
      <c r="BW42" s="2017"/>
      <c r="BX42" s="2017"/>
      <c r="BY42" s="2017"/>
      <c r="BZ42" s="2017" t="s">
        <v>312</v>
      </c>
      <c r="CA42" s="2017"/>
      <c r="CB42" s="2017"/>
      <c r="CC42" s="2017"/>
      <c r="CD42" s="2017"/>
      <c r="CE42" s="2017"/>
      <c r="CF42" s="2017"/>
      <c r="CG42" s="2017"/>
      <c r="CH42" s="2017"/>
      <c r="CI42" s="2017" t="s">
        <v>312</v>
      </c>
      <c r="CJ42" s="2017"/>
      <c r="CK42" s="2017"/>
      <c r="CL42" s="2017"/>
      <c r="CM42" s="2017"/>
      <c r="CN42" s="2017"/>
      <c r="CO42" s="2017"/>
      <c r="CP42" s="2017"/>
      <c r="CQ42" s="2017"/>
      <c r="CR42" s="2017" t="s">
        <v>312</v>
      </c>
      <c r="CS42" s="2017"/>
      <c r="CT42" s="2017"/>
      <c r="CU42" s="2017"/>
      <c r="CV42" s="2017"/>
      <c r="CW42" s="2017"/>
      <c r="CX42" s="2017"/>
      <c r="CY42" s="2017"/>
      <c r="CZ42" s="2017"/>
      <c r="DA42" s="2017" t="s">
        <v>312</v>
      </c>
      <c r="DB42" s="2017"/>
      <c r="DC42" s="2017"/>
      <c r="DD42" s="2017"/>
      <c r="DE42" s="2017"/>
      <c r="DF42" s="2017"/>
      <c r="DG42" s="2017"/>
      <c r="DH42" s="2017"/>
      <c r="DI42" s="2017"/>
      <c r="DJ42" s="2017" t="s">
        <v>312</v>
      </c>
      <c r="DK42" s="2017"/>
      <c r="DL42" s="2017"/>
      <c r="DM42" s="2017"/>
      <c r="DN42" s="2017"/>
      <c r="DO42" s="2017"/>
      <c r="DP42" s="2017"/>
      <c r="DQ42" s="2017"/>
      <c r="DR42" s="2017"/>
      <c r="DS42" s="1953"/>
      <c r="DT42" s="1953"/>
    </row>
    <row customHeight="1" ht="14.25">
      <c r="R43" s="368"/>
      <c r="S43" s="368"/>
      <c r="T43" s="368"/>
      <c r="U43" s="2107" t="s">
        <v>87</v>
      </c>
      <c r="V43" s="2044" t="s">
        <v>439</v>
      </c>
      <c r="W43" s="281"/>
      <c r="X43" s="2108" t="s">
        <v>440</v>
      </c>
      <c r="Y43" s="2128"/>
      <c r="Z43" s="2128"/>
      <c r="AA43" s="2128"/>
      <c r="AB43" s="2128"/>
      <c r="AC43" s="2109"/>
      <c r="AD43" s="2109"/>
      <c r="AE43" s="2110"/>
      <c r="AF43" s="2111" t="s">
        <v>441</v>
      </c>
      <c r="AG43" s="2108" t="s">
        <v>440</v>
      </c>
      <c r="AH43" s="2128"/>
      <c r="AI43" s="2128"/>
      <c r="AJ43" s="2128"/>
      <c r="AK43" s="2128"/>
      <c r="AL43" s="2109"/>
      <c r="AM43" s="2109"/>
      <c r="AN43" s="2110"/>
      <c r="AO43" s="2111" t="s">
        <v>442</v>
      </c>
      <c r="AP43" s="2224" t="s">
        <v>440</v>
      </c>
      <c r="AQ43" s="2128"/>
      <c r="AR43" s="2128"/>
      <c r="AS43" s="2128"/>
      <c r="AT43" s="2128"/>
      <c r="AU43" s="2225"/>
      <c r="AV43" s="2225"/>
      <c r="AW43" s="2226"/>
      <c r="AX43" s="2111" t="s">
        <v>441</v>
      </c>
      <c r="AY43" s="2224" t="s">
        <v>440</v>
      </c>
      <c r="AZ43" s="2128"/>
      <c r="BA43" s="2128"/>
      <c r="BB43" s="2128"/>
      <c r="BC43" s="2128"/>
      <c r="BD43" s="2225"/>
      <c r="BE43" s="2225"/>
      <c r="BF43" s="2226"/>
      <c r="BG43" s="2111" t="s">
        <v>441</v>
      </c>
      <c r="BH43" s="2224" t="s">
        <v>440</v>
      </c>
      <c r="BI43" s="2128"/>
      <c r="BJ43" s="2128"/>
      <c r="BK43" s="2128"/>
      <c r="BL43" s="2128"/>
      <c r="BM43" s="2225"/>
      <c r="BN43" s="2225"/>
      <c r="BO43" s="2226"/>
      <c r="BP43" s="2111" t="s">
        <v>441</v>
      </c>
      <c r="BQ43" s="2224" t="s">
        <v>440</v>
      </c>
      <c r="BR43" s="2128"/>
      <c r="BS43" s="2128"/>
      <c r="BT43" s="2128"/>
      <c r="BU43" s="2128"/>
      <c r="BV43" s="2225"/>
      <c r="BW43" s="2225"/>
      <c r="BX43" s="2226"/>
      <c r="BY43" s="2111" t="s">
        <v>441</v>
      </c>
      <c r="BZ43" s="2224" t="s">
        <v>440</v>
      </c>
      <c r="CA43" s="2128"/>
      <c r="CB43" s="2128"/>
      <c r="CC43" s="2128"/>
      <c r="CD43" s="2128"/>
      <c r="CE43" s="2225"/>
      <c r="CF43" s="2225"/>
      <c r="CG43" s="2226"/>
      <c r="CH43" s="2111" t="s">
        <v>441</v>
      </c>
      <c r="CI43" s="2224" t="s">
        <v>440</v>
      </c>
      <c r="CJ43" s="2128"/>
      <c r="CK43" s="2128"/>
      <c r="CL43" s="2128"/>
      <c r="CM43" s="2128"/>
      <c r="CN43" s="2225"/>
      <c r="CO43" s="2225"/>
      <c r="CP43" s="2226"/>
      <c r="CQ43" s="2111" t="s">
        <v>441</v>
      </c>
      <c r="CR43" s="2224" t="s">
        <v>440</v>
      </c>
      <c r="CS43" s="2128"/>
      <c r="CT43" s="2128"/>
      <c r="CU43" s="2128"/>
      <c r="CV43" s="2128"/>
      <c r="CW43" s="2225"/>
      <c r="CX43" s="2225"/>
      <c r="CY43" s="2226"/>
      <c r="CZ43" s="2111" t="s">
        <v>441</v>
      </c>
      <c r="DA43" s="2224" t="s">
        <v>440</v>
      </c>
      <c r="DB43" s="2128"/>
      <c r="DC43" s="2128"/>
      <c r="DD43" s="2128"/>
      <c r="DE43" s="2128"/>
      <c r="DF43" s="2225"/>
      <c r="DG43" s="2225"/>
      <c r="DH43" s="2226"/>
      <c r="DI43" s="2111" t="s">
        <v>441</v>
      </c>
      <c r="DJ43" s="2224" t="s">
        <v>440</v>
      </c>
      <c r="DK43" s="2128"/>
      <c r="DL43" s="2128"/>
      <c r="DM43" s="2128"/>
      <c r="DN43" s="2128"/>
      <c r="DO43" s="2225"/>
      <c r="DP43" s="2225"/>
      <c r="DQ43" s="2226"/>
      <c r="DR43" s="2111" t="s">
        <v>441</v>
      </c>
      <c r="DS43" s="2114" t="s">
        <v>443</v>
      </c>
      <c r="DT43" s="1953"/>
    </row>
    <row customHeight="1" ht="33.75">
      <c r="R44" s="368"/>
      <c r="S44" s="368"/>
      <c r="T44" s="368"/>
      <c r="U44" s="2107"/>
      <c r="V44" s="2044"/>
      <c r="W44" s="1026"/>
      <c r="X44" s="2126" t="s">
        <v>470</v>
      </c>
      <c r="Y44" s="2135" t="s">
        <v>471</v>
      </c>
      <c r="Z44" s="2135"/>
      <c r="AA44" s="2135"/>
      <c r="AB44" s="2135"/>
      <c r="AC44" s="2126" t="s">
        <v>447</v>
      </c>
      <c r="AD44" s="4992"/>
      <c r="AE44" s="2145"/>
      <c r="AF44" s="2112"/>
      <c r="AG44" s="2126" t="s">
        <v>470</v>
      </c>
      <c r="AH44" s="2135" t="s">
        <v>471</v>
      </c>
      <c r="AI44" s="2135"/>
      <c r="AJ44" s="2135"/>
      <c r="AK44" s="2135"/>
      <c r="AL44" s="2126" t="s">
        <v>447</v>
      </c>
      <c r="AM44" s="4992"/>
      <c r="AN44" s="2145"/>
      <c r="AO44" s="2112"/>
      <c r="AP44" s="2011" t="s">
        <v>470</v>
      </c>
      <c r="AQ44" s="2017" t="s">
        <v>471</v>
      </c>
      <c r="AR44" s="2017"/>
      <c r="AS44" s="2017"/>
      <c r="AT44" s="2017"/>
      <c r="AU44" s="2011" t="s">
        <v>447</v>
      </c>
      <c r="AV44" s="4992"/>
      <c r="AW44" s="2012"/>
      <c r="AX44" s="2112"/>
      <c r="AY44" s="2011" t="s">
        <v>470</v>
      </c>
      <c r="AZ44" s="2017" t="s">
        <v>471</v>
      </c>
      <c r="BA44" s="2017"/>
      <c r="BB44" s="2017"/>
      <c r="BC44" s="2017"/>
      <c r="BD44" s="2011" t="s">
        <v>447</v>
      </c>
      <c r="BE44" s="4992"/>
      <c r="BF44" s="2012"/>
      <c r="BG44" s="2112"/>
      <c r="BH44" s="2011" t="s">
        <v>470</v>
      </c>
      <c r="BI44" s="2017" t="s">
        <v>471</v>
      </c>
      <c r="BJ44" s="2017"/>
      <c r="BK44" s="2017"/>
      <c r="BL44" s="2017"/>
      <c r="BM44" s="2011" t="s">
        <v>447</v>
      </c>
      <c r="BN44" s="4992"/>
      <c r="BO44" s="2012"/>
      <c r="BP44" s="2112"/>
      <c r="BQ44" s="2011" t="s">
        <v>470</v>
      </c>
      <c r="BR44" s="2017" t="s">
        <v>471</v>
      </c>
      <c r="BS44" s="2017"/>
      <c r="BT44" s="2017"/>
      <c r="BU44" s="2017"/>
      <c r="BV44" s="2011" t="s">
        <v>447</v>
      </c>
      <c r="BW44" s="4992"/>
      <c r="BX44" s="2012"/>
      <c r="BY44" s="2112"/>
      <c r="BZ44" s="2011" t="s">
        <v>470</v>
      </c>
      <c r="CA44" s="2017" t="s">
        <v>471</v>
      </c>
      <c r="CB44" s="2017"/>
      <c r="CC44" s="2017"/>
      <c r="CD44" s="2017"/>
      <c r="CE44" s="2011" t="s">
        <v>447</v>
      </c>
      <c r="CF44" s="4992"/>
      <c r="CG44" s="2012"/>
      <c r="CH44" s="2112"/>
      <c r="CI44" s="2011" t="s">
        <v>470</v>
      </c>
      <c r="CJ44" s="2017" t="s">
        <v>471</v>
      </c>
      <c r="CK44" s="2017"/>
      <c r="CL44" s="2017"/>
      <c r="CM44" s="2017"/>
      <c r="CN44" s="2011" t="s">
        <v>447</v>
      </c>
      <c r="CO44" s="4992"/>
      <c r="CP44" s="2012"/>
      <c r="CQ44" s="2112"/>
      <c r="CR44" s="2011" t="s">
        <v>470</v>
      </c>
      <c r="CS44" s="2017" t="s">
        <v>471</v>
      </c>
      <c r="CT44" s="2017"/>
      <c r="CU44" s="2017"/>
      <c r="CV44" s="2017"/>
      <c r="CW44" s="2011" t="s">
        <v>447</v>
      </c>
      <c r="CX44" s="4992"/>
      <c r="CY44" s="2012"/>
      <c r="CZ44" s="2112"/>
      <c r="DA44" s="2011" t="s">
        <v>470</v>
      </c>
      <c r="DB44" s="2017" t="s">
        <v>471</v>
      </c>
      <c r="DC44" s="2017"/>
      <c r="DD44" s="2017"/>
      <c r="DE44" s="2017"/>
      <c r="DF44" s="2011" t="s">
        <v>447</v>
      </c>
      <c r="DG44" s="4992"/>
      <c r="DH44" s="2012"/>
      <c r="DI44" s="2112"/>
      <c r="DJ44" s="2011" t="s">
        <v>470</v>
      </c>
      <c r="DK44" s="2017" t="s">
        <v>471</v>
      </c>
      <c r="DL44" s="2017"/>
      <c r="DM44" s="2017"/>
      <c r="DN44" s="2017"/>
      <c r="DO44" s="2011" t="s">
        <v>447</v>
      </c>
      <c r="DP44" s="4992"/>
      <c r="DQ44" s="2012"/>
      <c r="DR44" s="2112"/>
      <c r="DS44" s="2115"/>
      <c r="DT44" s="1953"/>
    </row>
    <row customHeight="1" ht="14.25">
      <c r="R45" s="368"/>
      <c r="S45" s="368"/>
      <c r="T45" s="368"/>
      <c r="U45" s="2107"/>
      <c r="V45" s="2044"/>
      <c r="W45" s="1026"/>
      <c r="X45" s="2148"/>
      <c r="Y45" s="2136" t="s">
        <v>472</v>
      </c>
      <c r="Z45" s="2103" t="s">
        <v>473</v>
      </c>
      <c r="AA45" s="2139"/>
      <c r="AB45" s="2104"/>
      <c r="AC45" s="2127"/>
      <c r="AD45" s="4993"/>
      <c r="AE45" s="2147"/>
      <c r="AF45" s="2112"/>
      <c r="AG45" s="2148"/>
      <c r="AH45" s="2136" t="s">
        <v>472</v>
      </c>
      <c r="AI45" s="2103" t="s">
        <v>473</v>
      </c>
      <c r="AJ45" s="2139"/>
      <c r="AK45" s="2104"/>
      <c r="AL45" s="2127"/>
      <c r="AM45" s="4993"/>
      <c r="AN45" s="2147"/>
      <c r="AO45" s="2112"/>
      <c r="AP45" s="2013"/>
      <c r="AQ45" s="2055" t="s">
        <v>472</v>
      </c>
      <c r="AR45" s="2050" t="s">
        <v>473</v>
      </c>
      <c r="AS45" s="2065"/>
      <c r="AT45" s="2066"/>
      <c r="AU45" s="2019"/>
      <c r="AV45" s="4993"/>
      <c r="AW45" s="2020"/>
      <c r="AX45" s="2112"/>
      <c r="AY45" s="2013"/>
      <c r="AZ45" s="2055" t="s">
        <v>472</v>
      </c>
      <c r="BA45" s="2050" t="s">
        <v>473</v>
      </c>
      <c r="BB45" s="2065"/>
      <c r="BC45" s="2066"/>
      <c r="BD45" s="2019"/>
      <c r="BE45" s="4993"/>
      <c r="BF45" s="2020"/>
      <c r="BG45" s="2112"/>
      <c r="BH45" s="2013"/>
      <c r="BI45" s="2055" t="s">
        <v>472</v>
      </c>
      <c r="BJ45" s="2050" t="s">
        <v>473</v>
      </c>
      <c r="BK45" s="2065"/>
      <c r="BL45" s="2066"/>
      <c r="BM45" s="2019"/>
      <c r="BN45" s="4993"/>
      <c r="BO45" s="2020"/>
      <c r="BP45" s="2112"/>
      <c r="BQ45" s="2013"/>
      <c r="BR45" s="2055" t="s">
        <v>472</v>
      </c>
      <c r="BS45" s="2050" t="s">
        <v>473</v>
      </c>
      <c r="BT45" s="2065"/>
      <c r="BU45" s="2066"/>
      <c r="BV45" s="2019"/>
      <c r="BW45" s="4993"/>
      <c r="BX45" s="2020"/>
      <c r="BY45" s="2112"/>
      <c r="BZ45" s="2013"/>
      <c r="CA45" s="2055" t="s">
        <v>472</v>
      </c>
      <c r="CB45" s="2050" t="s">
        <v>473</v>
      </c>
      <c r="CC45" s="2065"/>
      <c r="CD45" s="2066"/>
      <c r="CE45" s="2019"/>
      <c r="CF45" s="4993"/>
      <c r="CG45" s="2020"/>
      <c r="CH45" s="2112"/>
      <c r="CI45" s="2013"/>
      <c r="CJ45" s="2055" t="s">
        <v>472</v>
      </c>
      <c r="CK45" s="2050" t="s">
        <v>473</v>
      </c>
      <c r="CL45" s="2065"/>
      <c r="CM45" s="2066"/>
      <c r="CN45" s="2019"/>
      <c r="CO45" s="4993"/>
      <c r="CP45" s="2020"/>
      <c r="CQ45" s="2112"/>
      <c r="CR45" s="2013"/>
      <c r="CS45" s="2055" t="s">
        <v>472</v>
      </c>
      <c r="CT45" s="2050" t="s">
        <v>473</v>
      </c>
      <c r="CU45" s="2065"/>
      <c r="CV45" s="2066"/>
      <c r="CW45" s="2019"/>
      <c r="CX45" s="4993"/>
      <c r="CY45" s="2020"/>
      <c r="CZ45" s="2112"/>
      <c r="DA45" s="2013"/>
      <c r="DB45" s="2055" t="s">
        <v>472</v>
      </c>
      <c r="DC45" s="2050" t="s">
        <v>473</v>
      </c>
      <c r="DD45" s="2065"/>
      <c r="DE45" s="2066"/>
      <c r="DF45" s="2019"/>
      <c r="DG45" s="4993"/>
      <c r="DH45" s="2020"/>
      <c r="DI45" s="2112"/>
      <c r="DJ45" s="2013"/>
      <c r="DK45" s="2055" t="s">
        <v>472</v>
      </c>
      <c r="DL45" s="2050" t="s">
        <v>473</v>
      </c>
      <c r="DM45" s="2065"/>
      <c r="DN45" s="2066"/>
      <c r="DO45" s="2019"/>
      <c r="DP45" s="4993"/>
      <c r="DQ45" s="2020"/>
      <c r="DR45" s="2112"/>
      <c r="DS45" s="2115"/>
      <c r="DT45" s="1953"/>
    </row>
    <row customHeight="1" ht="25.5">
      <c r="R46" s="368"/>
      <c r="S46" s="368"/>
      <c r="T46" s="368"/>
      <c r="U46" s="2107"/>
      <c r="V46" s="2044"/>
      <c r="W46" s="1026"/>
      <c r="X46" s="2148"/>
      <c r="Y46" s="2137"/>
      <c r="Z46" s="2136" t="s">
        <v>474</v>
      </c>
      <c r="AA46" s="2103" t="s">
        <v>475</v>
      </c>
      <c r="AB46" s="2104"/>
      <c r="AC46" s="2136" t="s">
        <v>457</v>
      </c>
      <c r="AD46" s="2140" t="s">
        <v>458</v>
      </c>
      <c r="AE46" s="2141"/>
      <c r="AF46" s="2112"/>
      <c r="AG46" s="2148"/>
      <c r="AH46" s="2137"/>
      <c r="AI46" s="2136" t="s">
        <v>474</v>
      </c>
      <c r="AJ46" s="2103" t="s">
        <v>475</v>
      </c>
      <c r="AK46" s="2104"/>
      <c r="AL46" s="2136" t="s">
        <v>457</v>
      </c>
      <c r="AM46" s="2140" t="s">
        <v>458</v>
      </c>
      <c r="AN46" s="2141"/>
      <c r="AO46" s="2112"/>
      <c r="AP46" s="2013"/>
      <c r="AQ46" s="1900"/>
      <c r="AR46" s="2055" t="s">
        <v>474</v>
      </c>
      <c r="AS46" s="2050" t="s">
        <v>475</v>
      </c>
      <c r="AT46" s="2066"/>
      <c r="AU46" s="2055" t="s">
        <v>457</v>
      </c>
      <c r="AV46" s="2057" t="s">
        <v>458</v>
      </c>
      <c r="AW46" s="2053"/>
      <c r="AX46" s="2112"/>
      <c r="AY46" s="2013"/>
      <c r="AZ46" s="1900"/>
      <c r="BA46" s="2055" t="s">
        <v>474</v>
      </c>
      <c r="BB46" s="2050" t="s">
        <v>475</v>
      </c>
      <c r="BC46" s="2066"/>
      <c r="BD46" s="2055" t="s">
        <v>457</v>
      </c>
      <c r="BE46" s="2057" t="s">
        <v>458</v>
      </c>
      <c r="BF46" s="2053"/>
      <c r="BG46" s="2112"/>
      <c r="BH46" s="2013"/>
      <c r="BI46" s="1900"/>
      <c r="BJ46" s="2055" t="s">
        <v>474</v>
      </c>
      <c r="BK46" s="2050" t="s">
        <v>475</v>
      </c>
      <c r="BL46" s="2066"/>
      <c r="BM46" s="2055" t="s">
        <v>457</v>
      </c>
      <c r="BN46" s="2057" t="s">
        <v>458</v>
      </c>
      <c r="BO46" s="2053"/>
      <c r="BP46" s="2112"/>
      <c r="BQ46" s="2013"/>
      <c r="BR46" s="1900"/>
      <c r="BS46" s="2055" t="s">
        <v>474</v>
      </c>
      <c r="BT46" s="2050" t="s">
        <v>475</v>
      </c>
      <c r="BU46" s="2066"/>
      <c r="BV46" s="2055" t="s">
        <v>457</v>
      </c>
      <c r="BW46" s="2057" t="s">
        <v>458</v>
      </c>
      <c r="BX46" s="2053"/>
      <c r="BY46" s="2112"/>
      <c r="BZ46" s="2013"/>
      <c r="CA46" s="1900"/>
      <c r="CB46" s="2055" t="s">
        <v>474</v>
      </c>
      <c r="CC46" s="2050" t="s">
        <v>475</v>
      </c>
      <c r="CD46" s="2066"/>
      <c r="CE46" s="2055" t="s">
        <v>457</v>
      </c>
      <c r="CF46" s="2057" t="s">
        <v>458</v>
      </c>
      <c r="CG46" s="2053"/>
      <c r="CH46" s="2112"/>
      <c r="CI46" s="2013"/>
      <c r="CJ46" s="1900"/>
      <c r="CK46" s="2055" t="s">
        <v>474</v>
      </c>
      <c r="CL46" s="2050" t="s">
        <v>475</v>
      </c>
      <c r="CM46" s="2066"/>
      <c r="CN46" s="2055" t="s">
        <v>457</v>
      </c>
      <c r="CO46" s="2057" t="s">
        <v>458</v>
      </c>
      <c r="CP46" s="2053"/>
      <c r="CQ46" s="2112"/>
      <c r="CR46" s="2013"/>
      <c r="CS46" s="1900"/>
      <c r="CT46" s="2055" t="s">
        <v>474</v>
      </c>
      <c r="CU46" s="2050" t="s">
        <v>475</v>
      </c>
      <c r="CV46" s="2066"/>
      <c r="CW46" s="2055" t="s">
        <v>457</v>
      </c>
      <c r="CX46" s="2057" t="s">
        <v>458</v>
      </c>
      <c r="CY46" s="2053"/>
      <c r="CZ46" s="2112"/>
      <c r="DA46" s="2013"/>
      <c r="DB46" s="1900"/>
      <c r="DC46" s="2055" t="s">
        <v>474</v>
      </c>
      <c r="DD46" s="2050" t="s">
        <v>475</v>
      </c>
      <c r="DE46" s="2066"/>
      <c r="DF46" s="2055" t="s">
        <v>457</v>
      </c>
      <c r="DG46" s="2057" t="s">
        <v>458</v>
      </c>
      <c r="DH46" s="2053"/>
      <c r="DI46" s="2112"/>
      <c r="DJ46" s="2013"/>
      <c r="DK46" s="1900"/>
      <c r="DL46" s="2055" t="s">
        <v>474</v>
      </c>
      <c r="DM46" s="2050" t="s">
        <v>475</v>
      </c>
      <c r="DN46" s="2066"/>
      <c r="DO46" s="2055" t="s">
        <v>457</v>
      </c>
      <c r="DP46" s="2057" t="s">
        <v>458</v>
      </c>
      <c r="DQ46" s="2053"/>
      <c r="DR46" s="2112"/>
      <c r="DS46" s="2115"/>
      <c r="DT46" s="1953"/>
    </row>
    <row customHeight="1" ht="62.25">
      <c r="A47" s="1275"/>
      <c r="B47" s="1275" t="s">
        <v>134</v>
      </c>
      <c r="C47" s="1275" t="s">
        <v>135</v>
      </c>
      <c r="D47" s="1275" t="s">
        <v>136</v>
      </c>
      <c r="E47" s="1327" t="s">
        <v>448</v>
      </c>
      <c r="F47" s="1327" t="s">
        <v>449</v>
      </c>
      <c r="G47" s="1327" t="s">
        <v>450</v>
      </c>
      <c r="H47" s="1327" t="s">
        <v>451</v>
      </c>
      <c r="I47" s="1327" t="s">
        <v>452</v>
      </c>
      <c r="J47" s="1327" t="s">
        <v>453</v>
      </c>
      <c r="K47" s="1327" t="s">
        <v>454</v>
      </c>
      <c r="L47" s="1327" t="s">
        <v>476</v>
      </c>
      <c r="M47" s="1327" t="s">
        <v>429</v>
      </c>
      <c r="R47" s="368"/>
      <c r="S47" s="368"/>
      <c r="T47" s="368"/>
      <c r="U47" s="2107"/>
      <c r="V47" s="2044"/>
      <c r="W47" s="282"/>
      <c r="X47" s="2127"/>
      <c r="Y47" s="2138"/>
      <c r="Z47" s="2138"/>
      <c r="AA47" s="1224" t="s">
        <v>477</v>
      </c>
      <c r="AB47" s="1224" t="s">
        <v>478</v>
      </c>
      <c r="AC47" s="2138"/>
      <c r="AD47" s="2142"/>
      <c r="AE47" s="2143"/>
      <c r="AF47" s="2113"/>
      <c r="AG47" s="2127"/>
      <c r="AH47" s="2138"/>
      <c r="AI47" s="2138"/>
      <c r="AJ47" s="1224" t="s">
        <v>477</v>
      </c>
      <c r="AK47" s="1224" t="s">
        <v>478</v>
      </c>
      <c r="AL47" s="2138"/>
      <c r="AM47" s="2142"/>
      <c r="AN47" s="2143"/>
      <c r="AO47" s="2113"/>
      <c r="AP47" s="2019"/>
      <c r="AQ47" s="2056"/>
      <c r="AR47" s="2056"/>
      <c r="AS47" s="2360" t="s">
        <v>477</v>
      </c>
      <c r="AT47" s="2360" t="s">
        <v>478</v>
      </c>
      <c r="AU47" s="2056"/>
      <c r="AV47" s="2058"/>
      <c r="AW47" s="2054"/>
      <c r="AX47" s="2113"/>
      <c r="AY47" s="2019"/>
      <c r="AZ47" s="2056"/>
      <c r="BA47" s="2056"/>
      <c r="BB47" s="2360" t="s">
        <v>477</v>
      </c>
      <c r="BC47" s="2360" t="s">
        <v>478</v>
      </c>
      <c r="BD47" s="2056"/>
      <c r="BE47" s="2058"/>
      <c r="BF47" s="2054"/>
      <c r="BG47" s="2113"/>
      <c r="BH47" s="2019"/>
      <c r="BI47" s="2056"/>
      <c r="BJ47" s="2056"/>
      <c r="BK47" s="2360" t="s">
        <v>477</v>
      </c>
      <c r="BL47" s="2360" t="s">
        <v>478</v>
      </c>
      <c r="BM47" s="2056"/>
      <c r="BN47" s="2058"/>
      <c r="BO47" s="2054"/>
      <c r="BP47" s="2113"/>
      <c r="BQ47" s="2019"/>
      <c r="BR47" s="2056"/>
      <c r="BS47" s="2056"/>
      <c r="BT47" s="2360" t="s">
        <v>477</v>
      </c>
      <c r="BU47" s="2360" t="s">
        <v>478</v>
      </c>
      <c r="BV47" s="2056"/>
      <c r="BW47" s="2058"/>
      <c r="BX47" s="2054"/>
      <c r="BY47" s="2113"/>
      <c r="BZ47" s="2019"/>
      <c r="CA47" s="2056"/>
      <c r="CB47" s="2056"/>
      <c r="CC47" s="2360" t="s">
        <v>477</v>
      </c>
      <c r="CD47" s="2360" t="s">
        <v>478</v>
      </c>
      <c r="CE47" s="2056"/>
      <c r="CF47" s="2058"/>
      <c r="CG47" s="2054"/>
      <c r="CH47" s="2113"/>
      <c r="CI47" s="2019"/>
      <c r="CJ47" s="2056"/>
      <c r="CK47" s="2056"/>
      <c r="CL47" s="2360" t="s">
        <v>477</v>
      </c>
      <c r="CM47" s="2360" t="s">
        <v>478</v>
      </c>
      <c r="CN47" s="2056"/>
      <c r="CO47" s="2058"/>
      <c r="CP47" s="2054"/>
      <c r="CQ47" s="2113"/>
      <c r="CR47" s="2019"/>
      <c r="CS47" s="2056"/>
      <c r="CT47" s="2056"/>
      <c r="CU47" s="2360" t="s">
        <v>477</v>
      </c>
      <c r="CV47" s="2360" t="s">
        <v>478</v>
      </c>
      <c r="CW47" s="2056"/>
      <c r="CX47" s="2058"/>
      <c r="CY47" s="2054"/>
      <c r="CZ47" s="2113"/>
      <c r="DA47" s="2019"/>
      <c r="DB47" s="2056"/>
      <c r="DC47" s="2056"/>
      <c r="DD47" s="2360" t="s">
        <v>477</v>
      </c>
      <c r="DE47" s="2360" t="s">
        <v>478</v>
      </c>
      <c r="DF47" s="2056"/>
      <c r="DG47" s="2058"/>
      <c r="DH47" s="2054"/>
      <c r="DI47" s="2113"/>
      <c r="DJ47" s="2019"/>
      <c r="DK47" s="2056"/>
      <c r="DL47" s="2056"/>
      <c r="DM47" s="2360" t="s">
        <v>477</v>
      </c>
      <c r="DN47" s="2360" t="s">
        <v>478</v>
      </c>
      <c r="DO47" s="2056"/>
      <c r="DP47" s="2058"/>
      <c r="DQ47" s="2054"/>
      <c r="DR47" s="2113"/>
      <c r="DS47" s="2116"/>
      <c r="DT47" s="1953"/>
    </row>
    <row s="1666" customFormat="1" customHeight="1" ht="11.25" hidden="1">
      <c r="A48" s="1275"/>
      <c r="B48" s="1275"/>
      <c r="C48" s="1275"/>
      <c r="D48" s="1275"/>
      <c r="E48" s="1275"/>
      <c r="F48" s="1275"/>
      <c r="G48" s="1275"/>
      <c r="H48" s="1275"/>
      <c r="I48" s="1275"/>
      <c r="J48" s="1275"/>
      <c r="K48" s="1275"/>
      <c r="L48" s="1275"/>
      <c r="M48" s="1327"/>
      <c r="N48" s="1345"/>
      <c r="O48" s="1345"/>
      <c r="P48" s="1345"/>
      <c r="Q48" s="1251"/>
      <c r="R48" s="1252"/>
      <c r="S48" s="1267">
        <v>1</v>
      </c>
      <c r="T48" s="1267"/>
      <c r="U48" s="1294" t="s">
        <v>108</v>
      </c>
      <c r="V48" s="1268" t="s">
        <v>109</v>
      </c>
      <c r="W48" s="1250" t="str">
        <f>OFFSET(W48,0,-1)</f>
        <v>2</v>
      </c>
      <c r="X48" s="1352">
        <f>OFFSET(X48,0,-1)+1</f>
        <v>3</v>
      </c>
      <c r="Y48" s="1358"/>
      <c r="Z48" s="1358"/>
      <c r="AA48" s="1358">
        <f>OFFSET(AA48,0,-1)+1</f>
        <v>1</v>
      </c>
      <c r="AB48" s="1358">
        <f>OFFSET(AB48,0,-1)+1</f>
        <v>2</v>
      </c>
      <c r="AC48" s="1352">
        <f>OFFSET(AC48,0,-1)+1</f>
        <v>3</v>
      </c>
      <c r="AD48" s="2105">
        <f>OFFSET(AD48,0,-1)+1</f>
        <v>4</v>
      </c>
      <c r="AE48" s="2105"/>
      <c r="AF48" s="1352">
        <f>OFFSET(AF48,0,-2)+1</f>
        <v>5</v>
      </c>
      <c r="AG48" s="1352">
        <f>OFFSET(AG48,0,-1)+1</f>
        <v>6</v>
      </c>
      <c r="AH48" s="1352"/>
      <c r="AI48" s="1352"/>
      <c r="AJ48" s="1352">
        <f>OFFSET(AJ48,0,-1)+1</f>
        <v>1</v>
      </c>
      <c r="AK48" s="1352">
        <f>OFFSET(AK48,0,-1)+1</f>
        <v>2</v>
      </c>
      <c r="AL48" s="1352">
        <f>OFFSET(AL48,0,-1)+1</f>
        <v>3</v>
      </c>
      <c r="AM48" s="2105">
        <f>OFFSET(AM48,0,-1)+1</f>
        <v>4</v>
      </c>
      <c r="AN48" s="2105"/>
      <c r="AO48" s="1352">
        <f>OFFSET(AO48,0,-2)+1</f>
        <v>5</v>
      </c>
      <c r="AP48" s="2105">
        <f>OFFSET(AP48,0,-1)+1</f>
        <v>3</v>
      </c>
      <c r="AQ48" s="1358"/>
      <c r="AR48" s="1358"/>
      <c r="AS48" s="1358">
        <f>OFFSET(AS48,0,-1)+1</f>
        <v>1</v>
      </c>
      <c r="AT48" s="1358">
        <f>OFFSET(AT48,0,-1)+1</f>
        <v>2</v>
      </c>
      <c r="AU48" s="2105">
        <f>OFFSET(AU48,0,-1)+1</f>
        <v>3</v>
      </c>
      <c r="AV48" s="2105">
        <f>OFFSET(AV48,0,-1)+1</f>
        <v>4</v>
      </c>
      <c r="AW48" s="2105"/>
      <c r="AX48" s="2105">
        <f>OFFSET(AX48,0,-2)+1</f>
        <v>5</v>
      </c>
      <c r="AY48" s="2105">
        <f>OFFSET(AY48,0,-1)+1</f>
        <v>3</v>
      </c>
      <c r="AZ48" s="1358"/>
      <c r="BA48" s="1358"/>
      <c r="BB48" s="1358">
        <f>OFFSET(BB48,0,-1)+1</f>
        <v>1</v>
      </c>
      <c r="BC48" s="1358">
        <f>OFFSET(BC48,0,-1)+1</f>
        <v>2</v>
      </c>
      <c r="BD48" s="2105">
        <f>OFFSET(BD48,0,-1)+1</f>
        <v>3</v>
      </c>
      <c r="BE48" s="2105">
        <f>OFFSET(BE48,0,-1)+1</f>
        <v>4</v>
      </c>
      <c r="BF48" s="2105"/>
      <c r="BG48" s="2105">
        <f>OFFSET(BG48,0,-2)+1</f>
        <v>5</v>
      </c>
      <c r="BH48" s="2105">
        <f>OFFSET(BH48,0,-1)+1</f>
        <v>3</v>
      </c>
      <c r="BI48" s="1358"/>
      <c r="BJ48" s="1358"/>
      <c r="BK48" s="1358">
        <f>OFFSET(BK48,0,-1)+1</f>
        <v>1</v>
      </c>
      <c r="BL48" s="1358">
        <f>OFFSET(BL48,0,-1)+1</f>
        <v>2</v>
      </c>
      <c r="BM48" s="2105">
        <f>OFFSET(BM48,0,-1)+1</f>
        <v>3</v>
      </c>
      <c r="BN48" s="2105">
        <f>OFFSET(BN48,0,-1)+1</f>
        <v>4</v>
      </c>
      <c r="BO48" s="2105"/>
      <c r="BP48" s="2105">
        <f>OFFSET(BP48,0,-2)+1</f>
        <v>5</v>
      </c>
      <c r="BQ48" s="2105">
        <f>OFFSET(BQ48,0,-1)+1</f>
        <v>3</v>
      </c>
      <c r="BR48" s="1358"/>
      <c r="BS48" s="1358"/>
      <c r="BT48" s="1358">
        <f>OFFSET(BT48,0,-1)+1</f>
        <v>1</v>
      </c>
      <c r="BU48" s="1358">
        <f>OFFSET(BU48,0,-1)+1</f>
        <v>2</v>
      </c>
      <c r="BV48" s="2105">
        <f>OFFSET(BV48,0,-1)+1</f>
        <v>3</v>
      </c>
      <c r="BW48" s="2105">
        <f>OFFSET(BW48,0,-1)+1</f>
        <v>4</v>
      </c>
      <c r="BX48" s="2105"/>
      <c r="BY48" s="2105">
        <f>OFFSET(BY48,0,-2)+1</f>
        <v>5</v>
      </c>
      <c r="BZ48" s="2105">
        <f>OFFSET(BZ48,0,-1)+1</f>
        <v>3</v>
      </c>
      <c r="CA48" s="1358"/>
      <c r="CB48" s="1358"/>
      <c r="CC48" s="1358">
        <f>OFFSET(CC48,0,-1)+1</f>
        <v>1</v>
      </c>
      <c r="CD48" s="1358">
        <f>OFFSET(CD48,0,-1)+1</f>
        <v>2</v>
      </c>
      <c r="CE48" s="2105">
        <f>OFFSET(CE48,0,-1)+1</f>
        <v>3</v>
      </c>
      <c r="CF48" s="2105">
        <f>OFFSET(CF48,0,-1)+1</f>
        <v>4</v>
      </c>
      <c r="CG48" s="2105"/>
      <c r="CH48" s="2105">
        <f>OFFSET(CH48,0,-2)+1</f>
        <v>5</v>
      </c>
      <c r="CI48" s="2105">
        <f>OFFSET(CI48,0,-1)+1</f>
        <v>3</v>
      </c>
      <c r="CJ48" s="1358"/>
      <c r="CK48" s="1358"/>
      <c r="CL48" s="1358">
        <f>OFFSET(CL48,0,-1)+1</f>
        <v>1</v>
      </c>
      <c r="CM48" s="1358">
        <f>OFFSET(CM48,0,-1)+1</f>
        <v>2</v>
      </c>
      <c r="CN48" s="2105">
        <f>OFFSET(CN48,0,-1)+1</f>
        <v>3</v>
      </c>
      <c r="CO48" s="2105">
        <f>OFFSET(CO48,0,-1)+1</f>
        <v>4</v>
      </c>
      <c r="CP48" s="2105"/>
      <c r="CQ48" s="2105">
        <f>OFFSET(CQ48,0,-2)+1</f>
        <v>5</v>
      </c>
      <c r="CR48" s="2105">
        <f>OFFSET(CR48,0,-1)+1</f>
        <v>3</v>
      </c>
      <c r="CS48" s="1358"/>
      <c r="CT48" s="1358"/>
      <c r="CU48" s="1358">
        <f>OFFSET(CU48,0,-1)+1</f>
        <v>1</v>
      </c>
      <c r="CV48" s="1358">
        <f>OFFSET(CV48,0,-1)+1</f>
        <v>2</v>
      </c>
      <c r="CW48" s="2105">
        <f>OFFSET(CW48,0,-1)+1</f>
        <v>3</v>
      </c>
      <c r="CX48" s="2105">
        <f>OFFSET(CX48,0,-1)+1</f>
        <v>4</v>
      </c>
      <c r="CY48" s="2105"/>
      <c r="CZ48" s="2105">
        <f>OFFSET(CZ48,0,-2)+1</f>
        <v>5</v>
      </c>
      <c r="DA48" s="2105">
        <f>OFFSET(DA48,0,-1)+1</f>
        <v>3</v>
      </c>
      <c r="DB48" s="1358"/>
      <c r="DC48" s="1358"/>
      <c r="DD48" s="1358">
        <f>OFFSET(DD48,0,-1)+1</f>
        <v>1</v>
      </c>
      <c r="DE48" s="1358">
        <f>OFFSET(DE48,0,-1)+1</f>
        <v>2</v>
      </c>
      <c r="DF48" s="2105">
        <f>OFFSET(DF48,0,-1)+1</f>
        <v>3</v>
      </c>
      <c r="DG48" s="2105">
        <f>OFFSET(DG48,0,-1)+1</f>
        <v>4</v>
      </c>
      <c r="DH48" s="2105"/>
      <c r="DI48" s="2105">
        <f>OFFSET(DI48,0,-2)+1</f>
        <v>5</v>
      </c>
      <c r="DJ48" s="2105">
        <f>OFFSET(DJ48,0,-1)+1</f>
        <v>3</v>
      </c>
      <c r="DK48" s="1358"/>
      <c r="DL48" s="1358"/>
      <c r="DM48" s="1358">
        <f>OFFSET(DM48,0,-1)+1</f>
        <v>1</v>
      </c>
      <c r="DN48" s="1358">
        <f>OFFSET(DN48,0,-1)+1</f>
        <v>2</v>
      </c>
      <c r="DO48" s="2105">
        <f>OFFSET(DO48,0,-1)+1</f>
        <v>3</v>
      </c>
      <c r="DP48" s="2105">
        <f>OFFSET(DP48,0,-1)+1</f>
        <v>4</v>
      </c>
      <c r="DQ48" s="2105"/>
      <c r="DR48" s="2105">
        <f>OFFSET(DR48,0,-2)+1</f>
        <v>5</v>
      </c>
      <c r="DS48" s="1250">
        <f>OFFSET(DS48,0,-1)</f>
        <v>5</v>
      </c>
      <c r="DT48" s="1352">
        <f>OFFSET(DT48,0,-1)+1</f>
        <v>6</v>
      </c>
      <c r="DU48" s="507"/>
      <c r="DV48" s="507"/>
      <c r="DW48" s="507"/>
      <c r="DX48" s="507"/>
      <c r="DY48" s="507"/>
    </row>
    <row customHeight="1" ht="21">
      <c r="A49" s="1283" t="s">
        <v>198</v>
      </c>
      <c r="B49" s="1283"/>
      <c r="C49" s="1283"/>
      <c r="D49" s="1283"/>
      <c r="E49" s="2149">
        <v>1</v>
      </c>
      <c r="F49" s="1283"/>
      <c r="G49" s="1283"/>
      <c r="H49" s="1283"/>
      <c r="I49" s="1283"/>
      <c r="J49" s="1283"/>
      <c r="K49" s="1283"/>
      <c r="L49" s="1283"/>
      <c r="M49" s="1327"/>
      <c r="N49" s="683"/>
      <c r="O49" s="683"/>
      <c r="P49" s="683"/>
      <c r="Q49" s="349"/>
      <c r="R49" s="348"/>
      <c r="S49" s="348"/>
      <c r="T49" s="343"/>
      <c r="U49" s="1353">
        <f>INDEX(PT_DIFFERENTIATION_NUM_NTAR,MATCH(A49,PT_DIFFERENTIATION_NTAR_ID,0))</f>
        <v>1</v>
      </c>
      <c r="V49" s="278" t="s">
        <v>122</v>
      </c>
      <c r="W49" s="280"/>
      <c r="X49" s="2083"/>
      <c r="Y49" s="2084"/>
      <c r="Z49" s="2084"/>
      <c r="AA49" s="2084"/>
      <c r="AB49" s="2084"/>
      <c r="AC49" s="2084"/>
      <c r="AD49" s="2084"/>
      <c r="AE49" s="2084"/>
      <c r="AF49" s="2085"/>
      <c r="AG49" s="2083" t="str">
        <f>INDEX(PT_DIFFERENTIATION_NTAR,MATCH(A49,PT_DIFFERENTIATION_NTAR_ID,0))</f>
        <v>Тариф на горячую воду (горячее водоснабжение), поставляемую ПАО "ТГК-1" в открытых системах теплоснабжения потребителям, расположенным на территории Санкт-Петербурга</v>
      </c>
      <c r="AH49" s="2084"/>
      <c r="AI49" s="2084"/>
      <c r="AJ49" s="2084"/>
      <c r="AK49" s="2084"/>
      <c r="AL49" s="2084"/>
      <c r="AM49" s="2084"/>
      <c r="AN49" s="2084"/>
      <c r="AO49" s="2084"/>
      <c r="AP49" s="2083"/>
      <c r="AQ49" s="2084"/>
      <c r="AR49" s="2084"/>
      <c r="AS49" s="2084"/>
      <c r="AT49" s="2084"/>
      <c r="AU49" s="2084"/>
      <c r="AV49" s="2084"/>
      <c r="AW49" s="2084"/>
      <c r="AX49" s="2085"/>
      <c r="AY49" s="2083"/>
      <c r="AZ49" s="2084"/>
      <c r="BA49" s="2084"/>
      <c r="BB49" s="2084"/>
      <c r="BC49" s="2084"/>
      <c r="BD49" s="2084"/>
      <c r="BE49" s="2084"/>
      <c r="BF49" s="2084"/>
      <c r="BG49" s="2085"/>
      <c r="BH49" s="2083"/>
      <c r="BI49" s="2084"/>
      <c r="BJ49" s="2084"/>
      <c r="BK49" s="2084"/>
      <c r="BL49" s="2084"/>
      <c r="BM49" s="2084"/>
      <c r="BN49" s="2084"/>
      <c r="BO49" s="2084"/>
      <c r="BP49" s="2085"/>
      <c r="BQ49" s="2083"/>
      <c r="BR49" s="2084"/>
      <c r="BS49" s="2084"/>
      <c r="BT49" s="2084"/>
      <c r="BU49" s="2084"/>
      <c r="BV49" s="2084"/>
      <c r="BW49" s="2084"/>
      <c r="BX49" s="2084"/>
      <c r="BY49" s="2085"/>
      <c r="BZ49" s="2083"/>
      <c r="CA49" s="2084"/>
      <c r="CB49" s="2084"/>
      <c r="CC49" s="2084"/>
      <c r="CD49" s="2084"/>
      <c r="CE49" s="2084"/>
      <c r="CF49" s="2084"/>
      <c r="CG49" s="2084"/>
      <c r="CH49" s="2085"/>
      <c r="CI49" s="2083"/>
      <c r="CJ49" s="2084"/>
      <c r="CK49" s="2084"/>
      <c r="CL49" s="2084"/>
      <c r="CM49" s="2084"/>
      <c r="CN49" s="2084"/>
      <c r="CO49" s="2084"/>
      <c r="CP49" s="2084"/>
      <c r="CQ49" s="2085"/>
      <c r="CR49" s="2083"/>
      <c r="CS49" s="2084"/>
      <c r="CT49" s="2084"/>
      <c r="CU49" s="2084"/>
      <c r="CV49" s="2084"/>
      <c r="CW49" s="2084"/>
      <c r="CX49" s="2084"/>
      <c r="CY49" s="2084"/>
      <c r="CZ49" s="2085"/>
      <c r="DA49" s="2083"/>
      <c r="DB49" s="2084"/>
      <c r="DC49" s="2084"/>
      <c r="DD49" s="2084"/>
      <c r="DE49" s="2084"/>
      <c r="DF49" s="2084"/>
      <c r="DG49" s="2084"/>
      <c r="DH49" s="2084"/>
      <c r="DI49" s="2085"/>
      <c r="DJ49" s="2083"/>
      <c r="DK49" s="2084"/>
      <c r="DL49" s="2084"/>
      <c r="DM49" s="2084"/>
      <c r="DN49" s="2084"/>
      <c r="DO49" s="2084"/>
      <c r="DP49" s="2084"/>
      <c r="DQ49" s="2084"/>
      <c r="DR49" s="2085"/>
      <c r="DS49" s="2085"/>
      <c r="DT49"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DV49" s="496"/>
      <c r="DW49" s="496" t="str">
        <f>IF(V49="","",V49)</f>
        <v>Наименование тарифа</v>
      </c>
      <c r="DX49" s="496"/>
      <c r="DY49" s="496"/>
    </row>
    <row customHeight="1" ht="21">
      <c r="A50" s="1283" t="s">
        <v>198</v>
      </c>
      <c r="B50" s="1283" t="s">
        <v>199</v>
      </c>
      <c r="C50" s="1283"/>
      <c r="D50" s="1283"/>
      <c r="E50" s="2150"/>
      <c r="F50" s="2149">
        <v>1</v>
      </c>
      <c r="G50" s="1283"/>
      <c r="H50" s="1283"/>
      <c r="I50" s="1283"/>
      <c r="J50" s="1283"/>
      <c r="K50" s="1283"/>
      <c r="L50" s="1283"/>
      <c r="M50" s="1327"/>
      <c r="N50" s="683"/>
      <c r="O50" s="683"/>
      <c r="P50" s="683"/>
      <c r="Q50" s="1349"/>
      <c r="R50" s="340"/>
      <c r="S50" s="505"/>
      <c r="T50" s="341"/>
      <c r="U50" s="1353" t="str">
        <f>INDEX(PT_DIFFERENTIATION_NUM_TER,MATCH(B50,PT_DIFFERENTIATION_TER_ID,0))</f>
        <v>1.1</v>
      </c>
      <c r="V50" s="290" t="s">
        <v>411</v>
      </c>
      <c r="W50" s="280"/>
      <c r="X50" s="2083"/>
      <c r="Y50" s="2084"/>
      <c r="Z50" s="2084"/>
      <c r="AA50" s="2084"/>
      <c r="AB50" s="2084"/>
      <c r="AC50" s="2084"/>
      <c r="AD50" s="2084"/>
      <c r="AE50" s="2084"/>
      <c r="AF50" s="2085"/>
      <c r="AG50" s="2083" t="str">
        <f>INDEX(PT_DIFFERENTIATION_TER,MATCH(B50,PT_DIFFERENTIATION_TER_ID,0))</f>
        <v>без дифференциации</v>
      </c>
      <c r="AH50" s="2084"/>
      <c r="AI50" s="2084"/>
      <c r="AJ50" s="2084"/>
      <c r="AK50" s="2084"/>
      <c r="AL50" s="2084"/>
      <c r="AM50" s="2084"/>
      <c r="AN50" s="2084"/>
      <c r="AO50" s="2084"/>
      <c r="AP50" s="2083"/>
      <c r="AQ50" s="2084"/>
      <c r="AR50" s="2084"/>
      <c r="AS50" s="2084"/>
      <c r="AT50" s="2084"/>
      <c r="AU50" s="2084"/>
      <c r="AV50" s="2084"/>
      <c r="AW50" s="2084"/>
      <c r="AX50" s="2085"/>
      <c r="AY50" s="2083"/>
      <c r="AZ50" s="2084"/>
      <c r="BA50" s="2084"/>
      <c r="BB50" s="2084"/>
      <c r="BC50" s="2084"/>
      <c r="BD50" s="2084"/>
      <c r="BE50" s="2084"/>
      <c r="BF50" s="2084"/>
      <c r="BG50" s="2085"/>
      <c r="BH50" s="2083"/>
      <c r="BI50" s="2084"/>
      <c r="BJ50" s="2084"/>
      <c r="BK50" s="2084"/>
      <c r="BL50" s="2084"/>
      <c r="BM50" s="2084"/>
      <c r="BN50" s="2084"/>
      <c r="BO50" s="2084"/>
      <c r="BP50" s="2085"/>
      <c r="BQ50" s="2083"/>
      <c r="BR50" s="2084"/>
      <c r="BS50" s="2084"/>
      <c r="BT50" s="2084"/>
      <c r="BU50" s="2084"/>
      <c r="BV50" s="2084"/>
      <c r="BW50" s="2084"/>
      <c r="BX50" s="2084"/>
      <c r="BY50" s="2085"/>
      <c r="BZ50" s="2083"/>
      <c r="CA50" s="2084"/>
      <c r="CB50" s="2084"/>
      <c r="CC50" s="2084"/>
      <c r="CD50" s="2084"/>
      <c r="CE50" s="2084"/>
      <c r="CF50" s="2084"/>
      <c r="CG50" s="2084"/>
      <c r="CH50" s="2085"/>
      <c r="CI50" s="2083"/>
      <c r="CJ50" s="2084"/>
      <c r="CK50" s="2084"/>
      <c r="CL50" s="2084"/>
      <c r="CM50" s="2084"/>
      <c r="CN50" s="2084"/>
      <c r="CO50" s="2084"/>
      <c r="CP50" s="2084"/>
      <c r="CQ50" s="2085"/>
      <c r="CR50" s="2083"/>
      <c r="CS50" s="2084"/>
      <c r="CT50" s="2084"/>
      <c r="CU50" s="2084"/>
      <c r="CV50" s="2084"/>
      <c r="CW50" s="2084"/>
      <c r="CX50" s="2084"/>
      <c r="CY50" s="2084"/>
      <c r="CZ50" s="2085"/>
      <c r="DA50" s="2083"/>
      <c r="DB50" s="2084"/>
      <c r="DC50" s="2084"/>
      <c r="DD50" s="2084"/>
      <c r="DE50" s="2084"/>
      <c r="DF50" s="2084"/>
      <c r="DG50" s="2084"/>
      <c r="DH50" s="2084"/>
      <c r="DI50" s="2085"/>
      <c r="DJ50" s="2083"/>
      <c r="DK50" s="2084"/>
      <c r="DL50" s="2084"/>
      <c r="DM50" s="2084"/>
      <c r="DN50" s="2084"/>
      <c r="DO50" s="2084"/>
      <c r="DP50" s="2084"/>
      <c r="DQ50" s="2084"/>
      <c r="DR50" s="2085"/>
      <c r="DS50" s="2085"/>
      <c r="DT50" s="1273" t="s">
        <v>412</v>
      </c>
      <c r="DV50" s="496"/>
      <c r="DW50" s="496" t="str">
        <f>IF(V50="","",V50)</f>
        <v>Территория действия тарифа</v>
      </c>
      <c r="DX50" s="496"/>
      <c r="DY50" s="496"/>
    </row>
    <row customHeight="1" ht="22.5">
      <c r="A51" s="1283" t="s">
        <v>198</v>
      </c>
      <c r="B51" s="1283" t="s">
        <v>199</v>
      </c>
      <c r="C51" s="1283" t="s">
        <v>200</v>
      </c>
      <c r="D51" s="1283"/>
      <c r="E51" s="2150"/>
      <c r="F51" s="2150"/>
      <c r="G51" s="2149">
        <v>1</v>
      </c>
      <c r="H51" s="1283"/>
      <c r="I51" s="1283"/>
      <c r="J51" s="1283"/>
      <c r="K51" s="1283"/>
      <c r="L51" s="1283"/>
      <c r="M51" s="1327"/>
      <c r="N51" s="683"/>
      <c r="O51" s="683"/>
      <c r="P51" s="683"/>
      <c r="Q51" s="342"/>
      <c r="R51" s="340"/>
      <c r="S51" s="505"/>
      <c r="T51" s="341"/>
      <c r="U51" s="1353" t="str">
        <f>INDEX(PT_DIFFERENTIATION_NUM_CS,MATCH(C51,PT_DIFFERENTIATION_CS_ID,0))</f>
        <v>1.1.1</v>
      </c>
      <c r="V51" s="291" t="s">
        <v>413</v>
      </c>
      <c r="W51" s="280"/>
      <c r="X51" s="2083"/>
      <c r="Y51" s="2084"/>
      <c r="Z51" s="2084"/>
      <c r="AA51" s="2084"/>
      <c r="AB51" s="2084"/>
      <c r="AC51" s="2084"/>
      <c r="AD51" s="2084"/>
      <c r="AE51" s="2084"/>
      <c r="AF51" s="2085"/>
      <c r="AG51" s="2083" t="str">
        <f>INDEX(PT_DIFFERENTIATION_CS,MATCH(C51,PT_DIFFERENTIATION_CS_ID,0))</f>
        <v>без дифференциации</v>
      </c>
      <c r="AH51" s="2084"/>
      <c r="AI51" s="2084"/>
      <c r="AJ51" s="2084"/>
      <c r="AK51" s="2084"/>
      <c r="AL51" s="2084"/>
      <c r="AM51" s="2084"/>
      <c r="AN51" s="2084"/>
      <c r="AO51" s="2084"/>
      <c r="AP51" s="2083"/>
      <c r="AQ51" s="2084"/>
      <c r="AR51" s="2084"/>
      <c r="AS51" s="2084"/>
      <c r="AT51" s="2084"/>
      <c r="AU51" s="2084"/>
      <c r="AV51" s="2084"/>
      <c r="AW51" s="2084"/>
      <c r="AX51" s="2085"/>
      <c r="AY51" s="2083"/>
      <c r="AZ51" s="2084"/>
      <c r="BA51" s="2084"/>
      <c r="BB51" s="2084"/>
      <c r="BC51" s="2084"/>
      <c r="BD51" s="2084"/>
      <c r="BE51" s="2084"/>
      <c r="BF51" s="2084"/>
      <c r="BG51" s="2085"/>
      <c r="BH51" s="2083"/>
      <c r="BI51" s="2084"/>
      <c r="BJ51" s="2084"/>
      <c r="BK51" s="2084"/>
      <c r="BL51" s="2084"/>
      <c r="BM51" s="2084"/>
      <c r="BN51" s="2084"/>
      <c r="BO51" s="2084"/>
      <c r="BP51" s="2085"/>
      <c r="BQ51" s="2083"/>
      <c r="BR51" s="2084"/>
      <c r="BS51" s="2084"/>
      <c r="BT51" s="2084"/>
      <c r="BU51" s="2084"/>
      <c r="BV51" s="2084"/>
      <c r="BW51" s="2084"/>
      <c r="BX51" s="2084"/>
      <c r="BY51" s="2085"/>
      <c r="BZ51" s="2083"/>
      <c r="CA51" s="2084"/>
      <c r="CB51" s="2084"/>
      <c r="CC51" s="2084"/>
      <c r="CD51" s="2084"/>
      <c r="CE51" s="2084"/>
      <c r="CF51" s="2084"/>
      <c r="CG51" s="2084"/>
      <c r="CH51" s="2085"/>
      <c r="CI51" s="2083"/>
      <c r="CJ51" s="2084"/>
      <c r="CK51" s="2084"/>
      <c r="CL51" s="2084"/>
      <c r="CM51" s="2084"/>
      <c r="CN51" s="2084"/>
      <c r="CO51" s="2084"/>
      <c r="CP51" s="2084"/>
      <c r="CQ51" s="2085"/>
      <c r="CR51" s="2083"/>
      <c r="CS51" s="2084"/>
      <c r="CT51" s="2084"/>
      <c r="CU51" s="2084"/>
      <c r="CV51" s="2084"/>
      <c r="CW51" s="2084"/>
      <c r="CX51" s="2084"/>
      <c r="CY51" s="2084"/>
      <c r="CZ51" s="2085"/>
      <c r="DA51" s="2083"/>
      <c r="DB51" s="2084"/>
      <c r="DC51" s="2084"/>
      <c r="DD51" s="2084"/>
      <c r="DE51" s="2084"/>
      <c r="DF51" s="2084"/>
      <c r="DG51" s="2084"/>
      <c r="DH51" s="2084"/>
      <c r="DI51" s="2085"/>
      <c r="DJ51" s="2083"/>
      <c r="DK51" s="2084"/>
      <c r="DL51" s="2084"/>
      <c r="DM51" s="2084"/>
      <c r="DN51" s="2084"/>
      <c r="DO51" s="2084"/>
      <c r="DP51" s="2084"/>
      <c r="DQ51" s="2084"/>
      <c r="DR51" s="2085"/>
      <c r="DS51" s="2085"/>
      <c r="DT51" s="1273" t="s">
        <v>414</v>
      </c>
      <c r="DV51" s="496"/>
      <c r="DW51" s="496" t="str">
        <f>IF(V51="","",V51)</f>
        <v>Наименование системы теплоснабжения </v>
      </c>
      <c r="DX51" s="496"/>
      <c r="DY51" s="496"/>
    </row>
    <row customHeight="1" ht="21">
      <c r="A52" s="1283" t="s">
        <v>198</v>
      </c>
      <c r="B52" s="1283" t="s">
        <v>199</v>
      </c>
      <c r="C52" s="1283" t="s">
        <v>200</v>
      </c>
      <c r="D52" s="1283" t="s">
        <v>201</v>
      </c>
      <c r="E52" s="2150"/>
      <c r="F52" s="2150"/>
      <c r="G52" s="2150"/>
      <c r="H52" s="2151">
        <v>1</v>
      </c>
      <c r="I52" s="1283"/>
      <c r="J52" s="1283"/>
      <c r="K52" s="1283"/>
      <c r="L52" s="1283"/>
      <c r="M52" s="1327"/>
      <c r="N52" s="683"/>
      <c r="O52" s="683"/>
      <c r="P52" s="683"/>
      <c r="Q52" s="342"/>
      <c r="R52" s="340"/>
      <c r="S52" s="505"/>
      <c r="T52" s="341"/>
      <c r="U52" s="1353" t="str">
        <f>INDEX(PT_DIFFERENTIATION_NUM_IST_TE,MATCH(D52,PT_DIFFERENTIATION_IST_TE_ID,0))</f>
        <v>1.1.1.1</v>
      </c>
      <c r="V52" s="292" t="s">
        <v>415</v>
      </c>
      <c r="W52" s="280"/>
      <c r="X52" s="2083"/>
      <c r="Y52" s="2084"/>
      <c r="Z52" s="2084"/>
      <c r="AA52" s="2084"/>
      <c r="AB52" s="2084"/>
      <c r="AC52" s="2084"/>
      <c r="AD52" s="2084"/>
      <c r="AE52" s="2084"/>
      <c r="AF52" s="2085"/>
      <c r="AG52" s="2083" t="str">
        <f>INDEX(PT_DIFFERENTIATION_IST_TE,MATCH(D52,PT_DIFFERENTIATION_IST_TE_ID,0))</f>
        <v>без дифференциации</v>
      </c>
      <c r="AH52" s="2084"/>
      <c r="AI52" s="2084"/>
      <c r="AJ52" s="2084"/>
      <c r="AK52" s="2084"/>
      <c r="AL52" s="2084"/>
      <c r="AM52" s="2084"/>
      <c r="AN52" s="2084"/>
      <c r="AO52" s="2084"/>
      <c r="AP52" s="2083"/>
      <c r="AQ52" s="2084"/>
      <c r="AR52" s="2084"/>
      <c r="AS52" s="2084"/>
      <c r="AT52" s="2084"/>
      <c r="AU52" s="2084"/>
      <c r="AV52" s="2084"/>
      <c r="AW52" s="2084"/>
      <c r="AX52" s="2085"/>
      <c r="AY52" s="2083"/>
      <c r="AZ52" s="2084"/>
      <c r="BA52" s="2084"/>
      <c r="BB52" s="2084"/>
      <c r="BC52" s="2084"/>
      <c r="BD52" s="2084"/>
      <c r="BE52" s="2084"/>
      <c r="BF52" s="2084"/>
      <c r="BG52" s="2085"/>
      <c r="BH52" s="2083"/>
      <c r="BI52" s="2084"/>
      <c r="BJ52" s="2084"/>
      <c r="BK52" s="2084"/>
      <c r="BL52" s="2084"/>
      <c r="BM52" s="2084"/>
      <c r="BN52" s="2084"/>
      <c r="BO52" s="2084"/>
      <c r="BP52" s="2085"/>
      <c r="BQ52" s="2083"/>
      <c r="BR52" s="2084"/>
      <c r="BS52" s="2084"/>
      <c r="BT52" s="2084"/>
      <c r="BU52" s="2084"/>
      <c r="BV52" s="2084"/>
      <c r="BW52" s="2084"/>
      <c r="BX52" s="2084"/>
      <c r="BY52" s="2085"/>
      <c r="BZ52" s="2083"/>
      <c r="CA52" s="2084"/>
      <c r="CB52" s="2084"/>
      <c r="CC52" s="2084"/>
      <c r="CD52" s="2084"/>
      <c r="CE52" s="2084"/>
      <c r="CF52" s="2084"/>
      <c r="CG52" s="2084"/>
      <c r="CH52" s="2085"/>
      <c r="CI52" s="2083"/>
      <c r="CJ52" s="2084"/>
      <c r="CK52" s="2084"/>
      <c r="CL52" s="2084"/>
      <c r="CM52" s="2084"/>
      <c r="CN52" s="2084"/>
      <c r="CO52" s="2084"/>
      <c r="CP52" s="2084"/>
      <c r="CQ52" s="2085"/>
      <c r="CR52" s="2083"/>
      <c r="CS52" s="2084"/>
      <c r="CT52" s="2084"/>
      <c r="CU52" s="2084"/>
      <c r="CV52" s="2084"/>
      <c r="CW52" s="2084"/>
      <c r="CX52" s="2084"/>
      <c r="CY52" s="2084"/>
      <c r="CZ52" s="2085"/>
      <c r="DA52" s="2083"/>
      <c r="DB52" s="2084"/>
      <c r="DC52" s="2084"/>
      <c r="DD52" s="2084"/>
      <c r="DE52" s="2084"/>
      <c r="DF52" s="2084"/>
      <c r="DG52" s="2084"/>
      <c r="DH52" s="2084"/>
      <c r="DI52" s="2085"/>
      <c r="DJ52" s="2083"/>
      <c r="DK52" s="2084"/>
      <c r="DL52" s="2084"/>
      <c r="DM52" s="2084"/>
      <c r="DN52" s="2084"/>
      <c r="DO52" s="2084"/>
      <c r="DP52" s="2084"/>
      <c r="DQ52" s="2084"/>
      <c r="DR52" s="2085"/>
      <c r="DS52" s="2085"/>
      <c r="DT52" s="1273" t="s">
        <v>416</v>
      </c>
      <c r="DV52" s="496"/>
      <c r="DW52" s="496" t="str">
        <f>IF(V52="","",V52)</f>
        <v>Источник тепловой энергии  </v>
      </c>
      <c r="DX52" s="496"/>
      <c r="DY52" s="496"/>
    </row>
    <row s="1667" customFormat="1" customHeight="1" ht="0">
      <c r="A53" s="1392" t="s">
        <v>198</v>
      </c>
      <c r="B53" s="1392" t="s">
        <v>199</v>
      </c>
      <c r="C53" s="1392" t="s">
        <v>200</v>
      </c>
      <c r="D53" s="1392" t="s">
        <v>201</v>
      </c>
      <c r="E53" s="2150"/>
      <c r="F53" s="2150"/>
      <c r="G53" s="2150"/>
      <c r="H53" s="2152"/>
      <c r="I53" s="1953" t="str">
        <f>U52&amp;".1"</f>
        <v>1.1.1.1.1</v>
      </c>
      <c r="J53" s="1392"/>
      <c r="K53" s="1392"/>
      <c r="L53" s="1392"/>
      <c r="M53" s="1398" t="s">
        <v>417</v>
      </c>
      <c r="N53" s="1251"/>
      <c r="O53" s="1251"/>
      <c r="P53" s="1251"/>
      <c r="Q53" s="2093">
        <v>1</v>
      </c>
      <c r="R53" s="1348"/>
      <c r="S53" s="1348"/>
      <c r="T53" s="344"/>
      <c r="U53" s="1037"/>
      <c r="V53" s="1400"/>
      <c r="W53" s="1401"/>
      <c r="X53" s="2129"/>
      <c r="Y53" s="2130"/>
      <c r="Z53" s="2130"/>
      <c r="AA53" s="2130"/>
      <c r="AB53" s="2130"/>
      <c r="AC53" s="2130"/>
      <c r="AD53" s="2130"/>
      <c r="AE53" s="2130"/>
      <c r="AF53" s="2131"/>
      <c r="AG53" s="2129"/>
      <c r="AH53" s="2130"/>
      <c r="AI53" s="2130"/>
      <c r="AJ53" s="2130"/>
      <c r="AK53" s="2130"/>
      <c r="AL53" s="2130"/>
      <c r="AM53" s="2130"/>
      <c r="AN53" s="2130"/>
      <c r="AO53" s="2130"/>
      <c r="AP53" s="2129"/>
      <c r="AQ53" s="2130"/>
      <c r="AR53" s="2130"/>
      <c r="AS53" s="2130"/>
      <c r="AT53" s="2130"/>
      <c r="AU53" s="2130"/>
      <c r="AV53" s="2130"/>
      <c r="AW53" s="2130"/>
      <c r="AX53" s="2131"/>
      <c r="AY53" s="2129"/>
      <c r="AZ53" s="2130"/>
      <c r="BA53" s="2130"/>
      <c r="BB53" s="2130"/>
      <c r="BC53" s="2130"/>
      <c r="BD53" s="2130"/>
      <c r="BE53" s="2130"/>
      <c r="BF53" s="2130"/>
      <c r="BG53" s="2131"/>
      <c r="BH53" s="2129"/>
      <c r="BI53" s="2130"/>
      <c r="BJ53" s="2130"/>
      <c r="BK53" s="2130"/>
      <c r="BL53" s="2130"/>
      <c r="BM53" s="2130"/>
      <c r="BN53" s="2130"/>
      <c r="BO53" s="2130"/>
      <c r="BP53" s="2131"/>
      <c r="BQ53" s="2129"/>
      <c r="BR53" s="2130"/>
      <c r="BS53" s="2130"/>
      <c r="BT53" s="2130"/>
      <c r="BU53" s="2130"/>
      <c r="BV53" s="2130"/>
      <c r="BW53" s="2130"/>
      <c r="BX53" s="2130"/>
      <c r="BY53" s="2131"/>
      <c r="BZ53" s="2129"/>
      <c r="CA53" s="2130"/>
      <c r="CB53" s="2130"/>
      <c r="CC53" s="2130"/>
      <c r="CD53" s="2130"/>
      <c r="CE53" s="2130"/>
      <c r="CF53" s="2130"/>
      <c r="CG53" s="2130"/>
      <c r="CH53" s="2131"/>
      <c r="CI53" s="2129"/>
      <c r="CJ53" s="2130"/>
      <c r="CK53" s="2130"/>
      <c r="CL53" s="2130"/>
      <c r="CM53" s="2130"/>
      <c r="CN53" s="2130"/>
      <c r="CO53" s="2130"/>
      <c r="CP53" s="2130"/>
      <c r="CQ53" s="2131"/>
      <c r="CR53" s="2129"/>
      <c r="CS53" s="2130"/>
      <c r="CT53" s="2130"/>
      <c r="CU53" s="2130"/>
      <c r="CV53" s="2130"/>
      <c r="CW53" s="2130"/>
      <c r="CX53" s="2130"/>
      <c r="CY53" s="2130"/>
      <c r="CZ53" s="2131"/>
      <c r="DA53" s="2129"/>
      <c r="DB53" s="2130"/>
      <c r="DC53" s="2130"/>
      <c r="DD53" s="2130"/>
      <c r="DE53" s="2130"/>
      <c r="DF53" s="2130"/>
      <c r="DG53" s="2130"/>
      <c r="DH53" s="2130"/>
      <c r="DI53" s="2131"/>
      <c r="DJ53" s="2129"/>
      <c r="DK53" s="2130"/>
      <c r="DL53" s="2130"/>
      <c r="DM53" s="2130"/>
      <c r="DN53" s="2130"/>
      <c r="DO53" s="2130"/>
      <c r="DP53" s="2130"/>
      <c r="DQ53" s="2130"/>
      <c r="DR53" s="2131"/>
      <c r="DS53" s="2131"/>
      <c r="DT53" s="1402"/>
      <c r="DV53" s="496"/>
      <c r="DW53" s="496" t="str">
        <f>IF(V53="","",V53)</f>
        <v/>
      </c>
      <c r="DX53" s="496"/>
      <c r="DY53" s="496"/>
    </row>
    <row customHeight="1" ht="21">
      <c r="A54" s="1283" t="s">
        <v>198</v>
      </c>
      <c r="B54" s="1283" t="s">
        <v>199</v>
      </c>
      <c r="C54" s="1283" t="s">
        <v>200</v>
      </c>
      <c r="D54" s="1283" t="s">
        <v>201</v>
      </c>
      <c r="E54" s="2150"/>
      <c r="F54" s="2150"/>
      <c r="G54" s="2150"/>
      <c r="H54" s="2152"/>
      <c r="I54" s="1937"/>
      <c r="J54" s="1953" t="str">
        <f>I53&amp;".1"</f>
        <v>1.1.1.1.1.1</v>
      </c>
      <c r="K54" s="1283"/>
      <c r="L54" s="1283"/>
      <c r="M54" s="1327" t="s">
        <v>420</v>
      </c>
      <c r="Q54" s="2093"/>
      <c r="R54" s="2093">
        <v>1</v>
      </c>
      <c r="S54" s="514"/>
      <c r="T54" s="345"/>
      <c r="U54" s="1353" t="str">
        <f>$J54</f>
        <v>1.1.1.1.1.1</v>
      </c>
      <c r="V54" s="267" t="s">
        <v>421</v>
      </c>
      <c r="W54" s="280"/>
      <c r="X54" s="2077"/>
      <c r="Y54" s="2078"/>
      <c r="Z54" s="2078"/>
      <c r="AA54" s="2078"/>
      <c r="AB54" s="2078"/>
      <c r="AC54" s="2070"/>
      <c r="AD54" s="2070"/>
      <c r="AE54" s="2070"/>
      <c r="AF54" s="2153"/>
      <c r="AG54" s="2077" t="s">
        <v>465</v>
      </c>
      <c r="AH54" s="2078"/>
      <c r="AI54" s="2078"/>
      <c r="AJ54" s="2078"/>
      <c r="AK54" s="2078"/>
      <c r="AL54" s="2078"/>
      <c r="AM54" s="2078"/>
      <c r="AN54" s="2078"/>
      <c r="AO54" s="2078"/>
      <c r="AP54" s="2077"/>
      <c r="AQ54" s="2078"/>
      <c r="AR54" s="2078"/>
      <c r="AS54" s="2078"/>
      <c r="AT54" s="2078"/>
      <c r="AU54" s="2070"/>
      <c r="AV54" s="2070"/>
      <c r="AW54" s="2070"/>
      <c r="AX54" s="2153"/>
      <c r="AY54" s="2077"/>
      <c r="AZ54" s="2078"/>
      <c r="BA54" s="2078"/>
      <c r="BB54" s="2078"/>
      <c r="BC54" s="2078"/>
      <c r="BD54" s="2070"/>
      <c r="BE54" s="2070"/>
      <c r="BF54" s="2070"/>
      <c r="BG54" s="2153"/>
      <c r="BH54" s="2077"/>
      <c r="BI54" s="2078"/>
      <c r="BJ54" s="2078"/>
      <c r="BK54" s="2078"/>
      <c r="BL54" s="2078"/>
      <c r="BM54" s="2070"/>
      <c r="BN54" s="2070"/>
      <c r="BO54" s="2070"/>
      <c r="BP54" s="2153"/>
      <c r="BQ54" s="2077"/>
      <c r="BR54" s="2078"/>
      <c r="BS54" s="2078"/>
      <c r="BT54" s="2078"/>
      <c r="BU54" s="2078"/>
      <c r="BV54" s="2070"/>
      <c r="BW54" s="2070"/>
      <c r="BX54" s="2070"/>
      <c r="BY54" s="2153"/>
      <c r="BZ54" s="2077"/>
      <c r="CA54" s="2078"/>
      <c r="CB54" s="2078"/>
      <c r="CC54" s="2078"/>
      <c r="CD54" s="2078"/>
      <c r="CE54" s="2070"/>
      <c r="CF54" s="2070"/>
      <c r="CG54" s="2070"/>
      <c r="CH54" s="2153"/>
      <c r="CI54" s="2077"/>
      <c r="CJ54" s="2078"/>
      <c r="CK54" s="2078"/>
      <c r="CL54" s="2078"/>
      <c r="CM54" s="2078"/>
      <c r="CN54" s="2070"/>
      <c r="CO54" s="2070"/>
      <c r="CP54" s="2070"/>
      <c r="CQ54" s="2153"/>
      <c r="CR54" s="2077"/>
      <c r="CS54" s="2078"/>
      <c r="CT54" s="2078"/>
      <c r="CU54" s="2078"/>
      <c r="CV54" s="2078"/>
      <c r="CW54" s="2070"/>
      <c r="CX54" s="2070"/>
      <c r="CY54" s="2070"/>
      <c r="CZ54" s="2153"/>
      <c r="DA54" s="2077"/>
      <c r="DB54" s="2078"/>
      <c r="DC54" s="2078"/>
      <c r="DD54" s="2078"/>
      <c r="DE54" s="2078"/>
      <c r="DF54" s="2070"/>
      <c r="DG54" s="2070"/>
      <c r="DH54" s="2070"/>
      <c r="DI54" s="2153"/>
      <c r="DJ54" s="2077"/>
      <c r="DK54" s="2078"/>
      <c r="DL54" s="2078"/>
      <c r="DM54" s="2078"/>
      <c r="DN54" s="2078"/>
      <c r="DO54" s="2070"/>
      <c r="DP54" s="2070"/>
      <c r="DQ54" s="2070"/>
      <c r="DR54" s="2153"/>
      <c r="DS54" s="2079"/>
      <c r="DT54" s="1273" t="s">
        <v>422</v>
      </c>
      <c r="DV54" s="496"/>
      <c r="DW54" s="496" t="str">
        <f>IF(V54="","",V54)</f>
        <v>Группа потребителей</v>
      </c>
      <c r="DX54" s="496"/>
      <c r="DY54" s="496"/>
    </row>
    <row customHeight="1" ht="21">
      <c r="A55" s="1283" t="s">
        <v>198</v>
      </c>
      <c r="B55" s="1283" t="s">
        <v>199</v>
      </c>
      <c r="C55" s="1283" t="s">
        <v>200</v>
      </c>
      <c r="D55" s="1283" t="s">
        <v>201</v>
      </c>
      <c r="E55" s="2150"/>
      <c r="F55" s="2150"/>
      <c r="G55" s="2150"/>
      <c r="H55" s="2152"/>
      <c r="I55" s="1937"/>
      <c r="J55" s="1937"/>
      <c r="K55" s="1953" t="str">
        <f>J54&amp;".1"</f>
        <v>1.1.1.1.1.1.1</v>
      </c>
      <c r="L55" s="119"/>
      <c r="M55" s="1327" t="s">
        <v>423</v>
      </c>
      <c r="Q55" s="2093"/>
      <c r="R55" s="2093"/>
      <c r="S55" s="514">
        <v>1</v>
      </c>
      <c r="T55" s="345"/>
      <c r="U55" s="1353" t="str">
        <f>$K55</f>
        <v>1.1.1.1.1.1.1</v>
      </c>
      <c r="V55" s="1364" t="s">
        <v>479</v>
      </c>
      <c r="W55" s="280"/>
      <c r="X55" s="746"/>
      <c r="Y55" s="746"/>
      <c r="Z55" s="746"/>
      <c r="AA55" s="746"/>
      <c r="AB55" s="1422"/>
      <c r="AC55" s="2094"/>
      <c r="AD55" s="1963" t="s">
        <v>61</v>
      </c>
      <c r="AE55" s="2094"/>
      <c r="AF55" s="1963" t="s">
        <v>61</v>
      </c>
      <c r="AG55" s="1424"/>
      <c r="AH55" s="746"/>
      <c r="AI55" s="746"/>
      <c r="AJ55" s="746"/>
      <c r="AK55" s="1272"/>
      <c r="AL55" s="2425">
        <v>45292.671793981484</v>
      </c>
      <c r="AM55" s="1963" t="s">
        <v>61</v>
      </c>
      <c r="AN55" s="2425">
        <v>45473.671851851854</v>
      </c>
      <c r="AO55" s="1963" t="s">
        <v>61</v>
      </c>
      <c r="AP55" s="746"/>
      <c r="AQ55" s="746"/>
      <c r="AR55" s="746"/>
      <c r="AS55" s="746"/>
      <c r="AT55" s="1422"/>
      <c r="AU55" s="2425">
        <v>45474.671956018516</v>
      </c>
      <c r="AV55" s="1963" t="s">
        <v>61</v>
      </c>
      <c r="AW55" s="2425">
        <v>45657.67201388889</v>
      </c>
      <c r="AX55" s="1963" t="s">
        <v>61</v>
      </c>
      <c r="AY55" s="746"/>
      <c r="AZ55" s="746"/>
      <c r="BA55" s="746"/>
      <c r="BB55" s="746"/>
      <c r="BC55" s="1422"/>
      <c r="BD55" s="2425">
        <v>45658.673993055556</v>
      </c>
      <c r="BE55" s="1963" t="s">
        <v>61</v>
      </c>
      <c r="BF55" s="2425">
        <v>45838.674097222225</v>
      </c>
      <c r="BG55" s="1963" t="s">
        <v>61</v>
      </c>
      <c r="BH55" s="746"/>
      <c r="BI55" s="746"/>
      <c r="BJ55" s="746"/>
      <c r="BK55" s="746"/>
      <c r="BL55" s="1422"/>
      <c r="BM55" s="2425">
        <v>45839.67556712963</v>
      </c>
      <c r="BN55" s="1963" t="s">
        <v>61</v>
      </c>
      <c r="BO55" s="2425">
        <v>46022.67570601852</v>
      </c>
      <c r="BP55" s="1963" t="s">
        <v>61</v>
      </c>
      <c r="BQ55" s="746"/>
      <c r="BR55" s="746"/>
      <c r="BS55" s="746"/>
      <c r="BT55" s="746"/>
      <c r="BU55" s="1422"/>
      <c r="BV55" s="2425">
        <v>46023.67586805556</v>
      </c>
      <c r="BW55" s="1963" t="s">
        <v>61</v>
      </c>
      <c r="BX55" s="2425">
        <v>46203.67597222222</v>
      </c>
      <c r="BY55" s="1963" t="s">
        <v>61</v>
      </c>
      <c r="BZ55" s="746"/>
      <c r="CA55" s="746"/>
      <c r="CB55" s="746"/>
      <c r="CC55" s="746"/>
      <c r="CD55" s="1422"/>
      <c r="CE55" s="2425">
        <v>46204.676145833335</v>
      </c>
      <c r="CF55" s="1963" t="s">
        <v>61</v>
      </c>
      <c r="CG55" s="2425">
        <v>46387.67626157407</v>
      </c>
      <c r="CH55" s="1963" t="s">
        <v>61</v>
      </c>
      <c r="CI55" s="746"/>
      <c r="CJ55" s="746"/>
      <c r="CK55" s="746"/>
      <c r="CL55" s="746"/>
      <c r="CM55" s="1422"/>
      <c r="CN55" s="2425">
        <v>46388.67665509259</v>
      </c>
      <c r="CO55" s="1963" t="s">
        <v>61</v>
      </c>
      <c r="CP55" s="2425">
        <v>46568.67674768518</v>
      </c>
      <c r="CQ55" s="1963" t="s">
        <v>61</v>
      </c>
      <c r="CR55" s="746"/>
      <c r="CS55" s="746"/>
      <c r="CT55" s="746"/>
      <c r="CU55" s="746"/>
      <c r="CV55" s="1422"/>
      <c r="CW55" s="2425">
        <v>46569.67690972222</v>
      </c>
      <c r="CX55" s="1963" t="s">
        <v>61</v>
      </c>
      <c r="CY55" s="2425">
        <v>46752.67701388889</v>
      </c>
      <c r="CZ55" s="1963" t="s">
        <v>61</v>
      </c>
      <c r="DA55" s="746"/>
      <c r="DB55" s="746"/>
      <c r="DC55" s="746"/>
      <c r="DD55" s="746"/>
      <c r="DE55" s="1422"/>
      <c r="DF55" s="2425">
        <v>46753.677199074074</v>
      </c>
      <c r="DG55" s="1963" t="s">
        <v>61</v>
      </c>
      <c r="DH55" s="2425">
        <v>46934.67731481481</v>
      </c>
      <c r="DI55" s="1963" t="s">
        <v>61</v>
      </c>
      <c r="DJ55" s="746"/>
      <c r="DK55" s="746"/>
      <c r="DL55" s="746"/>
      <c r="DM55" s="746"/>
      <c r="DN55" s="1422"/>
      <c r="DO55" s="2425">
        <v>46935.677465277775</v>
      </c>
      <c r="DP55" s="1963" t="s">
        <v>61</v>
      </c>
      <c r="DQ55" s="2425">
        <v>47118.677569444444</v>
      </c>
      <c r="DR55" s="1963" t="s">
        <v>61</v>
      </c>
      <c r="DS55" s="1365"/>
      <c r="DT55" s="1324" t="s">
        <v>467</v>
      </c>
      <c r="DU55" s="507">
        <f>STRCHECKDATE(X57:DS57)</f>
      </c>
      <c r="DV55" s="496"/>
      <c r="DW55" s="496" t="str">
        <f>IF(V55="","",V55)</f>
        <v>горячая вода в системе централизованного теплоснабжения на горячее водоснабжение</v>
      </c>
      <c r="DX55" s="496"/>
      <c r="DY55" s="496"/>
    </row>
    <row customHeight="1" ht="11.25">
      <c r="A56" s="1283" t="s">
        <v>198</v>
      </c>
      <c r="B56" s="1283" t="s">
        <v>199</v>
      </c>
      <c r="C56" s="1283" t="s">
        <v>200</v>
      </c>
      <c r="D56" s="1283" t="s">
        <v>201</v>
      </c>
      <c r="E56" s="2150"/>
      <c r="F56" s="2150"/>
      <c r="G56" s="2150"/>
      <c r="H56" s="2152"/>
      <c r="I56" s="1937"/>
      <c r="J56" s="1937"/>
      <c r="K56" s="1937"/>
      <c r="L56" s="1953" t="str">
        <f>K55&amp;".1"</f>
        <v>1.1.1.1.1.1.1.1</v>
      </c>
      <c r="M56" s="1327"/>
      <c r="Q56" s="2093"/>
      <c r="R56" s="2093"/>
      <c r="S56" s="514">
        <v>1</v>
      </c>
      <c r="T56" s="345"/>
      <c r="U56" s="1353" t="str">
        <f>$L56</f>
        <v>1.1.1.1.1.1.1.1</v>
      </c>
      <c r="V56" s="1408" t="s">
        <v>480</v>
      </c>
      <c r="W56" s="280"/>
      <c r="X56" s="312"/>
      <c r="Y56" s="746"/>
      <c r="Z56" s="746"/>
      <c r="AA56" s="746"/>
      <c r="AB56" s="1422"/>
      <c r="AC56" s="2134"/>
      <c r="AD56" s="1963"/>
      <c r="AE56" s="2134"/>
      <c r="AF56" s="1963"/>
      <c r="AG56" s="1424"/>
      <c r="AH56" s="746">
        <v>43.42</v>
      </c>
      <c r="AI56" s="746">
        <v>2059.04</v>
      </c>
      <c r="AJ56" s="746"/>
      <c r="AK56" s="1272"/>
      <c r="AL56" s="2134"/>
      <c r="AM56" s="1963"/>
      <c r="AN56" s="2134"/>
      <c r="AO56" s="1963"/>
      <c r="AP56" s="312"/>
      <c r="AQ56" s="746">
        <v>45.76</v>
      </c>
      <c r="AR56" s="746">
        <v>2306.01</v>
      </c>
      <c r="AS56" s="746"/>
      <c r="AT56" s="1422"/>
      <c r="AU56" s="2134"/>
      <c r="AV56" s="1963"/>
      <c r="AW56" s="2134"/>
      <c r="AX56" s="1963"/>
      <c r="AY56" s="312"/>
      <c r="AZ56" s="746">
        <v>45.76</v>
      </c>
      <c r="BA56" s="746">
        <v>2306.01</v>
      </c>
      <c r="BB56" s="746"/>
      <c r="BC56" s="1422"/>
      <c r="BD56" s="2134"/>
      <c r="BE56" s="1963"/>
      <c r="BF56" s="2134"/>
      <c r="BG56" s="1963"/>
      <c r="BH56" s="312"/>
      <c r="BI56" s="746">
        <v>50.17</v>
      </c>
      <c r="BJ56" s="746">
        <v>2343.79</v>
      </c>
      <c r="BK56" s="746"/>
      <c r="BL56" s="1422"/>
      <c r="BM56" s="2134"/>
      <c r="BN56" s="1963"/>
      <c r="BO56" s="2134"/>
      <c r="BP56" s="1963"/>
      <c r="BQ56" s="312"/>
      <c r="BR56" s="746">
        <v>50.17</v>
      </c>
      <c r="BS56" s="746">
        <v>2343.79</v>
      </c>
      <c r="BT56" s="746"/>
      <c r="BU56" s="1422"/>
      <c r="BV56" s="2134"/>
      <c r="BW56" s="1963"/>
      <c r="BX56" s="2134"/>
      <c r="BY56" s="1963"/>
      <c r="BZ56" s="312"/>
      <c r="CA56" s="746">
        <v>51.55</v>
      </c>
      <c r="CB56" s="746">
        <v>2507.79</v>
      </c>
      <c r="CC56" s="746"/>
      <c r="CD56" s="1422"/>
      <c r="CE56" s="2134"/>
      <c r="CF56" s="1963"/>
      <c r="CG56" s="2134"/>
      <c r="CH56" s="1963"/>
      <c r="CI56" s="312"/>
      <c r="CJ56" s="746">
        <v>51.55</v>
      </c>
      <c r="CK56" s="746">
        <v>2507.79</v>
      </c>
      <c r="CL56" s="746"/>
      <c r="CM56" s="1422"/>
      <c r="CN56" s="2134"/>
      <c r="CO56" s="1963"/>
      <c r="CP56" s="2134"/>
      <c r="CQ56" s="1963"/>
      <c r="CR56" s="312"/>
      <c r="CS56" s="746">
        <v>54.79</v>
      </c>
      <c r="CT56" s="746">
        <v>2515.52</v>
      </c>
      <c r="CU56" s="746"/>
      <c r="CV56" s="1422"/>
      <c r="CW56" s="2134"/>
      <c r="CX56" s="1963"/>
      <c r="CY56" s="2134"/>
      <c r="CZ56" s="1963"/>
      <c r="DA56" s="312"/>
      <c r="DB56" s="746">
        <v>54.79</v>
      </c>
      <c r="DC56" s="746">
        <v>2515.52</v>
      </c>
      <c r="DD56" s="746"/>
      <c r="DE56" s="1422"/>
      <c r="DF56" s="2134"/>
      <c r="DG56" s="1963"/>
      <c r="DH56" s="2134"/>
      <c r="DI56" s="1963"/>
      <c r="DJ56" s="312"/>
      <c r="DK56" s="746">
        <v>56.42</v>
      </c>
      <c r="DL56" s="746">
        <v>2649.96</v>
      </c>
      <c r="DM56" s="746"/>
      <c r="DN56" s="1422"/>
      <c r="DO56" s="2134"/>
      <c r="DP56" s="1963"/>
      <c r="DQ56" s="2134"/>
      <c r="DR56" s="1963"/>
      <c r="DS56" s="1365"/>
      <c r="DT56" s="2119" t="s">
        <v>468</v>
      </c>
      <c r="DU56" s="507">
        <f>STRCHECKDATE(X58:DS58)</f>
      </c>
      <c r="DV56" s="496"/>
      <c r="DW56" s="496" t="str">
        <f>IF(V56="","",V56)</f>
        <v>прочие потребители, получающие тепловую энергию по тепловым сетям</v>
      </c>
      <c r="DX56" s="496"/>
      <c r="DY56" s="496"/>
    </row>
    <row customHeight="1" ht="0">
      <c r="A57" s="1283" t="s">
        <v>198</v>
      </c>
      <c r="B57" s="1283" t="s">
        <v>199</v>
      </c>
      <c r="C57" s="1283" t="s">
        <v>200</v>
      </c>
      <c r="D57" s="1283" t="s">
        <v>201</v>
      </c>
      <c r="E57" s="2150"/>
      <c r="F57" s="2150"/>
      <c r="G57" s="2150"/>
      <c r="H57" s="2152"/>
      <c r="I57" s="1937"/>
      <c r="J57" s="1937"/>
      <c r="K57" s="1937"/>
      <c r="L57" s="1953"/>
      <c r="M57" s="1327"/>
      <c r="Q57" s="2093"/>
      <c r="R57" s="2093"/>
      <c r="S57" s="514"/>
      <c r="T57" s="345"/>
      <c r="U57" s="1359"/>
      <c r="V57" s="280"/>
      <c r="W57" s="280"/>
      <c r="X57" s="312"/>
      <c r="Y57" s="312"/>
      <c r="Z57" s="312"/>
      <c r="AA57" s="312"/>
      <c r="AB57" s="1423" t="str">
        <f>AC55&amp;"-"&amp;AE55</f>
        <v>-</v>
      </c>
      <c r="AC57" s="2134"/>
      <c r="AD57" s="1963"/>
      <c r="AE57" s="2134"/>
      <c r="AF57" s="1963"/>
      <c r="AG57" s="1399"/>
      <c r="AH57" s="312"/>
      <c r="AI57" s="312"/>
      <c r="AJ57" s="312"/>
      <c r="AK57" s="316" t="str">
        <f>AL55&amp;"-"&amp;AN55</f>
        <v>45292.671793981484-45473.671851851854</v>
      </c>
      <c r="AL57" s="2134"/>
      <c r="AM57" s="1963"/>
      <c r="AN57" s="2134"/>
      <c r="AO57" s="1963"/>
      <c r="AP57" s="312"/>
      <c r="AQ57" s="312"/>
      <c r="AR57" s="312"/>
      <c r="AS57" s="312"/>
      <c r="AT57" s="1423" t="str">
        <f>AU55&amp;"-"&amp;AW55</f>
        <v>45474.671956018516-45657.67201388889</v>
      </c>
      <c r="AU57" s="2134"/>
      <c r="AV57" s="1963"/>
      <c r="AW57" s="2134"/>
      <c r="AX57" s="1963"/>
      <c r="AY57" s="312"/>
      <c r="AZ57" s="312"/>
      <c r="BA57" s="312"/>
      <c r="BB57" s="312"/>
      <c r="BC57" s="1423" t="str">
        <f>BD55&amp;"-"&amp;BF55</f>
        <v>45658.673993055556-45838.674097222225</v>
      </c>
      <c r="BD57" s="2134"/>
      <c r="BE57" s="1963"/>
      <c r="BF57" s="2134"/>
      <c r="BG57" s="1963"/>
      <c r="BH57" s="312"/>
      <c r="BI57" s="312"/>
      <c r="BJ57" s="312"/>
      <c r="BK57" s="312"/>
      <c r="BL57" s="1423" t="str">
        <f>BM55&amp;"-"&amp;BO55</f>
        <v>45839.67556712963-46022.67570601852</v>
      </c>
      <c r="BM57" s="2134"/>
      <c r="BN57" s="1963"/>
      <c r="BO57" s="2134"/>
      <c r="BP57" s="1963"/>
      <c r="BQ57" s="312"/>
      <c r="BR57" s="312"/>
      <c r="BS57" s="312"/>
      <c r="BT57" s="312"/>
      <c r="BU57" s="1423" t="str">
        <f>BV55&amp;"-"&amp;BX55</f>
        <v>46023.67586805556-46203.67597222222</v>
      </c>
      <c r="BV57" s="2134"/>
      <c r="BW57" s="1963"/>
      <c r="BX57" s="2134"/>
      <c r="BY57" s="1963"/>
      <c r="BZ57" s="312"/>
      <c r="CA57" s="312"/>
      <c r="CB57" s="312"/>
      <c r="CC57" s="312"/>
      <c r="CD57" s="1423" t="str">
        <f>CE55&amp;"-"&amp;CG55</f>
        <v>46204.676145833335-46387.67626157407</v>
      </c>
      <c r="CE57" s="2134"/>
      <c r="CF57" s="1963"/>
      <c r="CG57" s="2134"/>
      <c r="CH57" s="1963"/>
      <c r="CI57" s="312"/>
      <c r="CJ57" s="312"/>
      <c r="CK57" s="312"/>
      <c r="CL57" s="312"/>
      <c r="CM57" s="1423" t="str">
        <f>CN55&amp;"-"&amp;CP55</f>
        <v>46388.67665509259-46568.67674768518</v>
      </c>
      <c r="CN57" s="2134"/>
      <c r="CO57" s="1963"/>
      <c r="CP57" s="2134"/>
      <c r="CQ57" s="1963"/>
      <c r="CR57" s="312"/>
      <c r="CS57" s="312"/>
      <c r="CT57" s="312"/>
      <c r="CU57" s="312"/>
      <c r="CV57" s="1423" t="str">
        <f>CW55&amp;"-"&amp;CY55</f>
        <v>46569.67690972222-46752.67701388889</v>
      </c>
      <c r="CW57" s="2134"/>
      <c r="CX57" s="1963"/>
      <c r="CY57" s="2134"/>
      <c r="CZ57" s="1963"/>
      <c r="DA57" s="312"/>
      <c r="DB57" s="312"/>
      <c r="DC57" s="312"/>
      <c r="DD57" s="312"/>
      <c r="DE57" s="1423" t="str">
        <f>DF55&amp;"-"&amp;DH55</f>
        <v>46753.677199074074-46934.67731481481</v>
      </c>
      <c r="DF57" s="2134"/>
      <c r="DG57" s="1963"/>
      <c r="DH57" s="2134"/>
      <c r="DI57" s="1963"/>
      <c r="DJ57" s="312"/>
      <c r="DK57" s="312"/>
      <c r="DL57" s="312"/>
      <c r="DM57" s="312"/>
      <c r="DN57" s="1423" t="str">
        <f>DO55&amp;"-"&amp;DQ55</f>
        <v>46935.677465277775-47118.677569444444</v>
      </c>
      <c r="DO57" s="2134"/>
      <c r="DP57" s="1963"/>
      <c r="DQ57" s="2134"/>
      <c r="DR57" s="1963"/>
      <c r="DS57" s="1366"/>
      <c r="DT57" s="2120"/>
      <c r="DV57" s="496"/>
      <c r="DW57" s="496" t="str">
        <f>IF(V57="","",V57)</f>
        <v/>
      </c>
      <c r="DX57" s="496"/>
      <c r="DY57" s="496"/>
    </row>
    <row customHeight="1" ht="11.25">
      <c r="A58" s="1283" t="s">
        <v>198</v>
      </c>
      <c r="B58" s="1283" t="s">
        <v>199</v>
      </c>
      <c r="C58" s="1283" t="s">
        <v>200</v>
      </c>
      <c r="D58" s="1283" t="s">
        <v>201</v>
      </c>
      <c r="E58" s="2150"/>
      <c r="F58" s="2150"/>
      <c r="G58" s="2150"/>
      <c r="H58" s="2152"/>
      <c r="I58" s="1937"/>
      <c r="J58" s="1937"/>
      <c r="K58" s="1953"/>
      <c r="L58" s="1283"/>
      <c r="M58" s="1327"/>
      <c r="Q58" s="2093"/>
      <c r="R58" s="2093"/>
      <c r="S58" s="1348"/>
      <c r="T58" s="344"/>
      <c r="U58" s="1295"/>
      <c r="V58" s="269" t="s">
        <v>469</v>
      </c>
      <c r="W58" s="359"/>
      <c r="X58" s="359"/>
      <c r="Y58" s="359"/>
      <c r="Z58" s="359"/>
      <c r="AA58" s="359"/>
      <c r="AB58" s="359"/>
      <c r="AC58" s="2134"/>
      <c r="AD58" s="1963"/>
      <c r="AE58" s="2134"/>
      <c r="AF58" s="1963"/>
      <c r="AG58" s="359"/>
      <c r="AH58" s="359"/>
      <c r="AI58" s="359"/>
      <c r="AJ58" s="359"/>
      <c r="AK58" s="359"/>
      <c r="AL58" s="2134"/>
      <c r="AM58" s="1963"/>
      <c r="AN58" s="2134"/>
      <c r="AO58" s="1963"/>
      <c r="AP58" s="4994"/>
      <c r="AQ58" s="4995"/>
      <c r="AR58" s="4996"/>
      <c r="AS58" s="4997"/>
      <c r="AT58" s="4998"/>
      <c r="AU58" s="2134"/>
      <c r="AV58" s="1963"/>
      <c r="AW58" s="2134"/>
      <c r="AX58" s="1963"/>
      <c r="AY58" s="4999"/>
      <c r="AZ58" s="5000"/>
      <c r="BA58" s="5001"/>
      <c r="BB58" s="5002"/>
      <c r="BC58" s="5003"/>
      <c r="BD58" s="2134"/>
      <c r="BE58" s="1963"/>
      <c r="BF58" s="2134"/>
      <c r="BG58" s="1963"/>
      <c r="BH58" s="5004"/>
      <c r="BI58" s="5005"/>
      <c r="BJ58" s="5006"/>
      <c r="BK58" s="5007"/>
      <c r="BL58" s="5008"/>
      <c r="BM58" s="2134"/>
      <c r="BN58" s="1963"/>
      <c r="BO58" s="2134"/>
      <c r="BP58" s="1963"/>
      <c r="BQ58" s="5009"/>
      <c r="BR58" s="5010"/>
      <c r="BS58" s="5011"/>
      <c r="BT58" s="5012"/>
      <c r="BU58" s="5013"/>
      <c r="BV58" s="2134"/>
      <c r="BW58" s="1963"/>
      <c r="BX58" s="2134"/>
      <c r="BY58" s="1963"/>
      <c r="BZ58" s="5014"/>
      <c r="CA58" s="5015"/>
      <c r="CB58" s="5016"/>
      <c r="CC58" s="5017"/>
      <c r="CD58" s="5018"/>
      <c r="CE58" s="2134"/>
      <c r="CF58" s="1963"/>
      <c r="CG58" s="2134"/>
      <c r="CH58" s="1963"/>
      <c r="CI58" s="5019"/>
      <c r="CJ58" s="5020"/>
      <c r="CK58" s="5021"/>
      <c r="CL58" s="5022"/>
      <c r="CM58" s="5023"/>
      <c r="CN58" s="2134"/>
      <c r="CO58" s="1963"/>
      <c r="CP58" s="2134"/>
      <c r="CQ58" s="1963"/>
      <c r="CR58" s="5024"/>
      <c r="CS58" s="5025"/>
      <c r="CT58" s="5026"/>
      <c r="CU58" s="5027"/>
      <c r="CV58" s="5028"/>
      <c r="CW58" s="2134"/>
      <c r="CX58" s="1963"/>
      <c r="CY58" s="2134"/>
      <c r="CZ58" s="1963"/>
      <c r="DA58" s="5029"/>
      <c r="DB58" s="5030"/>
      <c r="DC58" s="5031"/>
      <c r="DD58" s="5032"/>
      <c r="DE58" s="5033"/>
      <c r="DF58" s="2134"/>
      <c r="DG58" s="1963"/>
      <c r="DH58" s="2134"/>
      <c r="DI58" s="1963"/>
      <c r="DJ58" s="5034"/>
      <c r="DK58" s="5035"/>
      <c r="DL58" s="5036"/>
      <c r="DM58" s="5037"/>
      <c r="DN58" s="5038"/>
      <c r="DO58" s="2134"/>
      <c r="DP58" s="1963"/>
      <c r="DQ58" s="2134"/>
      <c r="DR58" s="1963"/>
      <c r="DS58" s="311"/>
      <c r="DT58" s="2120"/>
      <c r="DV58" s="496"/>
      <c r="DW58" s="496" t="str">
        <f>IF(V58="","",V58)</f>
        <v>Добавить наименование поставщика</v>
      </c>
      <c r="DX58" s="496"/>
      <c r="DY58" s="496"/>
    </row>
    <row customHeight="1" ht="11.25">
      <c r="A59" s="1283" t="s">
        <v>198</v>
      </c>
      <c r="B59" s="1283" t="s">
        <v>199</v>
      </c>
      <c r="C59" s="1283" t="s">
        <v>200</v>
      </c>
      <c r="D59" s="1283" t="s">
        <v>201</v>
      </c>
      <c r="E59" s="2150"/>
      <c r="F59" s="2150"/>
      <c r="G59" s="2150"/>
      <c r="H59" s="2152"/>
      <c r="I59" s="1937"/>
      <c r="J59" s="1953"/>
      <c r="K59" s="1283"/>
      <c r="L59" s="1283"/>
      <c r="M59" s="1327"/>
      <c r="Q59" s="2093"/>
      <c r="R59" s="2093"/>
      <c r="S59" s="1348"/>
      <c r="T59" s="344"/>
      <c r="U59" s="1295"/>
      <c r="V59" s="268" t="s">
        <v>425</v>
      </c>
      <c r="W59" s="359"/>
      <c r="X59" s="359"/>
      <c r="Y59" s="359"/>
      <c r="Z59" s="359"/>
      <c r="AA59" s="359"/>
      <c r="AB59" s="359"/>
      <c r="AC59" s="1425"/>
      <c r="AD59" s="1425"/>
      <c r="AE59" s="1425"/>
      <c r="AF59" s="1425"/>
      <c r="AG59" s="359"/>
      <c r="AH59" s="359"/>
      <c r="AI59" s="359"/>
      <c r="AJ59" s="359"/>
      <c r="AK59" s="359"/>
      <c r="AL59" s="359"/>
      <c r="AM59" s="359"/>
      <c r="AN59" s="359"/>
      <c r="AO59" s="359"/>
      <c r="AP59" s="5039"/>
      <c r="AQ59" s="5040"/>
      <c r="AR59" s="5041"/>
      <c r="AS59" s="5042"/>
      <c r="AT59" s="5043"/>
      <c r="AU59" s="5044"/>
      <c r="AV59" s="5045"/>
      <c r="AW59" s="5046"/>
      <c r="AX59" s="5047"/>
      <c r="AY59" s="5048"/>
      <c r="AZ59" s="5049"/>
      <c r="BA59" s="5050"/>
      <c r="BB59" s="5051"/>
      <c r="BC59" s="5052"/>
      <c r="BD59" s="5053"/>
      <c r="BE59" s="5054"/>
      <c r="BF59" s="5055"/>
      <c r="BG59" s="5056"/>
      <c r="BH59" s="5057"/>
      <c r="BI59" s="5058"/>
      <c r="BJ59" s="5059"/>
      <c r="BK59" s="5060"/>
      <c r="BL59" s="5061"/>
      <c r="BM59" s="5062"/>
      <c r="BN59" s="5063"/>
      <c r="BO59" s="5064"/>
      <c r="BP59" s="5065"/>
      <c r="BQ59" s="5066"/>
      <c r="BR59" s="5067"/>
      <c r="BS59" s="5068"/>
      <c r="BT59" s="5069"/>
      <c r="BU59" s="5070"/>
      <c r="BV59" s="5071"/>
      <c r="BW59" s="5072"/>
      <c r="BX59" s="5073"/>
      <c r="BY59" s="5074"/>
      <c r="BZ59" s="5075"/>
      <c r="CA59" s="5076"/>
      <c r="CB59" s="5077"/>
      <c r="CC59" s="5078"/>
      <c r="CD59" s="5079"/>
      <c r="CE59" s="5080"/>
      <c r="CF59" s="5081"/>
      <c r="CG59" s="5082"/>
      <c r="CH59" s="5083"/>
      <c r="CI59" s="5084"/>
      <c r="CJ59" s="5085"/>
      <c r="CK59" s="5086"/>
      <c r="CL59" s="5087"/>
      <c r="CM59" s="5088"/>
      <c r="CN59" s="5089"/>
      <c r="CO59" s="5090"/>
      <c r="CP59" s="5091"/>
      <c r="CQ59" s="5092"/>
      <c r="CR59" s="5093"/>
      <c r="CS59" s="5094"/>
      <c r="CT59" s="5095"/>
      <c r="CU59" s="5096"/>
      <c r="CV59" s="5097"/>
      <c r="CW59" s="5098"/>
      <c r="CX59" s="5099"/>
      <c r="CY59" s="5100"/>
      <c r="CZ59" s="5101"/>
      <c r="DA59" s="5102"/>
      <c r="DB59" s="5103"/>
      <c r="DC59" s="5104"/>
      <c r="DD59" s="5105"/>
      <c r="DE59" s="5106"/>
      <c r="DF59" s="5107"/>
      <c r="DG59" s="5108"/>
      <c r="DH59" s="5109"/>
      <c r="DI59" s="5110"/>
      <c r="DJ59" s="5111"/>
      <c r="DK59" s="5112"/>
      <c r="DL59" s="5113"/>
      <c r="DM59" s="5114"/>
      <c r="DN59" s="5115"/>
      <c r="DO59" s="5116"/>
      <c r="DP59" s="5117"/>
      <c r="DQ59" s="5118"/>
      <c r="DR59" s="5119"/>
      <c r="DS59" s="311"/>
      <c r="DT59" s="2121"/>
      <c r="DV59" s="496"/>
      <c r="DW59" s="496" t="str">
        <f>IF(V59="","",V59)</f>
        <v>Добавить вид теплоносителя (параметры теплоносителя)</v>
      </c>
      <c r="DX59" s="496"/>
      <c r="DY59" s="496"/>
    </row>
    <row s="2437" customFormat="1" customHeight="1" ht="21">
      <c r="A60" s="1283"/>
      <c r="B60" s="1283"/>
      <c r="C60" s="1283"/>
      <c r="D60" s="1283"/>
      <c r="E60" s="2152"/>
      <c r="F60" s="2152"/>
      <c r="G60" s="2152"/>
      <c r="H60" s="2152"/>
      <c r="I60" s="1937"/>
      <c r="J60" s="2017" t="str">
        <f>I53&amp;".2"</f>
        <v>1.1.1.1.1.2</v>
      </c>
      <c r="K60" s="1283"/>
      <c r="L60" s="1283"/>
      <c r="M60" s="2029" t="s">
        <v>420</v>
      </c>
      <c r="N60" s="1660"/>
      <c r="O60" s="1660"/>
      <c r="P60" s="2216"/>
      <c r="Q60" s="2205"/>
      <c r="R60" s="678" t="s">
        <v>163</v>
      </c>
      <c r="S60" s="1667"/>
      <c r="T60" s="345"/>
      <c r="U60" s="2107" t="str">
        <f>$J60</f>
        <v>1.1.1.1.1.2</v>
      </c>
      <c r="V60" s="267" t="s">
        <v>421</v>
      </c>
      <c r="W60" s="280"/>
      <c r="X60" s="2077"/>
      <c r="Y60" s="2078"/>
      <c r="Z60" s="2078"/>
      <c r="AA60" s="2078"/>
      <c r="AB60" s="2078"/>
      <c r="AC60" s="2070"/>
      <c r="AD60" s="2070"/>
      <c r="AE60" s="2070"/>
      <c r="AF60" s="2153"/>
      <c r="AG60" s="2077" t="s">
        <v>465</v>
      </c>
      <c r="AH60" s="2078"/>
      <c r="AI60" s="2078"/>
      <c r="AJ60" s="2078"/>
      <c r="AK60" s="2078"/>
      <c r="AL60" s="2078"/>
      <c r="AM60" s="2078"/>
      <c r="AN60" s="2078"/>
      <c r="AO60" s="2078"/>
      <c r="AP60" s="2077"/>
      <c r="AQ60" s="2078"/>
      <c r="AR60" s="2078"/>
      <c r="AS60" s="2078"/>
      <c r="AT60" s="2078"/>
      <c r="AU60" s="2070"/>
      <c r="AV60" s="2070"/>
      <c r="AW60" s="2070"/>
      <c r="AX60" s="2153"/>
      <c r="AY60" s="2077"/>
      <c r="AZ60" s="2078"/>
      <c r="BA60" s="2078"/>
      <c r="BB60" s="2078"/>
      <c r="BC60" s="2078"/>
      <c r="BD60" s="2070"/>
      <c r="BE60" s="2070"/>
      <c r="BF60" s="2070"/>
      <c r="BG60" s="2153"/>
      <c r="BH60" s="2077"/>
      <c r="BI60" s="2078"/>
      <c r="BJ60" s="2078"/>
      <c r="BK60" s="2078"/>
      <c r="BL60" s="2078"/>
      <c r="BM60" s="2070"/>
      <c r="BN60" s="2070"/>
      <c r="BO60" s="2070"/>
      <c r="BP60" s="2153"/>
      <c r="BQ60" s="2077"/>
      <c r="BR60" s="2078"/>
      <c r="BS60" s="2078"/>
      <c r="BT60" s="2078"/>
      <c r="BU60" s="2078"/>
      <c r="BV60" s="2070"/>
      <c r="BW60" s="2070"/>
      <c r="BX60" s="2070"/>
      <c r="BY60" s="2153"/>
      <c r="BZ60" s="2077"/>
      <c r="CA60" s="2078"/>
      <c r="CB60" s="2078"/>
      <c r="CC60" s="2078"/>
      <c r="CD60" s="2078"/>
      <c r="CE60" s="2070"/>
      <c r="CF60" s="2070"/>
      <c r="CG60" s="2070"/>
      <c r="CH60" s="2153"/>
      <c r="CI60" s="2077"/>
      <c r="CJ60" s="2078"/>
      <c r="CK60" s="2078"/>
      <c r="CL60" s="2078"/>
      <c r="CM60" s="2078"/>
      <c r="CN60" s="2070"/>
      <c r="CO60" s="2070"/>
      <c r="CP60" s="2070"/>
      <c r="CQ60" s="2153"/>
      <c r="CR60" s="2077"/>
      <c r="CS60" s="2078"/>
      <c r="CT60" s="2078"/>
      <c r="CU60" s="2078"/>
      <c r="CV60" s="2078"/>
      <c r="CW60" s="2070"/>
      <c r="CX60" s="2070"/>
      <c r="CY60" s="2070"/>
      <c r="CZ60" s="2153"/>
      <c r="DA60" s="2077"/>
      <c r="DB60" s="2078"/>
      <c r="DC60" s="2078"/>
      <c r="DD60" s="2078"/>
      <c r="DE60" s="2078"/>
      <c r="DF60" s="2070"/>
      <c r="DG60" s="2070"/>
      <c r="DH60" s="2070"/>
      <c r="DI60" s="2153"/>
      <c r="DJ60" s="2077"/>
      <c r="DK60" s="2078"/>
      <c r="DL60" s="2078"/>
      <c r="DM60" s="2078"/>
      <c r="DN60" s="2078"/>
      <c r="DO60" s="2070"/>
      <c r="DP60" s="2070"/>
      <c r="DQ60" s="2070"/>
      <c r="DR60" s="2153"/>
      <c r="DS60" s="2079"/>
      <c r="DT60" s="1273" t="s">
        <v>422</v>
      </c>
      <c r="DU60" s="1667"/>
      <c r="DV60" s="1649"/>
      <c r="DW60" s="1649" t="str">
        <f>IF(V60="","",V60)</f>
        <v>Группа потребителей</v>
      </c>
      <c r="DX60" s="1649"/>
      <c r="DY60" s="1649"/>
    </row>
    <row s="2437" customFormat="1" customHeight="1" ht="21">
      <c r="A61" s="1283"/>
      <c r="B61" s="1283"/>
      <c r="C61" s="1283"/>
      <c r="D61" s="1283"/>
      <c r="E61" s="2152"/>
      <c r="F61" s="2152"/>
      <c r="G61" s="2152"/>
      <c r="H61" s="2152"/>
      <c r="I61" s="1937"/>
      <c r="J61" s="1937" t="str">
        <f>I53&amp;".1"</f>
        <v>1.1.1.1.1.1</v>
      </c>
      <c r="K61" s="2017" t="str">
        <f>J60&amp;".1"</f>
        <v>1.1.1.1.1.2.1</v>
      </c>
      <c r="L61" s="1951"/>
      <c r="M61" s="2029" t="s">
        <v>423</v>
      </c>
      <c r="N61" s="1660"/>
      <c r="O61" s="1660"/>
      <c r="P61" s="1660"/>
      <c r="Q61" s="2205"/>
      <c r="R61" s="2205"/>
      <c r="S61" s="2205">
        <v>1</v>
      </c>
      <c r="T61" s="345"/>
      <c r="U61" s="2107" t="str">
        <f>$K61</f>
        <v>1.1.1.1.1.2.1</v>
      </c>
      <c r="V61" s="1364" t="s">
        <v>479</v>
      </c>
      <c r="W61" s="280"/>
      <c r="X61" s="746"/>
      <c r="Y61" s="746"/>
      <c r="Z61" s="746"/>
      <c r="AA61" s="746"/>
      <c r="AB61" s="1422"/>
      <c r="AC61" s="2425"/>
      <c r="AD61" s="1963" t="s">
        <v>61</v>
      </c>
      <c r="AE61" s="2425"/>
      <c r="AF61" s="1963" t="s">
        <v>61</v>
      </c>
      <c r="AG61" s="1424"/>
      <c r="AH61" s="746"/>
      <c r="AI61" s="746"/>
      <c r="AJ61" s="746"/>
      <c r="AK61" s="1272"/>
      <c r="AL61" s="2425">
        <v>45292.68451388889</v>
      </c>
      <c r="AM61" s="1963" t="s">
        <v>61</v>
      </c>
      <c r="AN61" s="2425">
        <v>45473.68472222222</v>
      </c>
      <c r="AO61" s="1963" t="s">
        <v>61</v>
      </c>
      <c r="AP61" s="746"/>
      <c r="AQ61" s="746"/>
      <c r="AR61" s="746"/>
      <c r="AS61" s="746"/>
      <c r="AT61" s="1422"/>
      <c r="AU61" s="2425">
        <v>45474.68479166667</v>
      </c>
      <c r="AV61" s="1963" t="s">
        <v>61</v>
      </c>
      <c r="AW61" s="2425">
        <v>45657.68487268518</v>
      </c>
      <c r="AX61" s="1963" t="s">
        <v>61</v>
      </c>
      <c r="AY61" s="746"/>
      <c r="AZ61" s="746"/>
      <c r="BA61" s="746"/>
      <c r="BB61" s="746"/>
      <c r="BC61" s="1422"/>
      <c r="BD61" s="2425">
        <v>45658.685011574074</v>
      </c>
      <c r="BE61" s="1963" t="s">
        <v>61</v>
      </c>
      <c r="BF61" s="2425">
        <v>45838.685162037036</v>
      </c>
      <c r="BG61" s="1963" t="s">
        <v>61</v>
      </c>
      <c r="BH61" s="746"/>
      <c r="BI61" s="746"/>
      <c r="BJ61" s="746"/>
      <c r="BK61" s="746"/>
      <c r="BL61" s="1422"/>
      <c r="BM61" s="2425">
        <v>45839.685277777775</v>
      </c>
      <c r="BN61" s="1963" t="s">
        <v>61</v>
      </c>
      <c r="BO61" s="2425">
        <v>46022.68541666667</v>
      </c>
      <c r="BP61" s="1963" t="s">
        <v>61</v>
      </c>
      <c r="BQ61" s="746"/>
      <c r="BR61" s="746"/>
      <c r="BS61" s="746"/>
      <c r="BT61" s="746"/>
      <c r="BU61" s="1422"/>
      <c r="BV61" s="2425">
        <v>46023.6856712963</v>
      </c>
      <c r="BW61" s="1963" t="s">
        <v>61</v>
      </c>
      <c r="BX61" s="2425">
        <v>46203.68653935185</v>
      </c>
      <c r="BY61" s="1963" t="s">
        <v>61</v>
      </c>
      <c r="BZ61" s="746"/>
      <c r="CA61" s="746"/>
      <c r="CB61" s="746"/>
      <c r="CC61" s="746"/>
      <c r="CD61" s="1422"/>
      <c r="CE61" s="2425">
        <v>46204.686747685184</v>
      </c>
      <c r="CF61" s="1963" t="s">
        <v>61</v>
      </c>
      <c r="CG61" s="2425">
        <v>46387.686898148146</v>
      </c>
      <c r="CH61" s="1963" t="s">
        <v>61</v>
      </c>
      <c r="CI61" s="746"/>
      <c r="CJ61" s="746"/>
      <c r="CK61" s="746"/>
      <c r="CL61" s="746"/>
      <c r="CM61" s="1422"/>
      <c r="CN61" s="2425">
        <v>46388.68708333333</v>
      </c>
      <c r="CO61" s="1963" t="s">
        <v>61</v>
      </c>
      <c r="CP61" s="2425">
        <v>46568.68719907408</v>
      </c>
      <c r="CQ61" s="1963" t="s">
        <v>61</v>
      </c>
      <c r="CR61" s="746"/>
      <c r="CS61" s="746"/>
      <c r="CT61" s="746"/>
      <c r="CU61" s="746"/>
      <c r="CV61" s="1422"/>
      <c r="CW61" s="2425">
        <v>46569.68734953704</v>
      </c>
      <c r="CX61" s="1963" t="s">
        <v>61</v>
      </c>
      <c r="CY61" s="2425">
        <v>46752.68746527778</v>
      </c>
      <c r="CZ61" s="1963" t="s">
        <v>61</v>
      </c>
      <c r="DA61" s="746"/>
      <c r="DB61" s="746"/>
      <c r="DC61" s="746"/>
      <c r="DD61" s="746"/>
      <c r="DE61" s="1422"/>
      <c r="DF61" s="2425">
        <v>46753.69148148148</v>
      </c>
      <c r="DG61" s="1963" t="s">
        <v>61</v>
      </c>
      <c r="DH61" s="2425">
        <v>46934.69159722222</v>
      </c>
      <c r="DI61" s="1963" t="s">
        <v>61</v>
      </c>
      <c r="DJ61" s="746"/>
      <c r="DK61" s="746"/>
      <c r="DL61" s="746"/>
      <c r="DM61" s="746"/>
      <c r="DN61" s="1422"/>
      <c r="DO61" s="2425">
        <v>46935.69175925926</v>
      </c>
      <c r="DP61" s="1963" t="s">
        <v>61</v>
      </c>
      <c r="DQ61" s="2425">
        <v>47118.691875</v>
      </c>
      <c r="DR61" s="1963" t="s">
        <v>61</v>
      </c>
      <c r="DS61" s="312"/>
      <c r="DT61" s="1324" t="s">
        <v>467</v>
      </c>
      <c r="DU61" s="1667">
        <f>STRCHECKDATE(X63:DS63)</f>
      </c>
      <c r="DV61" s="1649"/>
      <c r="DW61" s="1649" t="str">
        <f>IF(V61="","",V61)</f>
        <v>горячая вода в системе централизованного теплоснабжения на горячее водоснабжение</v>
      </c>
      <c r="DX61" s="1649"/>
      <c r="DY61" s="1649"/>
    </row>
    <row s="2437" customFormat="1" customHeight="1" ht="21">
      <c r="A62" s="1283"/>
      <c r="B62" s="1283"/>
      <c r="C62" s="1283"/>
      <c r="D62" s="1283"/>
      <c r="E62" s="2152"/>
      <c r="F62" s="2152"/>
      <c r="G62" s="2152"/>
      <c r="H62" s="2152"/>
      <c r="I62" s="1937"/>
      <c r="J62" s="1937" t="str">
        <f>I53&amp;".1"</f>
        <v>1.1.1.1.1.1</v>
      </c>
      <c r="K62" s="1937"/>
      <c r="L62" s="2017" t="str">
        <f>K61&amp;".1"</f>
        <v>1.1.1.1.1.2.1.1</v>
      </c>
      <c r="M62" s="2029"/>
      <c r="N62" s="1660"/>
      <c r="O62" s="1660"/>
      <c r="P62" s="1660"/>
      <c r="Q62" s="2205"/>
      <c r="R62" s="2205"/>
      <c r="S62" s="2205"/>
      <c r="T62" s="345"/>
      <c r="U62" s="2107" t="str">
        <f>$L62</f>
        <v>1.1.1.1.1.2.1.1</v>
      </c>
      <c r="V62" s="1408" t="s">
        <v>481</v>
      </c>
      <c r="W62" s="280"/>
      <c r="X62" s="312"/>
      <c r="Y62" s="746"/>
      <c r="Z62" s="746"/>
      <c r="AA62" s="746"/>
      <c r="AB62" s="1422"/>
      <c r="AC62" s="2134"/>
      <c r="AD62" s="1963"/>
      <c r="AE62" s="2134"/>
      <c r="AF62" s="1963"/>
      <c r="AG62" s="1424"/>
      <c r="AH62" s="746">
        <v>43.42</v>
      </c>
      <c r="AI62" s="746">
        <v>1368.99</v>
      </c>
      <c r="AJ62" s="746"/>
      <c r="AK62" s="1272"/>
      <c r="AL62" s="2134"/>
      <c r="AM62" s="1963"/>
      <c r="AN62" s="2134"/>
      <c r="AO62" s="1963"/>
      <c r="AP62" s="312"/>
      <c r="AQ62" s="746">
        <v>45.76</v>
      </c>
      <c r="AR62" s="746">
        <v>1468.64</v>
      </c>
      <c r="AS62" s="746"/>
      <c r="AT62" s="1422"/>
      <c r="AU62" s="2134"/>
      <c r="AV62" s="1963"/>
      <c r="AW62" s="2134"/>
      <c r="AX62" s="1963"/>
      <c r="AY62" s="312"/>
      <c r="AZ62" s="746">
        <v>45.76</v>
      </c>
      <c r="BA62" s="746">
        <v>1468.64</v>
      </c>
      <c r="BB62" s="746"/>
      <c r="BC62" s="1422"/>
      <c r="BD62" s="2134"/>
      <c r="BE62" s="1963"/>
      <c r="BF62" s="2134"/>
      <c r="BG62" s="1963"/>
      <c r="BH62" s="312"/>
      <c r="BI62" s="746">
        <v>50.17</v>
      </c>
      <c r="BJ62" s="746">
        <v>1591.98</v>
      </c>
      <c r="BK62" s="746"/>
      <c r="BL62" s="1422"/>
      <c r="BM62" s="2134"/>
      <c r="BN62" s="1963"/>
      <c r="BO62" s="2134"/>
      <c r="BP62" s="1963"/>
      <c r="BQ62" s="312"/>
      <c r="BR62" s="746">
        <v>50.17</v>
      </c>
      <c r="BS62" s="746">
        <v>1591.98</v>
      </c>
      <c r="BT62" s="746"/>
      <c r="BU62" s="1422"/>
      <c r="BV62" s="2134"/>
      <c r="BW62" s="1963"/>
      <c r="BX62" s="2134"/>
      <c r="BY62" s="1963"/>
      <c r="BZ62" s="312"/>
      <c r="CA62" s="746">
        <v>51.55</v>
      </c>
      <c r="CB62" s="746">
        <v>1620.49</v>
      </c>
      <c r="CC62" s="746"/>
      <c r="CD62" s="1422"/>
      <c r="CE62" s="2134"/>
      <c r="CF62" s="1963"/>
      <c r="CG62" s="2134"/>
      <c r="CH62" s="1963"/>
      <c r="CI62" s="312"/>
      <c r="CJ62" s="746">
        <v>51.55</v>
      </c>
      <c r="CK62" s="746">
        <v>1620.49</v>
      </c>
      <c r="CL62" s="746"/>
      <c r="CM62" s="1422"/>
      <c r="CN62" s="2134"/>
      <c r="CO62" s="1963"/>
      <c r="CP62" s="2134"/>
      <c r="CQ62" s="1963"/>
      <c r="CR62" s="312"/>
      <c r="CS62" s="746">
        <v>54.79</v>
      </c>
      <c r="CT62" s="746">
        <v>1716.79</v>
      </c>
      <c r="CU62" s="746"/>
      <c r="CV62" s="1422"/>
      <c r="CW62" s="2134"/>
      <c r="CX62" s="1963"/>
      <c r="CY62" s="2134"/>
      <c r="CZ62" s="1963"/>
      <c r="DA62" s="312"/>
      <c r="DB62" s="746">
        <v>54.79</v>
      </c>
      <c r="DC62" s="746">
        <v>1716.79</v>
      </c>
      <c r="DD62" s="746"/>
      <c r="DE62" s="1422"/>
      <c r="DF62" s="2134"/>
      <c r="DG62" s="1963"/>
      <c r="DH62" s="2134"/>
      <c r="DI62" s="1963"/>
      <c r="DJ62" s="312"/>
      <c r="DK62" s="746">
        <v>56.42</v>
      </c>
      <c r="DL62" s="746">
        <v>1735.07</v>
      </c>
      <c r="DM62" s="746"/>
      <c r="DN62" s="1422"/>
      <c r="DO62" s="2134"/>
      <c r="DP62" s="1963"/>
      <c r="DQ62" s="2134"/>
      <c r="DR62" s="1963"/>
      <c r="DS62" s="312"/>
      <c r="DT62" s="2119" t="s">
        <v>468</v>
      </c>
      <c r="DU62" s="1667"/>
      <c r="DV62" s="1649"/>
      <c r="DW62" s="1649"/>
      <c r="DX62" s="1649"/>
      <c r="DY62" s="1649"/>
    </row>
    <row s="2437" customFormat="1" customHeight="1" ht="14.25">
      <c r="A63" s="1283"/>
      <c r="B63" s="1283"/>
      <c r="C63" s="1283"/>
      <c r="D63" s="1283"/>
      <c r="E63" s="2152"/>
      <c r="F63" s="2152"/>
      <c r="G63" s="2152"/>
      <c r="H63" s="2152"/>
      <c r="I63" s="1937"/>
      <c r="J63" s="1937" t="str">
        <f>I53&amp;".1"</f>
        <v>1.1.1.1.1.1</v>
      </c>
      <c r="K63" s="1937"/>
      <c r="L63" s="2017"/>
      <c r="M63" s="2029"/>
      <c r="N63" s="1660"/>
      <c r="O63" s="1660"/>
      <c r="P63" s="1660"/>
      <c r="Q63" s="2205"/>
      <c r="R63" s="2205"/>
      <c r="S63" s="2205"/>
      <c r="T63" s="345"/>
      <c r="U63" s="2349"/>
      <c r="V63" s="280"/>
      <c r="W63" s="280"/>
      <c r="X63" s="312"/>
      <c r="Y63" s="312"/>
      <c r="Z63" s="312"/>
      <c r="AA63" s="312"/>
      <c r="AB63" s="1423" t="str">
        <f>AC61&amp;"-"&amp;AE61</f>
        <v>-</v>
      </c>
      <c r="AC63" s="2134"/>
      <c r="AD63" s="1963"/>
      <c r="AE63" s="2134"/>
      <c r="AF63" s="1963"/>
      <c r="AG63" s="1399"/>
      <c r="AH63" s="312"/>
      <c r="AI63" s="312"/>
      <c r="AJ63" s="312"/>
      <c r="AK63" s="316" t="str">
        <f>AL61&amp;"-"&amp;AN61</f>
        <v>45292.68451388889-45473.68472222222</v>
      </c>
      <c r="AL63" s="2134"/>
      <c r="AM63" s="1963"/>
      <c r="AN63" s="2134"/>
      <c r="AO63" s="1963"/>
      <c r="AP63" s="312"/>
      <c r="AQ63" s="312"/>
      <c r="AR63" s="312"/>
      <c r="AS63" s="312"/>
      <c r="AT63" s="1423" t="str">
        <f>AU61&amp;"-"&amp;AW61</f>
        <v>45474.68479166667-45657.68487268518</v>
      </c>
      <c r="AU63" s="2134"/>
      <c r="AV63" s="1963"/>
      <c r="AW63" s="2134"/>
      <c r="AX63" s="1963"/>
      <c r="AY63" s="312"/>
      <c r="AZ63" s="312"/>
      <c r="BA63" s="312"/>
      <c r="BB63" s="312"/>
      <c r="BC63" s="1423" t="str">
        <f>BD61&amp;"-"&amp;BF61</f>
        <v>45658.685011574074-45838.685162037036</v>
      </c>
      <c r="BD63" s="2134"/>
      <c r="BE63" s="1963"/>
      <c r="BF63" s="2134"/>
      <c r="BG63" s="1963"/>
      <c r="BH63" s="312"/>
      <c r="BI63" s="312"/>
      <c r="BJ63" s="312"/>
      <c r="BK63" s="312"/>
      <c r="BL63" s="1423" t="str">
        <f>BM61&amp;"-"&amp;BO61</f>
        <v>45839.685277777775-46022.68541666667</v>
      </c>
      <c r="BM63" s="2134"/>
      <c r="BN63" s="1963"/>
      <c r="BO63" s="2134"/>
      <c r="BP63" s="1963"/>
      <c r="BQ63" s="312"/>
      <c r="BR63" s="312"/>
      <c r="BS63" s="312"/>
      <c r="BT63" s="312"/>
      <c r="BU63" s="1423" t="str">
        <f>BV61&amp;"-"&amp;BX61</f>
        <v>46023.6856712963-46203.68653935185</v>
      </c>
      <c r="BV63" s="2134"/>
      <c r="BW63" s="1963"/>
      <c r="BX63" s="2134"/>
      <c r="BY63" s="1963"/>
      <c r="BZ63" s="312"/>
      <c r="CA63" s="312"/>
      <c r="CB63" s="312"/>
      <c r="CC63" s="312"/>
      <c r="CD63" s="1423" t="str">
        <f>CE61&amp;"-"&amp;CG61</f>
        <v>46204.686747685184-46387.686898148146</v>
      </c>
      <c r="CE63" s="2134"/>
      <c r="CF63" s="1963"/>
      <c r="CG63" s="2134"/>
      <c r="CH63" s="1963"/>
      <c r="CI63" s="312"/>
      <c r="CJ63" s="312"/>
      <c r="CK63" s="312"/>
      <c r="CL63" s="312"/>
      <c r="CM63" s="1423" t="str">
        <f>CN61&amp;"-"&amp;CP61</f>
        <v>46388.68708333333-46568.68719907408</v>
      </c>
      <c r="CN63" s="2134"/>
      <c r="CO63" s="1963"/>
      <c r="CP63" s="2134"/>
      <c r="CQ63" s="1963"/>
      <c r="CR63" s="312"/>
      <c r="CS63" s="312"/>
      <c r="CT63" s="312"/>
      <c r="CU63" s="312"/>
      <c r="CV63" s="1423" t="str">
        <f>CW61&amp;"-"&amp;CY61</f>
        <v>46569.68734953704-46752.68746527778</v>
      </c>
      <c r="CW63" s="2134"/>
      <c r="CX63" s="1963"/>
      <c r="CY63" s="2134"/>
      <c r="CZ63" s="1963"/>
      <c r="DA63" s="312"/>
      <c r="DB63" s="312"/>
      <c r="DC63" s="312"/>
      <c r="DD63" s="312"/>
      <c r="DE63" s="1423" t="str">
        <f>DF61&amp;"-"&amp;DH61</f>
        <v>46753.69148148148-46934.69159722222</v>
      </c>
      <c r="DF63" s="2134"/>
      <c r="DG63" s="1963"/>
      <c r="DH63" s="2134"/>
      <c r="DI63" s="1963"/>
      <c r="DJ63" s="312"/>
      <c r="DK63" s="312"/>
      <c r="DL63" s="312"/>
      <c r="DM63" s="312"/>
      <c r="DN63" s="1423" t="str">
        <f>DO61&amp;"-"&amp;DQ61</f>
        <v>46935.69175925926-47118.691875</v>
      </c>
      <c r="DO63" s="2134"/>
      <c r="DP63" s="1963"/>
      <c r="DQ63" s="2134"/>
      <c r="DR63" s="1963"/>
      <c r="DS63" s="312"/>
      <c r="DT63" s="2120"/>
      <c r="DU63" s="1667"/>
      <c r="DV63" s="1649"/>
      <c r="DW63" s="1649" t="str">
        <f>IF(V63="","",V63)</f>
        <v/>
      </c>
      <c r="DX63" s="1649"/>
      <c r="DY63" s="1649"/>
    </row>
    <row s="2437" customFormat="1" customHeight="1" ht="11.25">
      <c r="A64" s="1283"/>
      <c r="B64" s="1283"/>
      <c r="C64" s="1283"/>
      <c r="D64" s="1283"/>
      <c r="E64" s="2152"/>
      <c r="F64" s="2152"/>
      <c r="G64" s="2152"/>
      <c r="H64" s="2152"/>
      <c r="I64" s="1937"/>
      <c r="J64" s="1937" t="str">
        <f>I53&amp;".1"</f>
        <v>1.1.1.1.1.1</v>
      </c>
      <c r="K64" s="2017"/>
      <c r="L64" s="1283"/>
      <c r="M64" s="2029"/>
      <c r="N64" s="1660"/>
      <c r="O64" s="1660"/>
      <c r="P64" s="1660"/>
      <c r="Q64" s="2205"/>
      <c r="R64" s="2205"/>
      <c r="S64" s="2205"/>
      <c r="T64" s="345"/>
      <c r="U64" s="5120"/>
      <c r="V64" s="5121" t="s">
        <v>469</v>
      </c>
      <c r="W64" s="5122"/>
      <c r="X64" s="5123"/>
      <c r="Y64" s="5124"/>
      <c r="Z64" s="5125"/>
      <c r="AA64" s="5126"/>
      <c r="AB64" s="5127"/>
      <c r="AC64" s="2134"/>
      <c r="AD64" s="1963"/>
      <c r="AE64" s="2134"/>
      <c r="AF64" s="1963"/>
      <c r="AG64" s="5128"/>
      <c r="AH64" s="5129"/>
      <c r="AI64" s="5130"/>
      <c r="AJ64" s="5131"/>
      <c r="AK64" s="5132"/>
      <c r="AL64" s="2134"/>
      <c r="AM64" s="1963"/>
      <c r="AN64" s="2134"/>
      <c r="AO64" s="1963"/>
      <c r="AP64" s="5133"/>
      <c r="AQ64" s="5134"/>
      <c r="AR64" s="5135"/>
      <c r="AS64" s="5136"/>
      <c r="AT64" s="5137"/>
      <c r="AU64" s="2134"/>
      <c r="AV64" s="1963"/>
      <c r="AW64" s="2134"/>
      <c r="AX64" s="1963"/>
      <c r="AY64" s="5138"/>
      <c r="AZ64" s="5139"/>
      <c r="BA64" s="5140"/>
      <c r="BB64" s="5141"/>
      <c r="BC64" s="5142"/>
      <c r="BD64" s="2134"/>
      <c r="BE64" s="1963"/>
      <c r="BF64" s="2134"/>
      <c r="BG64" s="1963"/>
      <c r="BH64" s="5143"/>
      <c r="BI64" s="5144"/>
      <c r="BJ64" s="5145"/>
      <c r="BK64" s="5146"/>
      <c r="BL64" s="5147"/>
      <c r="BM64" s="2134"/>
      <c r="BN64" s="1963"/>
      <c r="BO64" s="2134"/>
      <c r="BP64" s="1963"/>
      <c r="BQ64" s="5148"/>
      <c r="BR64" s="5149"/>
      <c r="BS64" s="5150"/>
      <c r="BT64" s="5151"/>
      <c r="BU64" s="5152"/>
      <c r="BV64" s="2134"/>
      <c r="BW64" s="1963"/>
      <c r="BX64" s="2134"/>
      <c r="BY64" s="1963"/>
      <c r="BZ64" s="5153"/>
      <c r="CA64" s="5154"/>
      <c r="CB64" s="5155"/>
      <c r="CC64" s="5156"/>
      <c r="CD64" s="5157"/>
      <c r="CE64" s="2134"/>
      <c r="CF64" s="1963"/>
      <c r="CG64" s="2134"/>
      <c r="CH64" s="1963"/>
      <c r="CI64" s="5158"/>
      <c r="CJ64" s="5159"/>
      <c r="CK64" s="5160"/>
      <c r="CL64" s="5161"/>
      <c r="CM64" s="5162"/>
      <c r="CN64" s="2134"/>
      <c r="CO64" s="1963"/>
      <c r="CP64" s="2134"/>
      <c r="CQ64" s="1963"/>
      <c r="CR64" s="5163"/>
      <c r="CS64" s="5164"/>
      <c r="CT64" s="5165"/>
      <c r="CU64" s="5166"/>
      <c r="CV64" s="5167"/>
      <c r="CW64" s="2134"/>
      <c r="CX64" s="1963"/>
      <c r="CY64" s="2134"/>
      <c r="CZ64" s="1963"/>
      <c r="DA64" s="5168"/>
      <c r="DB64" s="5169"/>
      <c r="DC64" s="5170"/>
      <c r="DD64" s="5171"/>
      <c r="DE64" s="5172"/>
      <c r="DF64" s="2134"/>
      <c r="DG64" s="1963"/>
      <c r="DH64" s="2134"/>
      <c r="DI64" s="1963"/>
      <c r="DJ64" s="5173"/>
      <c r="DK64" s="5174"/>
      <c r="DL64" s="5175"/>
      <c r="DM64" s="5176"/>
      <c r="DN64" s="5177"/>
      <c r="DO64" s="2134"/>
      <c r="DP64" s="1963"/>
      <c r="DQ64" s="2134"/>
      <c r="DR64" s="1963"/>
      <c r="DS64" s="5178"/>
      <c r="DT64" s="2120"/>
      <c r="DU64" s="1667"/>
      <c r="DV64" s="1649"/>
      <c r="DW64" s="1649"/>
      <c r="DX64" s="1649"/>
      <c r="DY64" s="1649"/>
    </row>
    <row s="2437" customFormat="1" customHeight="1" ht="15">
      <c r="A65" s="1283"/>
      <c r="B65" s="1283"/>
      <c r="C65" s="1283"/>
      <c r="D65" s="1283"/>
      <c r="E65" s="2152"/>
      <c r="F65" s="2152"/>
      <c r="G65" s="2152"/>
      <c r="H65" s="2152"/>
      <c r="I65" s="1937"/>
      <c r="J65" s="2017" t="str">
        <f>I53&amp;".1"</f>
        <v>1.1.1.1.1.1</v>
      </c>
      <c r="K65" s="1283"/>
      <c r="L65" s="1283"/>
      <c r="M65" s="2029"/>
      <c r="N65" s="1660"/>
      <c r="O65" s="1660"/>
      <c r="P65" s="2216"/>
      <c r="Q65" s="2205"/>
      <c r="R65" s="2205"/>
      <c r="S65" s="2205"/>
      <c r="T65" s="344"/>
      <c r="U65" s="5179"/>
      <c r="V65" s="5180" t="s">
        <v>425</v>
      </c>
      <c r="W65" s="5181"/>
      <c r="X65" s="5182"/>
      <c r="Y65" s="5183"/>
      <c r="Z65" s="5184"/>
      <c r="AA65" s="5185"/>
      <c r="AB65" s="5186"/>
      <c r="AC65" s="5187"/>
      <c r="AD65" s="5188"/>
      <c r="AE65" s="5189"/>
      <c r="AF65" s="5190"/>
      <c r="AG65" s="5191"/>
      <c r="AH65" s="5192"/>
      <c r="AI65" s="5193"/>
      <c r="AJ65" s="5194"/>
      <c r="AK65" s="5195"/>
      <c r="AL65" s="5196"/>
      <c r="AM65" s="5197"/>
      <c r="AN65" s="5198"/>
      <c r="AO65" s="5199"/>
      <c r="AP65" s="5200"/>
      <c r="AQ65" s="5201"/>
      <c r="AR65" s="5202"/>
      <c r="AS65" s="5203"/>
      <c r="AT65" s="5204"/>
      <c r="AU65" s="5205"/>
      <c r="AV65" s="5206"/>
      <c r="AW65" s="5207"/>
      <c r="AX65" s="5208"/>
      <c r="AY65" s="5209"/>
      <c r="AZ65" s="5210"/>
      <c r="BA65" s="5211"/>
      <c r="BB65" s="5212"/>
      <c r="BC65" s="5213"/>
      <c r="BD65" s="5214"/>
      <c r="BE65" s="5215"/>
      <c r="BF65" s="5216"/>
      <c r="BG65" s="5217"/>
      <c r="BH65" s="5218"/>
      <c r="BI65" s="5219"/>
      <c r="BJ65" s="5220"/>
      <c r="BK65" s="5221"/>
      <c r="BL65" s="5222"/>
      <c r="BM65" s="5223"/>
      <c r="BN65" s="5224"/>
      <c r="BO65" s="5225"/>
      <c r="BP65" s="5226"/>
      <c r="BQ65" s="5227"/>
      <c r="BR65" s="5228"/>
      <c r="BS65" s="5229"/>
      <c r="BT65" s="5230"/>
      <c r="BU65" s="5231"/>
      <c r="BV65" s="5232"/>
      <c r="BW65" s="5233"/>
      <c r="BX65" s="5234"/>
      <c r="BY65" s="5235"/>
      <c r="BZ65" s="5236"/>
      <c r="CA65" s="5237"/>
      <c r="CB65" s="5238"/>
      <c r="CC65" s="5239"/>
      <c r="CD65" s="5240"/>
      <c r="CE65" s="5241"/>
      <c r="CF65" s="5242"/>
      <c r="CG65" s="5243"/>
      <c r="CH65" s="5244"/>
      <c r="CI65" s="5245"/>
      <c r="CJ65" s="5246"/>
      <c r="CK65" s="5247"/>
      <c r="CL65" s="5248"/>
      <c r="CM65" s="5249"/>
      <c r="CN65" s="5250"/>
      <c r="CO65" s="5251"/>
      <c r="CP65" s="5252"/>
      <c r="CQ65" s="5253"/>
      <c r="CR65" s="5254"/>
      <c r="CS65" s="5255"/>
      <c r="CT65" s="5256"/>
      <c r="CU65" s="5257"/>
      <c r="CV65" s="5258"/>
      <c r="CW65" s="5259"/>
      <c r="CX65" s="5260"/>
      <c r="CY65" s="5261"/>
      <c r="CZ65" s="5262"/>
      <c r="DA65" s="5263"/>
      <c r="DB65" s="5264"/>
      <c r="DC65" s="5265"/>
      <c r="DD65" s="5266"/>
      <c r="DE65" s="5267"/>
      <c r="DF65" s="5268"/>
      <c r="DG65" s="5269"/>
      <c r="DH65" s="5270"/>
      <c r="DI65" s="5271"/>
      <c r="DJ65" s="5272"/>
      <c r="DK65" s="5273"/>
      <c r="DL65" s="5274"/>
      <c r="DM65" s="5275"/>
      <c r="DN65" s="5276"/>
      <c r="DO65" s="5277"/>
      <c r="DP65" s="5278"/>
      <c r="DQ65" s="5279"/>
      <c r="DR65" s="5280"/>
      <c r="DS65" s="5281"/>
      <c r="DT65" s="2121"/>
      <c r="DU65" s="1667"/>
      <c r="DV65" s="1649"/>
      <c r="DW65" s="1649" t="str">
        <f>IF(V65="","",V65)</f>
        <v>Добавить вид теплоносителя (параметры теплоносителя)</v>
      </c>
      <c r="DX65" s="1649"/>
      <c r="DY65" s="1649"/>
    </row>
    <row s="2437" customFormat="1" customHeight="1" ht="21">
      <c r="A66" s="1283"/>
      <c r="B66" s="1283"/>
      <c r="C66" s="1283"/>
      <c r="D66" s="1283"/>
      <c r="E66" s="2152"/>
      <c r="F66" s="2152"/>
      <c r="G66" s="2152"/>
      <c r="H66" s="2152"/>
      <c r="I66" s="1937"/>
      <c r="J66" s="2017" t="str">
        <f>I53&amp;".3"</f>
        <v>1.1.1.1.1.3</v>
      </c>
      <c r="K66" s="1283"/>
      <c r="L66" s="1283"/>
      <c r="M66" s="2029" t="s">
        <v>420</v>
      </c>
      <c r="N66" s="1660"/>
      <c r="O66" s="1660"/>
      <c r="P66" s="2216"/>
      <c r="Q66" s="2205"/>
      <c r="R66" s="678" t="s">
        <v>163</v>
      </c>
      <c r="S66" s="1667"/>
      <c r="T66" s="345"/>
      <c r="U66" s="2107" t="str">
        <f>$J66</f>
        <v>1.1.1.1.1.3</v>
      </c>
      <c r="V66" s="267" t="s">
        <v>421</v>
      </c>
      <c r="W66" s="280"/>
      <c r="X66" s="2077"/>
      <c r="Y66" s="2078"/>
      <c r="Z66" s="2078"/>
      <c r="AA66" s="2078"/>
      <c r="AB66" s="2078"/>
      <c r="AC66" s="2070"/>
      <c r="AD66" s="2070"/>
      <c r="AE66" s="2070"/>
      <c r="AF66" s="2153"/>
      <c r="AG66" s="2077" t="s">
        <v>462</v>
      </c>
      <c r="AH66" s="2078"/>
      <c r="AI66" s="2078"/>
      <c r="AJ66" s="2078"/>
      <c r="AK66" s="2078"/>
      <c r="AL66" s="2078"/>
      <c r="AM66" s="2078"/>
      <c r="AN66" s="2078"/>
      <c r="AO66" s="2078"/>
      <c r="AP66" s="2077"/>
      <c r="AQ66" s="2078"/>
      <c r="AR66" s="2078"/>
      <c r="AS66" s="2078"/>
      <c r="AT66" s="2078"/>
      <c r="AU66" s="2070"/>
      <c r="AV66" s="2070"/>
      <c r="AW66" s="2070"/>
      <c r="AX66" s="2153"/>
      <c r="AY66" s="2077"/>
      <c r="AZ66" s="2078"/>
      <c r="BA66" s="2078"/>
      <c r="BB66" s="2078"/>
      <c r="BC66" s="2078"/>
      <c r="BD66" s="2070"/>
      <c r="BE66" s="2070"/>
      <c r="BF66" s="2070"/>
      <c r="BG66" s="2153"/>
      <c r="BH66" s="2077"/>
      <c r="BI66" s="2078"/>
      <c r="BJ66" s="2078"/>
      <c r="BK66" s="2078"/>
      <c r="BL66" s="2078"/>
      <c r="BM66" s="2070"/>
      <c r="BN66" s="2070"/>
      <c r="BO66" s="2070"/>
      <c r="BP66" s="2153"/>
      <c r="BQ66" s="2077"/>
      <c r="BR66" s="2078"/>
      <c r="BS66" s="2078"/>
      <c r="BT66" s="2078"/>
      <c r="BU66" s="2078"/>
      <c r="BV66" s="2070"/>
      <c r="BW66" s="2070"/>
      <c r="BX66" s="2070"/>
      <c r="BY66" s="2153"/>
      <c r="BZ66" s="2077"/>
      <c r="CA66" s="2078"/>
      <c r="CB66" s="2078"/>
      <c r="CC66" s="2078"/>
      <c r="CD66" s="2078"/>
      <c r="CE66" s="2070"/>
      <c r="CF66" s="2070"/>
      <c r="CG66" s="2070"/>
      <c r="CH66" s="2153"/>
      <c r="CI66" s="2077"/>
      <c r="CJ66" s="2078"/>
      <c r="CK66" s="2078"/>
      <c r="CL66" s="2078"/>
      <c r="CM66" s="2078"/>
      <c r="CN66" s="2070"/>
      <c r="CO66" s="2070"/>
      <c r="CP66" s="2070"/>
      <c r="CQ66" s="2153"/>
      <c r="CR66" s="2077"/>
      <c r="CS66" s="2078"/>
      <c r="CT66" s="2078"/>
      <c r="CU66" s="2078"/>
      <c r="CV66" s="2078"/>
      <c r="CW66" s="2070"/>
      <c r="CX66" s="2070"/>
      <c r="CY66" s="2070"/>
      <c r="CZ66" s="2153"/>
      <c r="DA66" s="2077"/>
      <c r="DB66" s="2078"/>
      <c r="DC66" s="2078"/>
      <c r="DD66" s="2078"/>
      <c r="DE66" s="2078"/>
      <c r="DF66" s="2070"/>
      <c r="DG66" s="2070"/>
      <c r="DH66" s="2070"/>
      <c r="DI66" s="2153"/>
      <c r="DJ66" s="2077"/>
      <c r="DK66" s="2078"/>
      <c r="DL66" s="2078"/>
      <c r="DM66" s="2078"/>
      <c r="DN66" s="2078"/>
      <c r="DO66" s="2070"/>
      <c r="DP66" s="2070"/>
      <c r="DQ66" s="2070"/>
      <c r="DR66" s="2153"/>
      <c r="DS66" s="2079"/>
      <c r="DT66" s="1273" t="s">
        <v>422</v>
      </c>
      <c r="DU66" s="1667"/>
      <c r="DV66" s="1649"/>
      <c r="DW66" s="1649" t="str">
        <f>IF(V66="","",V66)</f>
        <v>Группа потребителей</v>
      </c>
      <c r="DX66" s="1649"/>
      <c r="DY66" s="1649"/>
    </row>
    <row s="2437" customFormat="1" customHeight="1" ht="21">
      <c r="A67" s="1283"/>
      <c r="B67" s="1283"/>
      <c r="C67" s="1283"/>
      <c r="D67" s="1283"/>
      <c r="E67" s="2152"/>
      <c r="F67" s="2152"/>
      <c r="G67" s="2152"/>
      <c r="H67" s="2152"/>
      <c r="I67" s="1937"/>
      <c r="J67" s="1937" t="str">
        <f>I53&amp;".2"</f>
        <v>1.1.1.1.1.2</v>
      </c>
      <c r="K67" s="2017" t="str">
        <f>J66&amp;".1"</f>
        <v>1.1.1.1.1.3.1</v>
      </c>
      <c r="L67" s="1951"/>
      <c r="M67" s="2029" t="s">
        <v>423</v>
      </c>
      <c r="N67" s="1660"/>
      <c r="O67" s="1660"/>
      <c r="P67" s="1660"/>
      <c r="Q67" s="2205"/>
      <c r="R67" s="2205"/>
      <c r="S67" s="2205">
        <v>1</v>
      </c>
      <c r="T67" s="345"/>
      <c r="U67" s="2107" t="str">
        <f>$K67</f>
        <v>1.1.1.1.1.3.1</v>
      </c>
      <c r="V67" s="1364" t="s">
        <v>479</v>
      </c>
      <c r="W67" s="280"/>
      <c r="X67" s="746"/>
      <c r="Y67" s="746"/>
      <c r="Z67" s="746"/>
      <c r="AA67" s="746"/>
      <c r="AB67" s="1422"/>
      <c r="AC67" s="2425"/>
      <c r="AD67" s="1963" t="s">
        <v>61</v>
      </c>
      <c r="AE67" s="2425"/>
      <c r="AF67" s="1963" t="s">
        <v>61</v>
      </c>
      <c r="AG67" s="1424"/>
      <c r="AH67" s="746"/>
      <c r="AI67" s="746">
        <v>2649.78</v>
      </c>
      <c r="AJ67" s="746"/>
      <c r="AK67" s="1272"/>
      <c r="AL67" s="2425">
        <v>45292.706342592595</v>
      </c>
      <c r="AM67" s="1963" t="s">
        <v>61</v>
      </c>
      <c r="AN67" s="2425">
        <v>45473.706400462965</v>
      </c>
      <c r="AO67" s="1963" t="s">
        <v>61</v>
      </c>
      <c r="AP67" s="746"/>
      <c r="AQ67" s="746"/>
      <c r="AR67" s="746">
        <v>2998.6</v>
      </c>
      <c r="AS67" s="746"/>
      <c r="AT67" s="1422"/>
      <c r="AU67" s="2425">
        <v>45474.70646990741</v>
      </c>
      <c r="AV67" s="1963" t="s">
        <v>61</v>
      </c>
      <c r="AW67" s="2425">
        <v>45657.70653935185</v>
      </c>
      <c r="AX67" s="1963" t="s">
        <v>61</v>
      </c>
      <c r="AY67" s="746"/>
      <c r="AZ67" s="746"/>
      <c r="BA67" s="746">
        <v>2937.42</v>
      </c>
      <c r="BB67" s="746"/>
      <c r="BC67" s="1422"/>
      <c r="BD67" s="2425">
        <v>45658.706875</v>
      </c>
      <c r="BE67" s="1963" t="s">
        <v>61</v>
      </c>
      <c r="BF67" s="2425">
        <v>45838.706979166665</v>
      </c>
      <c r="BG67" s="1963" t="s">
        <v>61</v>
      </c>
      <c r="BH67" s="746"/>
      <c r="BI67" s="746"/>
      <c r="BJ67" s="746">
        <v>3053.41</v>
      </c>
      <c r="BK67" s="746"/>
      <c r="BL67" s="1422"/>
      <c r="BM67" s="2425">
        <v>45839.707141203704</v>
      </c>
      <c r="BN67" s="1963" t="s">
        <v>61</v>
      </c>
      <c r="BO67" s="2425">
        <v>46022.70731481481</v>
      </c>
      <c r="BP67" s="1963" t="s">
        <v>61</v>
      </c>
      <c r="BQ67" s="746"/>
      <c r="BR67" s="746"/>
      <c r="BS67" s="746">
        <v>3053.41</v>
      </c>
      <c r="BT67" s="746"/>
      <c r="BU67" s="1422"/>
      <c r="BV67" s="2425">
        <v>46023.707453703704</v>
      </c>
      <c r="BW67" s="1963" t="s">
        <v>61</v>
      </c>
      <c r="BX67" s="2425">
        <v>46203.70756944444</v>
      </c>
      <c r="BY67" s="1963" t="s">
        <v>61</v>
      </c>
      <c r="BZ67" s="746"/>
      <c r="CA67" s="746"/>
      <c r="CB67" s="746">
        <v>3260.06</v>
      </c>
      <c r="CC67" s="746"/>
      <c r="CD67" s="1422"/>
      <c r="CE67" s="2425">
        <v>46204.70775462963</v>
      </c>
      <c r="CF67" s="1963" t="s">
        <v>61</v>
      </c>
      <c r="CG67" s="2425">
        <v>46387.707870370374</v>
      </c>
      <c r="CH67" s="1963" t="s">
        <v>61</v>
      </c>
      <c r="CI67" s="746"/>
      <c r="CJ67" s="746"/>
      <c r="CK67" s="746">
        <v>3193.8</v>
      </c>
      <c r="CL67" s="746"/>
      <c r="CM67" s="1422"/>
      <c r="CN67" s="2425">
        <v>46388.70799768518</v>
      </c>
      <c r="CO67" s="1963" t="s">
        <v>61</v>
      </c>
      <c r="CP67" s="2425">
        <v>46568.70810185185</v>
      </c>
      <c r="CQ67" s="1963" t="s">
        <v>61</v>
      </c>
      <c r="CR67" s="746"/>
      <c r="CS67" s="746"/>
      <c r="CT67" s="746">
        <v>3279.65</v>
      </c>
      <c r="CU67" s="746"/>
      <c r="CV67" s="1422"/>
      <c r="CW67" s="2425">
        <v>46569.70829861111</v>
      </c>
      <c r="CX67" s="1963" t="s">
        <v>61</v>
      </c>
      <c r="CY67" s="2425">
        <v>46752.70842592593</v>
      </c>
      <c r="CZ67" s="1963" t="s">
        <v>61</v>
      </c>
      <c r="DA67" s="746"/>
      <c r="DB67" s="746"/>
      <c r="DC67" s="746">
        <v>3279.65</v>
      </c>
      <c r="DD67" s="746"/>
      <c r="DE67" s="1422"/>
      <c r="DF67" s="2425">
        <v>46753.70856481481</v>
      </c>
      <c r="DG67" s="1963" t="s">
        <v>61</v>
      </c>
      <c r="DH67" s="2425">
        <v>46934.70868055556</v>
      </c>
      <c r="DI67" s="1963" t="s">
        <v>61</v>
      </c>
      <c r="DJ67" s="746"/>
      <c r="DK67" s="746"/>
      <c r="DL67" s="746">
        <v>3451.67</v>
      </c>
      <c r="DM67" s="746"/>
      <c r="DN67" s="1422"/>
      <c r="DO67" s="2425">
        <v>46935.706192129626</v>
      </c>
      <c r="DP67" s="1963" t="s">
        <v>61</v>
      </c>
      <c r="DQ67" s="2425">
        <v>47118.70893518518</v>
      </c>
      <c r="DR67" s="1963" t="s">
        <v>61</v>
      </c>
      <c r="DS67" s="312"/>
      <c r="DT67" s="1324" t="s">
        <v>467</v>
      </c>
      <c r="DU67" s="1667">
        <f>STRCHECKDATE(X69:DS69)</f>
      </c>
      <c r="DV67" s="1649"/>
      <c r="DW67" s="1649" t="str">
        <f>IF(V67="","",V67)</f>
        <v>горячая вода в системе централизованного теплоснабжения на горячее водоснабжение</v>
      </c>
      <c r="DX67" s="1649"/>
      <c r="DY67" s="1649"/>
    </row>
    <row s="2437" customFormat="1" customHeight="1" ht="21">
      <c r="A68" s="1283"/>
      <c r="B68" s="1283"/>
      <c r="C68" s="1283"/>
      <c r="D68" s="1283"/>
      <c r="E68" s="2152"/>
      <c r="F68" s="2152"/>
      <c r="G68" s="2152"/>
      <c r="H68" s="2152"/>
      <c r="I68" s="1937"/>
      <c r="J68" s="1937" t="str">
        <f>I53&amp;".2"</f>
        <v>1.1.1.1.1.2</v>
      </c>
      <c r="K68" s="1937"/>
      <c r="L68" s="2017" t="str">
        <f>K67&amp;".1"</f>
        <v>1.1.1.1.1.3.1.1</v>
      </c>
      <c r="M68" s="2029"/>
      <c r="N68" s="1660"/>
      <c r="O68" s="1660"/>
      <c r="P68" s="1660"/>
      <c r="Q68" s="2205"/>
      <c r="R68" s="2205"/>
      <c r="S68" s="2205"/>
      <c r="T68" s="345"/>
      <c r="U68" s="2107" t="str">
        <f>$L68</f>
        <v>1.1.1.1.1.3.1.1</v>
      </c>
      <c r="V68" s="1408"/>
      <c r="W68" s="280"/>
      <c r="X68" s="312"/>
      <c r="Y68" s="746"/>
      <c r="Z68" s="746"/>
      <c r="AA68" s="746"/>
      <c r="AB68" s="1422"/>
      <c r="AC68" s="2134"/>
      <c r="AD68" s="1963"/>
      <c r="AE68" s="2134"/>
      <c r="AF68" s="1963"/>
      <c r="AG68" s="1424"/>
      <c r="AH68" s="746"/>
      <c r="AI68" s="746"/>
      <c r="AJ68" s="746"/>
      <c r="AK68" s="1272"/>
      <c r="AL68" s="2134"/>
      <c r="AM68" s="1963"/>
      <c r="AN68" s="2134"/>
      <c r="AO68" s="1963"/>
      <c r="AP68" s="312"/>
      <c r="AQ68" s="746"/>
      <c r="AR68" s="746"/>
      <c r="AS68" s="746"/>
      <c r="AT68" s="1422"/>
      <c r="AU68" s="2134"/>
      <c r="AV68" s="1963"/>
      <c r="AW68" s="2134"/>
      <c r="AX68" s="1963"/>
      <c r="AY68" s="312"/>
      <c r="AZ68" s="746"/>
      <c r="BA68" s="746"/>
      <c r="BB68" s="746"/>
      <c r="BC68" s="1422"/>
      <c r="BD68" s="2134"/>
      <c r="BE68" s="1963"/>
      <c r="BF68" s="2134"/>
      <c r="BG68" s="1963"/>
      <c r="BH68" s="312"/>
      <c r="BI68" s="746"/>
      <c r="BJ68" s="746"/>
      <c r="BK68" s="746"/>
      <c r="BL68" s="1422"/>
      <c r="BM68" s="2134"/>
      <c r="BN68" s="1963"/>
      <c r="BO68" s="2134"/>
      <c r="BP68" s="1963"/>
      <c r="BQ68" s="312"/>
      <c r="BR68" s="746"/>
      <c r="BS68" s="746"/>
      <c r="BT68" s="746"/>
      <c r="BU68" s="1422"/>
      <c r="BV68" s="2134"/>
      <c r="BW68" s="1963"/>
      <c r="BX68" s="2134"/>
      <c r="BY68" s="1963"/>
      <c r="BZ68" s="312"/>
      <c r="CA68" s="746"/>
      <c r="CB68" s="746"/>
      <c r="CC68" s="746"/>
      <c r="CD68" s="1422"/>
      <c r="CE68" s="2134"/>
      <c r="CF68" s="1963"/>
      <c r="CG68" s="2134"/>
      <c r="CH68" s="1963"/>
      <c r="CI68" s="312"/>
      <c r="CJ68" s="746"/>
      <c r="CK68" s="746"/>
      <c r="CL68" s="746"/>
      <c r="CM68" s="1422"/>
      <c r="CN68" s="2134"/>
      <c r="CO68" s="1963"/>
      <c r="CP68" s="2134"/>
      <c r="CQ68" s="1963"/>
      <c r="CR68" s="312"/>
      <c r="CS68" s="746"/>
      <c r="CT68" s="746"/>
      <c r="CU68" s="746"/>
      <c r="CV68" s="1422"/>
      <c r="CW68" s="2134"/>
      <c r="CX68" s="1963"/>
      <c r="CY68" s="2134"/>
      <c r="CZ68" s="1963"/>
      <c r="DA68" s="312"/>
      <c r="DB68" s="746"/>
      <c r="DC68" s="746"/>
      <c r="DD68" s="746"/>
      <c r="DE68" s="1422"/>
      <c r="DF68" s="2134"/>
      <c r="DG68" s="1963"/>
      <c r="DH68" s="2134"/>
      <c r="DI68" s="1963"/>
      <c r="DJ68" s="312"/>
      <c r="DK68" s="746"/>
      <c r="DL68" s="746"/>
      <c r="DM68" s="746"/>
      <c r="DN68" s="1422"/>
      <c r="DO68" s="2134"/>
      <c r="DP68" s="1963"/>
      <c r="DQ68" s="2134"/>
      <c r="DR68" s="1963"/>
      <c r="DS68" s="312"/>
      <c r="DT68" s="2119" t="s">
        <v>468</v>
      </c>
      <c r="DU68" s="1667"/>
      <c r="DV68" s="1649"/>
      <c r="DW68" s="1649"/>
      <c r="DX68" s="1649"/>
      <c r="DY68" s="1649"/>
    </row>
    <row s="2437" customFormat="1" customHeight="1" ht="14.25">
      <c r="A69" s="1283"/>
      <c r="B69" s="1283"/>
      <c r="C69" s="1283"/>
      <c r="D69" s="1283"/>
      <c r="E69" s="2152"/>
      <c r="F69" s="2152"/>
      <c r="G69" s="2152"/>
      <c r="H69" s="2152"/>
      <c r="I69" s="1937"/>
      <c r="J69" s="1937" t="str">
        <f>I53&amp;".2"</f>
        <v>1.1.1.1.1.2</v>
      </c>
      <c r="K69" s="1937"/>
      <c r="L69" s="2017"/>
      <c r="M69" s="2029"/>
      <c r="N69" s="1660"/>
      <c r="O69" s="1660"/>
      <c r="P69" s="1660"/>
      <c r="Q69" s="2205"/>
      <c r="R69" s="2205"/>
      <c r="S69" s="2205"/>
      <c r="T69" s="345"/>
      <c r="U69" s="2349"/>
      <c r="V69" s="280"/>
      <c r="W69" s="280"/>
      <c r="X69" s="312"/>
      <c r="Y69" s="312"/>
      <c r="Z69" s="312"/>
      <c r="AA69" s="312"/>
      <c r="AB69" s="1423" t="str">
        <f>AC67&amp;"-"&amp;AE67</f>
        <v>-</v>
      </c>
      <c r="AC69" s="2134"/>
      <c r="AD69" s="1963"/>
      <c r="AE69" s="2134"/>
      <c r="AF69" s="1963"/>
      <c r="AG69" s="1399"/>
      <c r="AH69" s="312"/>
      <c r="AI69" s="312"/>
      <c r="AJ69" s="312"/>
      <c r="AK69" s="316" t="str">
        <f>AL67&amp;"-"&amp;AN67</f>
        <v>45292.706342592595-45473.706400462965</v>
      </c>
      <c r="AL69" s="2134"/>
      <c r="AM69" s="1963"/>
      <c r="AN69" s="2134"/>
      <c r="AO69" s="1963"/>
      <c r="AP69" s="312"/>
      <c r="AQ69" s="312"/>
      <c r="AR69" s="312"/>
      <c r="AS69" s="312"/>
      <c r="AT69" s="1423" t="str">
        <f>AU67&amp;"-"&amp;AW67</f>
        <v>45474.70646990741-45657.70653935185</v>
      </c>
      <c r="AU69" s="2134"/>
      <c r="AV69" s="1963"/>
      <c r="AW69" s="2134"/>
      <c r="AX69" s="1963"/>
      <c r="AY69" s="312"/>
      <c r="AZ69" s="312"/>
      <c r="BA69" s="312"/>
      <c r="BB69" s="312"/>
      <c r="BC69" s="1423" t="str">
        <f>BD67&amp;"-"&amp;BF67</f>
        <v>45658.706875-45838.706979166665</v>
      </c>
      <c r="BD69" s="2134"/>
      <c r="BE69" s="1963"/>
      <c r="BF69" s="2134"/>
      <c r="BG69" s="1963"/>
      <c r="BH69" s="312"/>
      <c r="BI69" s="312"/>
      <c r="BJ69" s="312"/>
      <c r="BK69" s="312"/>
      <c r="BL69" s="1423" t="str">
        <f>BM67&amp;"-"&amp;BO67</f>
        <v>45839.707141203704-46022.70731481481</v>
      </c>
      <c r="BM69" s="2134"/>
      <c r="BN69" s="1963"/>
      <c r="BO69" s="2134"/>
      <c r="BP69" s="1963"/>
      <c r="BQ69" s="312"/>
      <c r="BR69" s="312"/>
      <c r="BS69" s="312"/>
      <c r="BT69" s="312"/>
      <c r="BU69" s="1423" t="str">
        <f>BV67&amp;"-"&amp;BX67</f>
        <v>46023.707453703704-46203.70756944444</v>
      </c>
      <c r="BV69" s="2134"/>
      <c r="BW69" s="1963"/>
      <c r="BX69" s="2134"/>
      <c r="BY69" s="1963"/>
      <c r="BZ69" s="312"/>
      <c r="CA69" s="312"/>
      <c r="CB69" s="312"/>
      <c r="CC69" s="312"/>
      <c r="CD69" s="1423" t="str">
        <f>CE67&amp;"-"&amp;CG67</f>
        <v>46204.70775462963-46387.707870370374</v>
      </c>
      <c r="CE69" s="2134"/>
      <c r="CF69" s="1963"/>
      <c r="CG69" s="2134"/>
      <c r="CH69" s="1963"/>
      <c r="CI69" s="312"/>
      <c r="CJ69" s="312"/>
      <c r="CK69" s="312"/>
      <c r="CL69" s="312"/>
      <c r="CM69" s="1423" t="str">
        <f>CN67&amp;"-"&amp;CP67</f>
        <v>46388.70799768518-46568.70810185185</v>
      </c>
      <c r="CN69" s="2134"/>
      <c r="CO69" s="1963"/>
      <c r="CP69" s="2134"/>
      <c r="CQ69" s="1963"/>
      <c r="CR69" s="312"/>
      <c r="CS69" s="312"/>
      <c r="CT69" s="312"/>
      <c r="CU69" s="312"/>
      <c r="CV69" s="1423" t="str">
        <f>CW67&amp;"-"&amp;CY67</f>
        <v>46569.70829861111-46752.70842592593</v>
      </c>
      <c r="CW69" s="2134"/>
      <c r="CX69" s="1963"/>
      <c r="CY69" s="2134"/>
      <c r="CZ69" s="1963"/>
      <c r="DA69" s="312"/>
      <c r="DB69" s="312"/>
      <c r="DC69" s="312"/>
      <c r="DD69" s="312"/>
      <c r="DE69" s="1423" t="str">
        <f>DF67&amp;"-"&amp;DH67</f>
        <v>46753.70856481481-46934.70868055556</v>
      </c>
      <c r="DF69" s="2134"/>
      <c r="DG69" s="1963"/>
      <c r="DH69" s="2134"/>
      <c r="DI69" s="1963"/>
      <c r="DJ69" s="312"/>
      <c r="DK69" s="312"/>
      <c r="DL69" s="312"/>
      <c r="DM69" s="312"/>
      <c r="DN69" s="1423" t="str">
        <f>DO67&amp;"-"&amp;DQ67</f>
        <v>46935.706192129626-47118.70893518518</v>
      </c>
      <c r="DO69" s="2134"/>
      <c r="DP69" s="1963"/>
      <c r="DQ69" s="2134"/>
      <c r="DR69" s="1963"/>
      <c r="DS69" s="312"/>
      <c r="DT69" s="2120"/>
      <c r="DU69" s="1667"/>
      <c r="DV69" s="1649"/>
      <c r="DW69" s="1649" t="str">
        <f>IF(V69="","",V69)</f>
        <v/>
      </c>
      <c r="DX69" s="1649"/>
      <c r="DY69" s="1649"/>
    </row>
    <row s="2437" customFormat="1" customHeight="1" ht="11.25">
      <c r="A70" s="1283"/>
      <c r="B70" s="1283"/>
      <c r="C70" s="1283"/>
      <c r="D70" s="1283"/>
      <c r="E70" s="2152"/>
      <c r="F70" s="2152"/>
      <c r="G70" s="2152"/>
      <c r="H70" s="2152"/>
      <c r="I70" s="1937"/>
      <c r="J70" s="1937" t="str">
        <f>I53&amp;".2"</f>
        <v>1.1.1.1.1.2</v>
      </c>
      <c r="K70" s="2017"/>
      <c r="L70" s="1283"/>
      <c r="M70" s="2029"/>
      <c r="N70" s="1660"/>
      <c r="O70" s="1660"/>
      <c r="P70" s="1660"/>
      <c r="Q70" s="2205"/>
      <c r="R70" s="2205"/>
      <c r="S70" s="2205"/>
      <c r="T70" s="345"/>
      <c r="U70" s="5282"/>
      <c r="V70" s="5283" t="s">
        <v>469</v>
      </c>
      <c r="W70" s="5284"/>
      <c r="X70" s="5285"/>
      <c r="Y70" s="5286"/>
      <c r="Z70" s="5287"/>
      <c r="AA70" s="5288"/>
      <c r="AB70" s="5289"/>
      <c r="AC70" s="2134"/>
      <c r="AD70" s="1963"/>
      <c r="AE70" s="2134"/>
      <c r="AF70" s="1963"/>
      <c r="AG70" s="5290"/>
      <c r="AH70" s="5291"/>
      <c r="AI70" s="5292"/>
      <c r="AJ70" s="5293"/>
      <c r="AK70" s="5294"/>
      <c r="AL70" s="2134"/>
      <c r="AM70" s="1963"/>
      <c r="AN70" s="2134"/>
      <c r="AO70" s="1963"/>
      <c r="AP70" s="5295"/>
      <c r="AQ70" s="5296"/>
      <c r="AR70" s="5297"/>
      <c r="AS70" s="5298"/>
      <c r="AT70" s="5299"/>
      <c r="AU70" s="2134"/>
      <c r="AV70" s="1963"/>
      <c r="AW70" s="2134"/>
      <c r="AX70" s="1963"/>
      <c r="AY70" s="5300"/>
      <c r="AZ70" s="5301"/>
      <c r="BA70" s="5302"/>
      <c r="BB70" s="5303"/>
      <c r="BC70" s="5304"/>
      <c r="BD70" s="2134"/>
      <c r="BE70" s="1963"/>
      <c r="BF70" s="2134"/>
      <c r="BG70" s="1963"/>
      <c r="BH70" s="5305"/>
      <c r="BI70" s="5306"/>
      <c r="BJ70" s="5307"/>
      <c r="BK70" s="5308"/>
      <c r="BL70" s="5309"/>
      <c r="BM70" s="2134"/>
      <c r="BN70" s="1963"/>
      <c r="BO70" s="2134"/>
      <c r="BP70" s="1963"/>
      <c r="BQ70" s="5310"/>
      <c r="BR70" s="5311"/>
      <c r="BS70" s="5312"/>
      <c r="BT70" s="5313"/>
      <c r="BU70" s="5314"/>
      <c r="BV70" s="2134"/>
      <c r="BW70" s="1963"/>
      <c r="BX70" s="2134"/>
      <c r="BY70" s="1963"/>
      <c r="BZ70" s="5315"/>
      <c r="CA70" s="5316"/>
      <c r="CB70" s="5317"/>
      <c r="CC70" s="5318"/>
      <c r="CD70" s="5319"/>
      <c r="CE70" s="2134"/>
      <c r="CF70" s="1963"/>
      <c r="CG70" s="2134"/>
      <c r="CH70" s="1963"/>
      <c r="CI70" s="5320"/>
      <c r="CJ70" s="5321"/>
      <c r="CK70" s="5322"/>
      <c r="CL70" s="5323"/>
      <c r="CM70" s="5324"/>
      <c r="CN70" s="2134"/>
      <c r="CO70" s="1963"/>
      <c r="CP70" s="2134"/>
      <c r="CQ70" s="1963"/>
      <c r="CR70" s="5325"/>
      <c r="CS70" s="5326"/>
      <c r="CT70" s="5327"/>
      <c r="CU70" s="5328"/>
      <c r="CV70" s="5329"/>
      <c r="CW70" s="2134"/>
      <c r="CX70" s="1963"/>
      <c r="CY70" s="2134"/>
      <c r="CZ70" s="1963"/>
      <c r="DA70" s="5330"/>
      <c r="DB70" s="5331"/>
      <c r="DC70" s="5332"/>
      <c r="DD70" s="5333"/>
      <c r="DE70" s="5334"/>
      <c r="DF70" s="2134"/>
      <c r="DG70" s="1963"/>
      <c r="DH70" s="2134"/>
      <c r="DI70" s="1963"/>
      <c r="DJ70" s="5335"/>
      <c r="DK70" s="5336"/>
      <c r="DL70" s="5337"/>
      <c r="DM70" s="5338"/>
      <c r="DN70" s="5339"/>
      <c r="DO70" s="2134"/>
      <c r="DP70" s="1963"/>
      <c r="DQ70" s="2134"/>
      <c r="DR70" s="1963"/>
      <c r="DS70" s="5340"/>
      <c r="DT70" s="2120"/>
      <c r="DU70" s="1667"/>
      <c r="DV70" s="1649"/>
      <c r="DW70" s="1649"/>
      <c r="DX70" s="1649"/>
      <c r="DY70" s="1649"/>
    </row>
    <row s="2437" customFormat="1" customHeight="1" ht="15">
      <c r="A71" s="1283"/>
      <c r="B71" s="1283"/>
      <c r="C71" s="1283"/>
      <c r="D71" s="1283"/>
      <c r="E71" s="2152"/>
      <c r="F71" s="2152"/>
      <c r="G71" s="2152"/>
      <c r="H71" s="2152"/>
      <c r="I71" s="1937"/>
      <c r="J71" s="2017" t="str">
        <f>I53&amp;".2"</f>
        <v>1.1.1.1.1.2</v>
      </c>
      <c r="K71" s="1283"/>
      <c r="L71" s="1283"/>
      <c r="M71" s="2029"/>
      <c r="N71" s="1660"/>
      <c r="O71" s="1660"/>
      <c r="P71" s="2216"/>
      <c r="Q71" s="2205"/>
      <c r="R71" s="2205"/>
      <c r="S71" s="2205"/>
      <c r="T71" s="344"/>
      <c r="U71" s="5341"/>
      <c r="V71" s="5342" t="s">
        <v>425</v>
      </c>
      <c r="W71" s="5343"/>
      <c r="X71" s="5344"/>
      <c r="Y71" s="5345"/>
      <c r="Z71" s="5346"/>
      <c r="AA71" s="5347"/>
      <c r="AB71" s="5348"/>
      <c r="AC71" s="5349"/>
      <c r="AD71" s="5350"/>
      <c r="AE71" s="5351"/>
      <c r="AF71" s="5352"/>
      <c r="AG71" s="5353"/>
      <c r="AH71" s="5354"/>
      <c r="AI71" s="5355"/>
      <c r="AJ71" s="5356"/>
      <c r="AK71" s="5357"/>
      <c r="AL71" s="5358"/>
      <c r="AM71" s="5359"/>
      <c r="AN71" s="5360"/>
      <c r="AO71" s="5361"/>
      <c r="AP71" s="5362"/>
      <c r="AQ71" s="5363"/>
      <c r="AR71" s="5364"/>
      <c r="AS71" s="5365"/>
      <c r="AT71" s="5366"/>
      <c r="AU71" s="5367"/>
      <c r="AV71" s="5368"/>
      <c r="AW71" s="5369"/>
      <c r="AX71" s="5370"/>
      <c r="AY71" s="5371"/>
      <c r="AZ71" s="5372"/>
      <c r="BA71" s="5373"/>
      <c r="BB71" s="5374"/>
      <c r="BC71" s="5375"/>
      <c r="BD71" s="5376"/>
      <c r="BE71" s="5377"/>
      <c r="BF71" s="5378"/>
      <c r="BG71" s="5379"/>
      <c r="BH71" s="5380"/>
      <c r="BI71" s="5381"/>
      <c r="BJ71" s="5382"/>
      <c r="BK71" s="5383"/>
      <c r="BL71" s="5384"/>
      <c r="BM71" s="5385"/>
      <c r="BN71" s="5386"/>
      <c r="BO71" s="5387"/>
      <c r="BP71" s="5388"/>
      <c r="BQ71" s="5389"/>
      <c r="BR71" s="5390"/>
      <c r="BS71" s="5391"/>
      <c r="BT71" s="5392"/>
      <c r="BU71" s="5393"/>
      <c r="BV71" s="5394"/>
      <c r="BW71" s="5395"/>
      <c r="BX71" s="5396"/>
      <c r="BY71" s="5397"/>
      <c r="BZ71" s="5398"/>
      <c r="CA71" s="5399"/>
      <c r="CB71" s="5400"/>
      <c r="CC71" s="5401"/>
      <c r="CD71" s="5402"/>
      <c r="CE71" s="5403"/>
      <c r="CF71" s="5404"/>
      <c r="CG71" s="5405"/>
      <c r="CH71" s="5406"/>
      <c r="CI71" s="5407"/>
      <c r="CJ71" s="5408"/>
      <c r="CK71" s="5409"/>
      <c r="CL71" s="5410"/>
      <c r="CM71" s="5411"/>
      <c r="CN71" s="5412"/>
      <c r="CO71" s="5413"/>
      <c r="CP71" s="5414"/>
      <c r="CQ71" s="5415"/>
      <c r="CR71" s="5416"/>
      <c r="CS71" s="5417"/>
      <c r="CT71" s="5418"/>
      <c r="CU71" s="5419"/>
      <c r="CV71" s="5420"/>
      <c r="CW71" s="5421"/>
      <c r="CX71" s="5422"/>
      <c r="CY71" s="5423"/>
      <c r="CZ71" s="5424"/>
      <c r="DA71" s="5425"/>
      <c r="DB71" s="5426"/>
      <c r="DC71" s="5427"/>
      <c r="DD71" s="5428"/>
      <c r="DE71" s="5429"/>
      <c r="DF71" s="5430"/>
      <c r="DG71" s="5431"/>
      <c r="DH71" s="5432"/>
      <c r="DI71" s="5433"/>
      <c r="DJ71" s="5434"/>
      <c r="DK71" s="5435"/>
      <c r="DL71" s="5436"/>
      <c r="DM71" s="5437"/>
      <c r="DN71" s="5438"/>
      <c r="DO71" s="5439"/>
      <c r="DP71" s="5440"/>
      <c r="DQ71" s="5441"/>
      <c r="DR71" s="5442"/>
      <c r="DS71" s="5443"/>
      <c r="DT71" s="2121"/>
      <c r="DU71" s="1667"/>
      <c r="DV71" s="1649"/>
      <c r="DW71" s="1649" t="str">
        <f>IF(V71="","",V71)</f>
        <v>Добавить вид теплоносителя (параметры теплоносителя)</v>
      </c>
      <c r="DX71" s="1649"/>
      <c r="DY71" s="1649"/>
    </row>
    <row customHeight="1" ht="11.25">
      <c r="A72" s="1283" t="s">
        <v>198</v>
      </c>
      <c r="B72" s="1283" t="s">
        <v>199</v>
      </c>
      <c r="C72" s="1283" t="s">
        <v>200</v>
      </c>
      <c r="D72" s="1283" t="s">
        <v>201</v>
      </c>
      <c r="E72" s="2150"/>
      <c r="F72" s="2150"/>
      <c r="G72" s="2150"/>
      <c r="H72" s="2152"/>
      <c r="I72" s="1953"/>
      <c r="J72" s="1283"/>
      <c r="K72" s="1283"/>
      <c r="L72" s="1283"/>
      <c r="M72" s="1327"/>
      <c r="Q72" s="2093"/>
      <c r="R72" s="1348"/>
      <c r="S72" s="1348"/>
      <c r="T72" s="344"/>
      <c r="U72" s="1295"/>
      <c r="V72" s="356" t="s">
        <v>426</v>
      </c>
      <c r="W72" s="359"/>
      <c r="X72" s="359"/>
      <c r="Y72" s="359"/>
      <c r="Z72" s="359"/>
      <c r="AA72" s="359"/>
      <c r="AB72" s="359"/>
      <c r="AC72" s="359"/>
      <c r="AD72" s="359"/>
      <c r="AE72" s="359"/>
      <c r="AF72" s="358"/>
      <c r="AG72" s="359"/>
      <c r="AH72" s="359"/>
      <c r="AI72" s="359"/>
      <c r="AJ72" s="359"/>
      <c r="AK72" s="359"/>
      <c r="AL72" s="359"/>
      <c r="AM72" s="359"/>
      <c r="AN72" s="359"/>
      <c r="AO72" s="358"/>
      <c r="AP72" s="5444"/>
      <c r="AQ72" s="5445"/>
      <c r="AR72" s="5446"/>
      <c r="AS72" s="5447"/>
      <c r="AT72" s="5448"/>
      <c r="AU72" s="5449"/>
      <c r="AV72" s="5450"/>
      <c r="AW72" s="5451"/>
      <c r="AX72" s="5452"/>
      <c r="AY72" s="5453"/>
      <c r="AZ72" s="5454"/>
      <c r="BA72" s="5455"/>
      <c r="BB72" s="5456"/>
      <c r="BC72" s="5457"/>
      <c r="BD72" s="5458"/>
      <c r="BE72" s="5459"/>
      <c r="BF72" s="5460"/>
      <c r="BG72" s="5461"/>
      <c r="BH72" s="5462"/>
      <c r="BI72" s="5463"/>
      <c r="BJ72" s="5464"/>
      <c r="BK72" s="5465"/>
      <c r="BL72" s="5466"/>
      <c r="BM72" s="5467"/>
      <c r="BN72" s="5468"/>
      <c r="BO72" s="5469"/>
      <c r="BP72" s="5470"/>
      <c r="BQ72" s="5471"/>
      <c r="BR72" s="5472"/>
      <c r="BS72" s="5473"/>
      <c r="BT72" s="5474"/>
      <c r="BU72" s="5475"/>
      <c r="BV72" s="5476"/>
      <c r="BW72" s="5477"/>
      <c r="BX72" s="5478"/>
      <c r="BY72" s="5479"/>
      <c r="BZ72" s="5480"/>
      <c r="CA72" s="5481"/>
      <c r="CB72" s="5482"/>
      <c r="CC72" s="5483"/>
      <c r="CD72" s="5484"/>
      <c r="CE72" s="5485"/>
      <c r="CF72" s="5486"/>
      <c r="CG72" s="5487"/>
      <c r="CH72" s="5488"/>
      <c r="CI72" s="5489"/>
      <c r="CJ72" s="5490"/>
      <c r="CK72" s="5491"/>
      <c r="CL72" s="5492"/>
      <c r="CM72" s="5493"/>
      <c r="CN72" s="5494"/>
      <c r="CO72" s="5495"/>
      <c r="CP72" s="5496"/>
      <c r="CQ72" s="5497"/>
      <c r="CR72" s="5498"/>
      <c r="CS72" s="5499"/>
      <c r="CT72" s="5500"/>
      <c r="CU72" s="5501"/>
      <c r="CV72" s="5502"/>
      <c r="CW72" s="5503"/>
      <c r="CX72" s="5504"/>
      <c r="CY72" s="5505"/>
      <c r="CZ72" s="5506"/>
      <c r="DA72" s="5507"/>
      <c r="DB72" s="5508"/>
      <c r="DC72" s="5509"/>
      <c r="DD72" s="5510"/>
      <c r="DE72" s="5511"/>
      <c r="DF72" s="5512"/>
      <c r="DG72" s="5513"/>
      <c r="DH72" s="5514"/>
      <c r="DI72" s="5515"/>
      <c r="DJ72" s="5516"/>
      <c r="DK72" s="5517"/>
      <c r="DL72" s="5518"/>
      <c r="DM72" s="5519"/>
      <c r="DN72" s="5520"/>
      <c r="DO72" s="5521"/>
      <c r="DP72" s="5522"/>
      <c r="DQ72" s="5523"/>
      <c r="DR72" s="5524"/>
      <c r="DS72" s="359"/>
      <c r="DT72" s="283"/>
      <c r="DV72" s="496"/>
      <c r="DW72" s="496" t="str">
        <f>IF(V72="","",V72)</f>
        <v>Добавить группу потребителей</v>
      </c>
      <c r="DX72" s="496"/>
      <c r="DY72" s="496"/>
    </row>
    <row customHeight="1" ht="0">
      <c r="A73" s="1283" t="s">
        <v>198</v>
      </c>
      <c r="B73" s="1283" t="s">
        <v>199</v>
      </c>
      <c r="C73" s="1283" t="s">
        <v>200</v>
      </c>
      <c r="D73" s="1283" t="s">
        <v>201</v>
      </c>
      <c r="E73" s="2150"/>
      <c r="F73" s="2150"/>
      <c r="G73" s="2150"/>
      <c r="H73" s="2151"/>
      <c r="I73" s="1283"/>
      <c r="J73" s="1283"/>
      <c r="K73" s="1283"/>
      <c r="L73" s="1283"/>
      <c r="M73" s="1327"/>
      <c r="N73" s="683"/>
      <c r="O73" s="683"/>
      <c r="P73" s="505"/>
      <c r="Q73" s="348"/>
      <c r="R73" s="367"/>
      <c r="S73" s="343"/>
      <c r="T73" s="348"/>
      <c r="U73" s="1403"/>
      <c r="V73" s="1404"/>
      <c r="W73" s="1405"/>
      <c r="X73" s="1405"/>
      <c r="Y73" s="1405"/>
      <c r="Z73" s="1405"/>
      <c r="AA73" s="1405"/>
      <c r="AB73" s="1405"/>
      <c r="AC73" s="1405"/>
      <c r="AD73" s="1405"/>
      <c r="AE73" s="1405"/>
      <c r="AF73" s="1405"/>
      <c r="AG73" s="1405"/>
      <c r="AH73" s="1405"/>
      <c r="AI73" s="1405"/>
      <c r="AJ73" s="1405"/>
      <c r="AK73" s="1405"/>
      <c r="AL73" s="1405"/>
      <c r="AM73" s="1405"/>
      <c r="AN73" s="1405"/>
      <c r="AO73" s="1405"/>
      <c r="AP73" s="1405"/>
      <c r="AQ73" s="1405"/>
      <c r="AR73" s="1405"/>
      <c r="AS73" s="1405"/>
      <c r="AT73" s="1405"/>
      <c r="AU73" s="1405"/>
      <c r="AV73" s="1405"/>
      <c r="AW73" s="1405"/>
      <c r="AX73" s="1405"/>
      <c r="AY73" s="1405"/>
      <c r="AZ73" s="1405"/>
      <c r="BA73" s="1405"/>
      <c r="BB73" s="1405"/>
      <c r="BC73" s="1405"/>
      <c r="BD73" s="1405"/>
      <c r="BE73" s="1405"/>
      <c r="BF73" s="1405"/>
      <c r="BG73" s="1405"/>
      <c r="BH73" s="1405"/>
      <c r="BI73" s="1405"/>
      <c r="BJ73" s="1405"/>
      <c r="BK73" s="1405"/>
      <c r="BL73" s="1405"/>
      <c r="BM73" s="1405"/>
      <c r="BN73" s="1405"/>
      <c r="BO73" s="1405"/>
      <c r="BP73" s="1405"/>
      <c r="BQ73" s="1405"/>
      <c r="BR73" s="1405"/>
      <c r="BS73" s="1405"/>
      <c r="BT73" s="1405"/>
      <c r="BU73" s="1405"/>
      <c r="BV73" s="1405"/>
      <c r="BW73" s="1405"/>
      <c r="BX73" s="1405"/>
      <c r="BY73" s="1405"/>
      <c r="BZ73" s="1405"/>
      <c r="CA73" s="1405"/>
      <c r="CB73" s="1405"/>
      <c r="CC73" s="1405"/>
      <c r="CD73" s="1405"/>
      <c r="CE73" s="1405"/>
      <c r="CF73" s="1405"/>
      <c r="CG73" s="1405"/>
      <c r="CH73" s="1405"/>
      <c r="CI73" s="1405"/>
      <c r="CJ73" s="1405"/>
      <c r="CK73" s="1405"/>
      <c r="CL73" s="1405"/>
      <c r="CM73" s="1405"/>
      <c r="CN73" s="1405"/>
      <c r="CO73" s="1405"/>
      <c r="CP73" s="1405"/>
      <c r="CQ73" s="1405"/>
      <c r="CR73" s="1405"/>
      <c r="CS73" s="1405"/>
      <c r="CT73" s="1405"/>
      <c r="CU73" s="1405"/>
      <c r="CV73" s="1405"/>
      <c r="CW73" s="1405"/>
      <c r="CX73" s="1405"/>
      <c r="CY73" s="1405"/>
      <c r="CZ73" s="1405"/>
      <c r="DA73" s="1405"/>
      <c r="DB73" s="1405"/>
      <c r="DC73" s="1405"/>
      <c r="DD73" s="1405"/>
      <c r="DE73" s="1405"/>
      <c r="DF73" s="1405"/>
      <c r="DG73" s="1405"/>
      <c r="DH73" s="1405"/>
      <c r="DI73" s="1405"/>
      <c r="DJ73" s="1405"/>
      <c r="DK73" s="1405"/>
      <c r="DL73" s="1405"/>
      <c r="DM73" s="1405"/>
      <c r="DN73" s="1405"/>
      <c r="DO73" s="1405"/>
      <c r="DP73" s="1405"/>
      <c r="DQ73" s="1405"/>
      <c r="DR73" s="1405"/>
      <c r="DS73" s="1405"/>
      <c r="DT73" s="1406"/>
      <c r="DV73" s="496"/>
      <c r="DW73" s="496" t="str">
        <f>IF(V73="","",V73)</f>
        <v/>
      </c>
      <c r="DX73" s="496"/>
      <c r="DY73" s="496"/>
    </row>
    <row s="1667" customFormat="1" customHeight="1" ht="0">
      <c r="A74" s="1392" t="s">
        <v>198</v>
      </c>
      <c r="B74" s="1392" t="s">
        <v>199</v>
      </c>
      <c r="C74" s="1392" t="s">
        <v>200</v>
      </c>
      <c r="D74" s="1391"/>
      <c r="E74" s="2150"/>
      <c r="F74" s="2150"/>
      <c r="G74" s="2149"/>
      <c r="H74" s="1391"/>
      <c r="I74" s="1391"/>
      <c r="J74" s="1391"/>
      <c r="K74" s="1391"/>
      <c r="L74" s="1391"/>
      <c r="M74" s="1394"/>
      <c r="N74" s="1395"/>
      <c r="O74" s="1395"/>
      <c r="P74" s="339"/>
      <c r="Q74" s="1333"/>
      <c r="R74" s="1334"/>
      <c r="S74" s="1333"/>
      <c r="T74" s="1333"/>
      <c r="U74" s="1339"/>
      <c r="V74" s="1342" t="s">
        <v>160</v>
      </c>
      <c r="W74" s="1341"/>
      <c r="X74" s="1341"/>
      <c r="Y74" s="1341"/>
      <c r="Z74" s="1341"/>
      <c r="AA74" s="1341"/>
      <c r="AB74" s="1341"/>
      <c r="AC74" s="1341"/>
      <c r="AD74" s="1341"/>
      <c r="AE74" s="1341"/>
      <c r="AF74" s="1341"/>
      <c r="AG74" s="1341"/>
      <c r="AH74" s="1341"/>
      <c r="AI74" s="1341"/>
      <c r="AJ74" s="1341"/>
      <c r="AK74" s="1341"/>
      <c r="AL74" s="1341"/>
      <c r="AM74" s="1341"/>
      <c r="AN74" s="1341"/>
      <c r="AO74" s="1341"/>
      <c r="AP74" s="1341"/>
      <c r="AQ74" s="1341"/>
      <c r="AR74" s="1341"/>
      <c r="AS74" s="1341"/>
      <c r="AT74" s="1341"/>
      <c r="AU74" s="1341"/>
      <c r="AV74" s="1341"/>
      <c r="AW74" s="1341"/>
      <c r="AX74" s="1341"/>
      <c r="AY74" s="1341"/>
      <c r="AZ74" s="1341"/>
      <c r="BA74" s="1341"/>
      <c r="BB74" s="1341"/>
      <c r="BC74" s="1341"/>
      <c r="BD74" s="1341"/>
      <c r="BE74" s="1341"/>
      <c r="BF74" s="1341"/>
      <c r="BG74" s="1341"/>
      <c r="BH74" s="1341"/>
      <c r="BI74" s="1341"/>
      <c r="BJ74" s="1341"/>
      <c r="BK74" s="1341"/>
      <c r="BL74" s="1341"/>
      <c r="BM74" s="1341"/>
      <c r="BN74" s="1341"/>
      <c r="BO74" s="1341"/>
      <c r="BP74" s="1341"/>
      <c r="BQ74" s="1341"/>
      <c r="BR74" s="1341"/>
      <c r="BS74" s="1341"/>
      <c r="BT74" s="1341"/>
      <c r="BU74" s="1341"/>
      <c r="BV74" s="1341"/>
      <c r="BW74" s="1341"/>
      <c r="BX74" s="1341"/>
      <c r="BY74" s="1341"/>
      <c r="BZ74" s="1341"/>
      <c r="CA74" s="1341"/>
      <c r="CB74" s="1341"/>
      <c r="CC74" s="1341"/>
      <c r="CD74" s="1341"/>
      <c r="CE74" s="1341"/>
      <c r="CF74" s="1341"/>
      <c r="CG74" s="1341"/>
      <c r="CH74" s="1341"/>
      <c r="CI74" s="1341"/>
      <c r="CJ74" s="1341"/>
      <c r="CK74" s="1341"/>
      <c r="CL74" s="1341"/>
      <c r="CM74" s="1341"/>
      <c r="CN74" s="1341"/>
      <c r="CO74" s="1341"/>
      <c r="CP74" s="1341"/>
      <c r="CQ74" s="1341"/>
      <c r="CR74" s="1341"/>
      <c r="CS74" s="1341"/>
      <c r="CT74" s="1341"/>
      <c r="CU74" s="1341"/>
      <c r="CV74" s="1341"/>
      <c r="CW74" s="1341"/>
      <c r="CX74" s="1341"/>
      <c r="CY74" s="1341"/>
      <c r="CZ74" s="1341"/>
      <c r="DA74" s="1341"/>
      <c r="DB74" s="1341"/>
      <c r="DC74" s="1341"/>
      <c r="DD74" s="1341"/>
      <c r="DE74" s="1341"/>
      <c r="DF74" s="1341"/>
      <c r="DG74" s="1341"/>
      <c r="DH74" s="1341"/>
      <c r="DI74" s="1341"/>
      <c r="DJ74" s="1341"/>
      <c r="DK74" s="1341"/>
      <c r="DL74" s="1341"/>
      <c r="DM74" s="1341"/>
      <c r="DN74" s="1341"/>
      <c r="DO74" s="1341"/>
      <c r="DP74" s="1341"/>
      <c r="DQ74" s="1341"/>
      <c r="DR74" s="1341"/>
      <c r="DS74" s="1341"/>
      <c r="DT74" s="1341"/>
      <c r="DV74" s="783"/>
      <c r="DW74" s="783" t="str">
        <f>IF(V74="","",V74)</f>
        <v>Добавить источник для дифференциации</v>
      </c>
      <c r="DX74" s="783"/>
      <c r="DY74" s="783"/>
    </row>
    <row s="1667" customFormat="1" customHeight="1" ht="0">
      <c r="A75" s="1392" t="s">
        <v>198</v>
      </c>
      <c r="B75" s="1392" t="s">
        <v>199</v>
      </c>
      <c r="C75" s="1391"/>
      <c r="D75" s="1391"/>
      <c r="E75" s="2150"/>
      <c r="F75" s="2149"/>
      <c r="G75" s="1391"/>
      <c r="H75" s="1391"/>
      <c r="I75" s="1391"/>
      <c r="J75" s="1391"/>
      <c r="K75" s="1391"/>
      <c r="L75" s="1391"/>
      <c r="M75" s="1394"/>
      <c r="N75" s="1396"/>
      <c r="O75" s="1396"/>
      <c r="P75" s="339"/>
      <c r="Q75" s="1333"/>
      <c r="R75" s="1334"/>
      <c r="S75" s="1333"/>
      <c r="T75" s="1333"/>
      <c r="U75" s="1339"/>
      <c r="V75" s="1342" t="s">
        <v>161</v>
      </c>
      <c r="W75" s="1341"/>
      <c r="X75" s="1341"/>
      <c r="Y75" s="1341"/>
      <c r="Z75" s="1341"/>
      <c r="AA75" s="1341"/>
      <c r="AB75" s="1341"/>
      <c r="AC75" s="1341"/>
      <c r="AD75" s="1341"/>
      <c r="AE75" s="1341"/>
      <c r="AF75" s="1341"/>
      <c r="AG75" s="1341"/>
      <c r="AH75" s="1341"/>
      <c r="AI75" s="1341"/>
      <c r="AJ75" s="1341"/>
      <c r="AK75" s="1341"/>
      <c r="AL75" s="1341"/>
      <c r="AM75" s="1341"/>
      <c r="AN75" s="1341"/>
      <c r="AO75" s="1341"/>
      <c r="AP75" s="1341"/>
      <c r="AQ75" s="1341"/>
      <c r="AR75" s="1341"/>
      <c r="AS75" s="1341"/>
      <c r="AT75" s="1341"/>
      <c r="AU75" s="1341"/>
      <c r="AV75" s="1341"/>
      <c r="AW75" s="1341"/>
      <c r="AX75" s="1341"/>
      <c r="AY75" s="1341"/>
      <c r="AZ75" s="1341"/>
      <c r="BA75" s="1341"/>
      <c r="BB75" s="1341"/>
      <c r="BC75" s="1341"/>
      <c r="BD75" s="1341"/>
      <c r="BE75" s="1341"/>
      <c r="BF75" s="1341"/>
      <c r="BG75" s="1341"/>
      <c r="BH75" s="1341"/>
      <c r="BI75" s="1341"/>
      <c r="BJ75" s="1341"/>
      <c r="BK75" s="1341"/>
      <c r="BL75" s="1341"/>
      <c r="BM75" s="1341"/>
      <c r="BN75" s="1341"/>
      <c r="BO75" s="1341"/>
      <c r="BP75" s="1341"/>
      <c r="BQ75" s="1341"/>
      <c r="BR75" s="1341"/>
      <c r="BS75" s="1341"/>
      <c r="BT75" s="1341"/>
      <c r="BU75" s="1341"/>
      <c r="BV75" s="1341"/>
      <c r="BW75" s="1341"/>
      <c r="BX75" s="1341"/>
      <c r="BY75" s="1341"/>
      <c r="BZ75" s="1341"/>
      <c r="CA75" s="1341"/>
      <c r="CB75" s="1341"/>
      <c r="CC75" s="1341"/>
      <c r="CD75" s="1341"/>
      <c r="CE75" s="1341"/>
      <c r="CF75" s="1341"/>
      <c r="CG75" s="1341"/>
      <c r="CH75" s="1341"/>
      <c r="CI75" s="1341"/>
      <c r="CJ75" s="1341"/>
      <c r="CK75" s="1341"/>
      <c r="CL75" s="1341"/>
      <c r="CM75" s="1341"/>
      <c r="CN75" s="1341"/>
      <c r="CO75" s="1341"/>
      <c r="CP75" s="1341"/>
      <c r="CQ75" s="1341"/>
      <c r="CR75" s="1341"/>
      <c r="CS75" s="1341"/>
      <c r="CT75" s="1341"/>
      <c r="CU75" s="1341"/>
      <c r="CV75" s="1341"/>
      <c r="CW75" s="1341"/>
      <c r="CX75" s="1341"/>
      <c r="CY75" s="1341"/>
      <c r="CZ75" s="1341"/>
      <c r="DA75" s="1341"/>
      <c r="DB75" s="1341"/>
      <c r="DC75" s="1341"/>
      <c r="DD75" s="1341"/>
      <c r="DE75" s="1341"/>
      <c r="DF75" s="1341"/>
      <c r="DG75" s="1341"/>
      <c r="DH75" s="1341"/>
      <c r="DI75" s="1341"/>
      <c r="DJ75" s="1341"/>
      <c r="DK75" s="1341"/>
      <c r="DL75" s="1341"/>
      <c r="DM75" s="1341"/>
      <c r="DN75" s="1341"/>
      <c r="DO75" s="1341"/>
      <c r="DP75" s="1341"/>
      <c r="DQ75" s="1341"/>
      <c r="DR75" s="1341"/>
      <c r="DS75" s="1341"/>
      <c r="DT75" s="1341"/>
      <c r="DV75" s="783"/>
      <c r="DW75" s="783" t="str">
        <f>IF(V75="","",V75)</f>
        <v>Добавить централизованную систему для дифференциации</v>
      </c>
      <c r="DX75" s="783"/>
      <c r="DY75" s="783"/>
    </row>
    <row s="1667" customFormat="1" customHeight="1" ht="0">
      <c r="A76" s="1392" t="s">
        <v>198</v>
      </c>
      <c r="B76" s="1392"/>
      <c r="C76" s="1392"/>
      <c r="D76" s="1392"/>
      <c r="E76" s="2149"/>
      <c r="F76" s="1392"/>
      <c r="G76" s="1392"/>
      <c r="H76" s="1392"/>
      <c r="I76" s="1392"/>
      <c r="J76" s="1392"/>
      <c r="K76" s="1392"/>
      <c r="L76" s="1392"/>
      <c r="M76" s="1398"/>
      <c r="N76" s="1396"/>
      <c r="O76" s="1396"/>
      <c r="P76" s="339"/>
      <c r="Q76" s="376"/>
      <c r="R76" s="1361"/>
      <c r="S76" s="376"/>
      <c r="T76" s="376"/>
      <c r="U76" s="1339"/>
      <c r="V76" s="1342" t="s">
        <v>162</v>
      </c>
      <c r="W76" s="1341"/>
      <c r="X76" s="1341"/>
      <c r="Y76" s="1341"/>
      <c r="Z76" s="1341"/>
      <c r="AA76" s="1341"/>
      <c r="AB76" s="1341"/>
      <c r="AC76" s="1341"/>
      <c r="AD76" s="1341"/>
      <c r="AE76" s="1341"/>
      <c r="AF76" s="1341"/>
      <c r="AG76" s="1341"/>
      <c r="AH76" s="1341"/>
      <c r="AI76" s="1341"/>
      <c r="AJ76" s="1341"/>
      <c r="AK76" s="1341"/>
      <c r="AL76" s="1341"/>
      <c r="AM76" s="1341"/>
      <c r="AN76" s="1341"/>
      <c r="AO76" s="1341"/>
      <c r="AP76" s="1341"/>
      <c r="AQ76" s="1341"/>
      <c r="AR76" s="1341"/>
      <c r="AS76" s="1341"/>
      <c r="AT76" s="1341"/>
      <c r="AU76" s="1341"/>
      <c r="AV76" s="1341"/>
      <c r="AW76" s="1341"/>
      <c r="AX76" s="1341"/>
      <c r="AY76" s="1341"/>
      <c r="AZ76" s="1341"/>
      <c r="BA76" s="1341"/>
      <c r="BB76" s="1341"/>
      <c r="BC76" s="1341"/>
      <c r="BD76" s="1341"/>
      <c r="BE76" s="1341"/>
      <c r="BF76" s="1341"/>
      <c r="BG76" s="1341"/>
      <c r="BH76" s="1341"/>
      <c r="BI76" s="1341"/>
      <c r="BJ76" s="1341"/>
      <c r="BK76" s="1341"/>
      <c r="BL76" s="1341"/>
      <c r="BM76" s="1341"/>
      <c r="BN76" s="1341"/>
      <c r="BO76" s="1341"/>
      <c r="BP76" s="1341"/>
      <c r="BQ76" s="1341"/>
      <c r="BR76" s="1341"/>
      <c r="BS76" s="1341"/>
      <c r="BT76" s="1341"/>
      <c r="BU76" s="1341"/>
      <c r="BV76" s="1341"/>
      <c r="BW76" s="1341"/>
      <c r="BX76" s="1341"/>
      <c r="BY76" s="1341"/>
      <c r="BZ76" s="1341"/>
      <c r="CA76" s="1341"/>
      <c r="CB76" s="1341"/>
      <c r="CC76" s="1341"/>
      <c r="CD76" s="1341"/>
      <c r="CE76" s="1341"/>
      <c r="CF76" s="1341"/>
      <c r="CG76" s="1341"/>
      <c r="CH76" s="1341"/>
      <c r="CI76" s="1341"/>
      <c r="CJ76" s="1341"/>
      <c r="CK76" s="1341"/>
      <c r="CL76" s="1341"/>
      <c r="CM76" s="1341"/>
      <c r="CN76" s="1341"/>
      <c r="CO76" s="1341"/>
      <c r="CP76" s="1341"/>
      <c r="CQ76" s="1341"/>
      <c r="CR76" s="1341"/>
      <c r="CS76" s="1341"/>
      <c r="CT76" s="1341"/>
      <c r="CU76" s="1341"/>
      <c r="CV76" s="1341"/>
      <c r="CW76" s="1341"/>
      <c r="CX76" s="1341"/>
      <c r="CY76" s="1341"/>
      <c r="CZ76" s="1341"/>
      <c r="DA76" s="1341"/>
      <c r="DB76" s="1341"/>
      <c r="DC76" s="1341"/>
      <c r="DD76" s="1341"/>
      <c r="DE76" s="1341"/>
      <c r="DF76" s="1341"/>
      <c r="DG76" s="1341"/>
      <c r="DH76" s="1341"/>
      <c r="DI76" s="1341"/>
      <c r="DJ76" s="1341"/>
      <c r="DK76" s="1341"/>
      <c r="DL76" s="1341"/>
      <c r="DM76" s="1341"/>
      <c r="DN76" s="1341"/>
      <c r="DO76" s="1341"/>
      <c r="DP76" s="1341"/>
      <c r="DQ76" s="1341"/>
      <c r="DR76" s="1341"/>
      <c r="DS76" s="1341"/>
      <c r="DT76" s="1341"/>
      <c r="DV76" s="496"/>
      <c r="DW76" s="496" t="str">
        <f>IF(V76="","",V76)</f>
        <v>Добавить территорию для дифференциации</v>
      </c>
      <c r="DX76" s="496"/>
      <c r="DY76" s="496"/>
    </row>
    <row s="1667" customFormat="1" customHeight="1" ht="5.25">
      <c r="A77" s="1391"/>
      <c r="B77" s="1391"/>
      <c r="C77" s="1391"/>
      <c r="D77" s="1391"/>
      <c r="E77" s="1392"/>
      <c r="F77" s="1391"/>
      <c r="G77" s="1391"/>
      <c r="H77" s="1391"/>
      <c r="I77" s="1391"/>
      <c r="J77" s="1391"/>
      <c r="K77" s="1391"/>
      <c r="L77" s="1391"/>
      <c r="M77" s="1394"/>
      <c r="N77" s="1396"/>
      <c r="O77" s="1396"/>
      <c r="P77" s="339"/>
      <c r="Q77" s="1333"/>
      <c r="R77" s="1334"/>
      <c r="S77" s="1333"/>
      <c r="T77" s="1333"/>
      <c r="U77" s="1339"/>
      <c r="V77" s="1342" t="s">
        <v>179</v>
      </c>
      <c r="W77" s="1341"/>
      <c r="X77" s="1341"/>
      <c r="Y77" s="1341"/>
      <c r="Z77" s="1341"/>
      <c r="AA77" s="1341"/>
      <c r="AB77" s="1341"/>
      <c r="AC77" s="1341"/>
      <c r="AD77" s="1341"/>
      <c r="AE77" s="1341"/>
      <c r="AF77" s="1341"/>
      <c r="AG77" s="1341"/>
      <c r="AH77" s="1341"/>
      <c r="AI77" s="1341"/>
      <c r="AJ77" s="1341"/>
      <c r="AK77" s="1341"/>
      <c r="AL77" s="1341"/>
      <c r="AM77" s="1341"/>
      <c r="AN77" s="1341"/>
      <c r="AO77" s="1341"/>
      <c r="AP77" s="1341"/>
      <c r="AQ77" s="1341"/>
      <c r="AR77" s="1341"/>
      <c r="AS77" s="1341"/>
      <c r="AT77" s="1341"/>
      <c r="AU77" s="1341"/>
      <c r="AV77" s="1341"/>
      <c r="AW77" s="1341"/>
      <c r="AX77" s="1341"/>
      <c r="AY77" s="1341"/>
      <c r="AZ77" s="1341"/>
      <c r="BA77" s="1341"/>
      <c r="BB77" s="1341"/>
      <c r="BC77" s="1341"/>
      <c r="BD77" s="1341"/>
      <c r="BE77" s="1341"/>
      <c r="BF77" s="1341"/>
      <c r="BG77" s="1341"/>
      <c r="BH77" s="1341"/>
      <c r="BI77" s="1341"/>
      <c r="BJ77" s="1341"/>
      <c r="BK77" s="1341"/>
      <c r="BL77" s="1341"/>
      <c r="BM77" s="1341"/>
      <c r="BN77" s="1341"/>
      <c r="BO77" s="1341"/>
      <c r="BP77" s="1341"/>
      <c r="BQ77" s="1341"/>
      <c r="BR77" s="1341"/>
      <c r="BS77" s="1341"/>
      <c r="BT77" s="1341"/>
      <c r="BU77" s="1341"/>
      <c r="BV77" s="1341"/>
      <c r="BW77" s="1341"/>
      <c r="BX77" s="1341"/>
      <c r="BY77" s="1341"/>
      <c r="BZ77" s="1341"/>
      <c r="CA77" s="1341"/>
      <c r="CB77" s="1341"/>
      <c r="CC77" s="1341"/>
      <c r="CD77" s="1341"/>
      <c r="CE77" s="1341"/>
      <c r="CF77" s="1341"/>
      <c r="CG77" s="1341"/>
      <c r="CH77" s="1341"/>
      <c r="CI77" s="1341"/>
      <c r="CJ77" s="1341"/>
      <c r="CK77" s="1341"/>
      <c r="CL77" s="1341"/>
      <c r="CM77" s="1341"/>
      <c r="CN77" s="1341"/>
      <c r="CO77" s="1341"/>
      <c r="CP77" s="1341"/>
      <c r="CQ77" s="1341"/>
      <c r="CR77" s="1341"/>
      <c r="CS77" s="1341"/>
      <c r="CT77" s="1341"/>
      <c r="CU77" s="1341"/>
      <c r="CV77" s="1341"/>
      <c r="CW77" s="1341"/>
      <c r="CX77" s="1341"/>
      <c r="CY77" s="1341"/>
      <c r="CZ77" s="1341"/>
      <c r="DA77" s="1341"/>
      <c r="DB77" s="1341"/>
      <c r="DC77" s="1341"/>
      <c r="DD77" s="1341"/>
      <c r="DE77" s="1341"/>
      <c r="DF77" s="1341"/>
      <c r="DG77" s="1341"/>
      <c r="DH77" s="1341"/>
      <c r="DI77" s="1341"/>
      <c r="DJ77" s="1341"/>
      <c r="DK77" s="1341"/>
      <c r="DL77" s="1341"/>
      <c r="DM77" s="1341"/>
      <c r="DN77" s="1341"/>
      <c r="DO77" s="1341"/>
      <c r="DP77" s="1341"/>
      <c r="DQ77" s="1341"/>
      <c r="DR77" s="1341"/>
      <c r="DS77" s="1341"/>
      <c r="DT77" s="1341"/>
      <c r="DV77" s="783"/>
      <c r="DW77" s="783" t="str">
        <f>IF(V77="","",V77)</f>
        <v>Добавить наименование тарифа</v>
      </c>
      <c r="DX77" s="783"/>
      <c r="DY77" s="783"/>
    </row>
    <row customHeight="1" ht="11.25">
      <c r="N78" s="1150"/>
      <c r="O78" s="1150"/>
      <c r="P78" s="505"/>
      <c r="Q78" s="1150"/>
      <c r="R78" s="1150"/>
      <c r="S78" s="1150"/>
      <c r="T78" s="1150"/>
      <c r="U78" s="1150"/>
      <c r="AP78" s="1660"/>
      <c r="AQ78" s="1660"/>
      <c r="AR78" s="1660"/>
      <c r="AS78" s="1660"/>
      <c r="AT78" s="1660"/>
      <c r="AU78" s="1660"/>
      <c r="AV78" s="1660"/>
      <c r="AW78" s="1660"/>
      <c r="AX78" s="1660"/>
      <c r="AY78" s="1660"/>
      <c r="AZ78" s="1660"/>
      <c r="BA78" s="1660"/>
      <c r="BB78" s="1660"/>
      <c r="BC78" s="1660"/>
      <c r="BD78" s="1660"/>
      <c r="BE78" s="1660"/>
      <c r="BF78" s="1660"/>
      <c r="BG78" s="1660"/>
      <c r="BH78" s="1660"/>
      <c r="BI78" s="1660"/>
      <c r="BJ78" s="1660"/>
      <c r="BK78" s="1660"/>
      <c r="BL78" s="1660"/>
      <c r="BM78" s="1660"/>
      <c r="BN78" s="1660"/>
      <c r="BO78" s="1660"/>
      <c r="BP78" s="1660"/>
      <c r="BQ78" s="1660"/>
      <c r="BR78" s="1660"/>
      <c r="BS78" s="1660"/>
      <c r="BT78" s="1660"/>
      <c r="BU78" s="1660"/>
      <c r="BV78" s="1660"/>
      <c r="BW78" s="1660"/>
      <c r="BX78" s="1660"/>
      <c r="BY78" s="1660"/>
      <c r="BZ78" s="1660"/>
      <c r="CA78" s="1660"/>
      <c r="CB78" s="1660"/>
      <c r="CC78" s="1660"/>
      <c r="CD78" s="1660"/>
      <c r="CE78" s="1660"/>
      <c r="CF78" s="1660"/>
      <c r="CG78" s="1660"/>
      <c r="CH78" s="1660"/>
      <c r="CI78" s="1660"/>
      <c r="CJ78" s="1660"/>
      <c r="CK78" s="1660"/>
      <c r="CL78" s="1660"/>
      <c r="CM78" s="1660"/>
      <c r="CN78" s="1660"/>
      <c r="CO78" s="1660"/>
      <c r="CP78" s="1660"/>
      <c r="CQ78" s="1660"/>
      <c r="CR78" s="1660"/>
      <c r="CS78" s="1660"/>
      <c r="CT78" s="1660"/>
      <c r="CU78" s="1660"/>
      <c r="CV78" s="1660"/>
      <c r="CW78" s="1660"/>
      <c r="CX78" s="1660"/>
      <c r="CY78" s="1660"/>
      <c r="CZ78" s="1660"/>
      <c r="DA78" s="1660"/>
      <c r="DB78" s="1660"/>
      <c r="DC78" s="1660"/>
      <c r="DD78" s="1660"/>
      <c r="DE78" s="1660"/>
      <c r="DF78" s="1660"/>
      <c r="DG78" s="1660"/>
      <c r="DH78" s="1660"/>
      <c r="DI78" s="1660"/>
      <c r="DJ78" s="1660"/>
      <c r="DK78" s="1660"/>
      <c r="DL78" s="1660"/>
      <c r="DM78" s="1660"/>
      <c r="DN78" s="1660"/>
      <c r="DO78" s="1660"/>
      <c r="DP78" s="1660"/>
      <c r="DQ78" s="1660"/>
      <c r="DR78" s="1660"/>
      <c r="DU78" s="1150"/>
      <c r="DV78" s="1150"/>
      <c r="DW78" s="1150"/>
      <c r="DX78" s="1150"/>
      <c r="DY78" s="1150"/>
    </row>
    <row customHeight="1" ht="33.75">
      <c r="P79" s="505"/>
      <c r="U79" s="1260"/>
      <c r="V79" s="2088"/>
      <c r="W79" s="2088"/>
      <c r="X79" s="2088"/>
      <c r="Y79" s="2088"/>
      <c r="Z79" s="2088"/>
      <c r="AA79" s="2088"/>
      <c r="AB79" s="2088"/>
      <c r="AC79" s="2088"/>
      <c r="AD79" s="2088"/>
      <c r="AE79" s="2088"/>
      <c r="AF79" s="2088"/>
      <c r="AG79" s="2088"/>
      <c r="AH79" s="2088"/>
      <c r="AI79" s="2088"/>
      <c r="AJ79" s="2088"/>
      <c r="AK79" s="2088"/>
      <c r="AL79" s="2088"/>
      <c r="AM79" s="2088"/>
      <c r="AN79" s="2088"/>
      <c r="AO79" s="2088"/>
      <c r="AP79" s="2215"/>
      <c r="AQ79" s="2215"/>
      <c r="AR79" s="2215"/>
      <c r="AS79" s="2215"/>
      <c r="AT79" s="2215"/>
      <c r="AU79" s="2215"/>
      <c r="AV79" s="2215"/>
      <c r="AW79" s="2215"/>
      <c r="AX79" s="2215"/>
      <c r="AY79" s="2215"/>
      <c r="AZ79" s="2215"/>
      <c r="BA79" s="2215"/>
      <c r="BB79" s="2215"/>
      <c r="BC79" s="2215"/>
      <c r="BD79" s="2215"/>
      <c r="BE79" s="2215"/>
      <c r="BF79" s="2215"/>
      <c r="BG79" s="2215"/>
      <c r="BH79" s="2215"/>
      <c r="BI79" s="2215"/>
      <c r="BJ79" s="2215"/>
      <c r="BK79" s="2215"/>
      <c r="BL79" s="2215"/>
      <c r="BM79" s="2215"/>
      <c r="BN79" s="2215"/>
      <c r="BO79" s="2215"/>
      <c r="BP79" s="2215"/>
      <c r="BQ79" s="2215"/>
      <c r="BR79" s="2215"/>
      <c r="BS79" s="2215"/>
      <c r="BT79" s="2215"/>
      <c r="BU79" s="2215"/>
      <c r="BV79" s="2215"/>
      <c r="BW79" s="2215"/>
      <c r="BX79" s="2215"/>
      <c r="BY79" s="2215"/>
      <c r="BZ79" s="2215"/>
      <c r="CA79" s="2215"/>
      <c r="CB79" s="2215"/>
      <c r="CC79" s="2215"/>
      <c r="CD79" s="2215"/>
      <c r="CE79" s="2215"/>
      <c r="CF79" s="2215"/>
      <c r="CG79" s="2215"/>
      <c r="CH79" s="2215"/>
      <c r="CI79" s="2215"/>
      <c r="CJ79" s="2215"/>
      <c r="CK79" s="2215"/>
      <c r="CL79" s="2215"/>
      <c r="CM79" s="2215"/>
      <c r="CN79" s="2215"/>
      <c r="CO79" s="2215"/>
      <c r="CP79" s="2215"/>
      <c r="CQ79" s="2215"/>
      <c r="CR79" s="2215"/>
      <c r="CS79" s="2215"/>
      <c r="CT79" s="2215"/>
      <c r="CU79" s="2215"/>
      <c r="CV79" s="2215"/>
      <c r="CW79" s="2215"/>
      <c r="CX79" s="2215"/>
      <c r="CY79" s="2215"/>
      <c r="CZ79" s="2215"/>
      <c r="DA79" s="2215"/>
      <c r="DB79" s="2215"/>
      <c r="DC79" s="2215"/>
      <c r="DD79" s="2215"/>
      <c r="DE79" s="2215"/>
      <c r="DF79" s="2215"/>
      <c r="DG79" s="2215"/>
      <c r="DH79" s="2215"/>
      <c r="DI79" s="2215"/>
      <c r="DJ79" s="2215"/>
      <c r="DK79" s="2215"/>
      <c r="DL79" s="2215"/>
      <c r="DM79" s="2215"/>
      <c r="DN79" s="2215"/>
      <c r="DO79" s="2215"/>
      <c r="DP79" s="2215"/>
      <c r="DQ79" s="2215"/>
      <c r="DR79" s="2215"/>
      <c r="DS79" s="2088"/>
      <c r="DT79" s="2088"/>
    </row>
    <row customHeight="1" ht="19.5">
      <c r="P80" s="505"/>
      <c r="V80" s="2088"/>
      <c r="W80" s="2088"/>
      <c r="X80" s="2088"/>
      <c r="Y80" s="2088"/>
      <c r="Z80" s="2088"/>
      <c r="AA80" s="2088"/>
      <c r="AB80" s="2088"/>
      <c r="AC80" s="2088"/>
      <c r="AD80" s="2088"/>
      <c r="AE80" s="2088"/>
      <c r="AF80" s="2088"/>
      <c r="AG80" s="2088"/>
      <c r="AH80" s="2088"/>
      <c r="AI80" s="2088"/>
      <c r="AJ80" s="2088"/>
      <c r="AK80" s="2088"/>
      <c r="AL80" s="2088"/>
      <c r="AM80" s="2088"/>
      <c r="AN80" s="2088"/>
      <c r="AO80" s="2088"/>
      <c r="AP80" s="2215"/>
      <c r="AQ80" s="2215"/>
      <c r="AR80" s="2215"/>
      <c r="AS80" s="2215"/>
      <c r="AT80" s="2215"/>
      <c r="AU80" s="2215"/>
      <c r="AV80" s="2215"/>
      <c r="AW80" s="2215"/>
      <c r="AX80" s="2215"/>
      <c r="AY80" s="2215"/>
      <c r="AZ80" s="2215"/>
      <c r="BA80" s="2215"/>
      <c r="BB80" s="2215"/>
      <c r="BC80" s="2215"/>
      <c r="BD80" s="2215"/>
      <c r="BE80" s="2215"/>
      <c r="BF80" s="2215"/>
      <c r="BG80" s="2215"/>
      <c r="BH80" s="2215"/>
      <c r="BI80" s="2215"/>
      <c r="BJ80" s="2215"/>
      <c r="BK80" s="2215"/>
      <c r="BL80" s="2215"/>
      <c r="BM80" s="2215"/>
      <c r="BN80" s="2215"/>
      <c r="BO80" s="2215"/>
      <c r="BP80" s="2215"/>
      <c r="BQ80" s="2215"/>
      <c r="BR80" s="2215"/>
      <c r="BS80" s="2215"/>
      <c r="BT80" s="2215"/>
      <c r="BU80" s="2215"/>
      <c r="BV80" s="2215"/>
      <c r="BW80" s="2215"/>
      <c r="BX80" s="2215"/>
      <c r="BY80" s="2215"/>
      <c r="BZ80" s="2215"/>
      <c r="CA80" s="2215"/>
      <c r="CB80" s="2215"/>
      <c r="CC80" s="2215"/>
      <c r="CD80" s="2215"/>
      <c r="CE80" s="2215"/>
      <c r="CF80" s="2215"/>
      <c r="CG80" s="2215"/>
      <c r="CH80" s="2215"/>
      <c r="CI80" s="2215"/>
      <c r="CJ80" s="2215"/>
      <c r="CK80" s="2215"/>
      <c r="CL80" s="2215"/>
      <c r="CM80" s="2215"/>
      <c r="CN80" s="2215"/>
      <c r="CO80" s="2215"/>
      <c r="CP80" s="2215"/>
      <c r="CQ80" s="2215"/>
      <c r="CR80" s="2215"/>
      <c r="CS80" s="2215"/>
      <c r="CT80" s="2215"/>
      <c r="CU80" s="2215"/>
      <c r="CV80" s="2215"/>
      <c r="CW80" s="2215"/>
      <c r="CX80" s="2215"/>
      <c r="CY80" s="2215"/>
      <c r="CZ80" s="2215"/>
      <c r="DA80" s="2215"/>
      <c r="DB80" s="2215"/>
      <c r="DC80" s="2215"/>
      <c r="DD80" s="2215"/>
      <c r="DE80" s="2215"/>
      <c r="DF80" s="2215"/>
      <c r="DG80" s="2215"/>
      <c r="DH80" s="2215"/>
      <c r="DI80" s="2215"/>
      <c r="DJ80" s="2215"/>
      <c r="DK80" s="2215"/>
      <c r="DL80" s="2215"/>
      <c r="DM80" s="2215"/>
      <c r="DN80" s="2215"/>
      <c r="DO80" s="2215"/>
      <c r="DP80" s="2215"/>
      <c r="DQ80" s="2215"/>
      <c r="DR80" s="2215"/>
      <c r="DS80" s="2088"/>
      <c r="DT80" s="2088"/>
    </row>
    <row customHeight="1" ht="14.25">
      <c r="P81" s="505"/>
      <c r="AP81" s="1660"/>
      <c r="AQ81" s="1660"/>
      <c r="AR81" s="1660"/>
      <c r="AS81" s="1660"/>
      <c r="AT81" s="1660"/>
      <c r="AU81" s="1660"/>
      <c r="AV81" s="1660"/>
      <c r="AW81" s="1660"/>
      <c r="AX81" s="1660"/>
      <c r="AY81" s="1660"/>
      <c r="AZ81" s="1660"/>
      <c r="BA81" s="1660"/>
      <c r="BB81" s="1660"/>
      <c r="BC81" s="1660"/>
      <c r="BD81" s="1660"/>
      <c r="BE81" s="1660"/>
      <c r="BF81" s="1660"/>
      <c r="BG81" s="1660"/>
      <c r="BH81" s="1660"/>
      <c r="BI81" s="1660"/>
      <c r="BJ81" s="1660"/>
      <c r="BK81" s="1660"/>
      <c r="BL81" s="1660"/>
      <c r="BM81" s="1660"/>
      <c r="BN81" s="1660"/>
      <c r="BO81" s="1660"/>
      <c r="BP81" s="1660"/>
      <c r="BQ81" s="1660"/>
      <c r="BR81" s="1660"/>
      <c r="BS81" s="1660"/>
      <c r="BT81" s="1660"/>
      <c r="BU81" s="1660"/>
      <c r="BV81" s="1660"/>
      <c r="BW81" s="1660"/>
      <c r="BX81" s="1660"/>
      <c r="BY81" s="1660"/>
      <c r="BZ81" s="1660"/>
      <c r="CA81" s="1660"/>
      <c r="CB81" s="1660"/>
      <c r="CC81" s="1660"/>
      <c r="CD81" s="1660"/>
      <c r="CE81" s="1660"/>
      <c r="CF81" s="1660"/>
      <c r="CG81" s="1660"/>
      <c r="CH81" s="1660"/>
      <c r="CI81" s="1660"/>
      <c r="CJ81" s="1660"/>
      <c r="CK81" s="1660"/>
      <c r="CL81" s="1660"/>
      <c r="CM81" s="1660"/>
      <c r="CN81" s="1660"/>
      <c r="CO81" s="1660"/>
      <c r="CP81" s="1660"/>
      <c r="CQ81" s="1660"/>
      <c r="CR81" s="1660"/>
      <c r="CS81" s="1660"/>
      <c r="CT81" s="1660"/>
      <c r="CU81" s="1660"/>
      <c r="CV81" s="1660"/>
      <c r="CW81" s="1660"/>
      <c r="CX81" s="1660"/>
      <c r="CY81" s="1660"/>
      <c r="CZ81" s="1660"/>
      <c r="DA81" s="1660"/>
      <c r="DB81" s="1660"/>
      <c r="DC81" s="1660"/>
      <c r="DD81" s="1660"/>
      <c r="DE81" s="1660"/>
      <c r="DF81" s="1660"/>
      <c r="DG81" s="1660"/>
      <c r="DH81" s="1660"/>
      <c r="DI81" s="1660"/>
      <c r="DJ81" s="1660"/>
      <c r="DK81" s="1660"/>
      <c r="DL81" s="1660"/>
      <c r="DM81" s="1660"/>
      <c r="DN81" s="1660"/>
      <c r="DO81" s="1660"/>
      <c r="DP81" s="1660"/>
      <c r="DQ81" s="1660"/>
      <c r="DR81" s="1660"/>
    </row>
    <row customHeight="1" ht="27">
      <c r="P82" s="505"/>
      <c r="V82" s="2088"/>
      <c r="W82" s="2088"/>
      <c r="X82" s="2088"/>
      <c r="Y82" s="2088"/>
      <c r="Z82" s="2088"/>
      <c r="AA82" s="2088"/>
      <c r="AB82" s="2088"/>
      <c r="AC82" s="2088"/>
      <c r="AD82" s="2088"/>
      <c r="AE82" s="2088"/>
      <c r="AF82" s="2088"/>
      <c r="AG82" s="2088"/>
      <c r="AH82" s="2088"/>
      <c r="AI82" s="2088"/>
      <c r="AJ82" s="2088"/>
      <c r="AK82" s="2088"/>
      <c r="AL82" s="2088"/>
      <c r="AM82" s="2088"/>
      <c r="AN82" s="2088"/>
      <c r="AO82" s="2088"/>
      <c r="AP82" s="2215"/>
      <c r="AQ82" s="2215"/>
      <c r="AR82" s="2215"/>
      <c r="AS82" s="2215"/>
      <c r="AT82" s="2215"/>
      <c r="AU82" s="2215"/>
      <c r="AV82" s="2215"/>
      <c r="AW82" s="2215"/>
      <c r="AX82" s="2215"/>
      <c r="AY82" s="2215"/>
      <c r="AZ82" s="2215"/>
      <c r="BA82" s="2215"/>
      <c r="BB82" s="2215"/>
      <c r="BC82" s="2215"/>
      <c r="BD82" s="2215"/>
      <c r="BE82" s="2215"/>
      <c r="BF82" s="2215"/>
      <c r="BG82" s="2215"/>
      <c r="BH82" s="2215"/>
      <c r="BI82" s="2215"/>
      <c r="BJ82" s="2215"/>
      <c r="BK82" s="2215"/>
      <c r="BL82" s="2215"/>
      <c r="BM82" s="2215"/>
      <c r="BN82" s="2215"/>
      <c r="BO82" s="2215"/>
      <c r="BP82" s="2215"/>
      <c r="BQ82" s="2215"/>
      <c r="BR82" s="2215"/>
      <c r="BS82" s="2215"/>
      <c r="BT82" s="2215"/>
      <c r="BU82" s="2215"/>
      <c r="BV82" s="2215"/>
      <c r="BW82" s="2215"/>
      <c r="BX82" s="2215"/>
      <c r="BY82" s="2215"/>
      <c r="BZ82" s="2215"/>
      <c r="CA82" s="2215"/>
      <c r="CB82" s="2215"/>
      <c r="CC82" s="2215"/>
      <c r="CD82" s="2215"/>
      <c r="CE82" s="2215"/>
      <c r="CF82" s="2215"/>
      <c r="CG82" s="2215"/>
      <c r="CH82" s="2215"/>
      <c r="CI82" s="2215"/>
      <c r="CJ82" s="2215"/>
      <c r="CK82" s="2215"/>
      <c r="CL82" s="2215"/>
      <c r="CM82" s="2215"/>
      <c r="CN82" s="2215"/>
      <c r="CO82" s="2215"/>
      <c r="CP82" s="2215"/>
      <c r="CQ82" s="2215"/>
      <c r="CR82" s="2215"/>
      <c r="CS82" s="2215"/>
      <c r="CT82" s="2215"/>
      <c r="CU82" s="2215"/>
      <c r="CV82" s="2215"/>
      <c r="CW82" s="2215"/>
      <c r="CX82" s="2215"/>
      <c r="CY82" s="2215"/>
      <c r="CZ82" s="2215"/>
      <c r="DA82" s="2215"/>
      <c r="DB82" s="2215"/>
      <c r="DC82" s="2215"/>
      <c r="DD82" s="2215"/>
      <c r="DE82" s="2215"/>
      <c r="DF82" s="2215"/>
      <c r="DG82" s="2215"/>
      <c r="DH82" s="2215"/>
      <c r="DI82" s="2215"/>
      <c r="DJ82" s="2215"/>
      <c r="DK82" s="2215"/>
      <c r="DL82" s="2215"/>
      <c r="DM82" s="2215"/>
      <c r="DN82" s="2215"/>
      <c r="DO82" s="2215"/>
      <c r="DP82" s="2215"/>
      <c r="DQ82" s="2215"/>
      <c r="DR82" s="2215"/>
      <c r="DS82" s="2088"/>
      <c r="DT82" s="2088"/>
    </row>
    <row customHeight="1" ht="18">
      <c r="P83" s="505"/>
      <c r="V83" s="2088"/>
      <c r="W83" s="2088"/>
      <c r="X83" s="2088"/>
      <c r="Y83" s="2088"/>
      <c r="Z83" s="2088"/>
      <c r="AA83" s="2088"/>
      <c r="AB83" s="2088"/>
      <c r="AC83" s="2088"/>
      <c r="AD83" s="2088"/>
      <c r="AE83" s="2088"/>
      <c r="AF83" s="2088"/>
      <c r="AG83" s="2088"/>
      <c r="AH83" s="2088"/>
      <c r="AI83" s="2088"/>
      <c r="AJ83" s="2088"/>
      <c r="AK83" s="2088"/>
      <c r="AL83" s="2088"/>
      <c r="AM83" s="2088"/>
      <c r="AN83" s="2088"/>
      <c r="AO83" s="2088"/>
      <c r="AP83" s="2215"/>
      <c r="AQ83" s="2215"/>
      <c r="AR83" s="2215"/>
      <c r="AS83" s="2215"/>
      <c r="AT83" s="2215"/>
      <c r="AU83" s="2215"/>
      <c r="AV83" s="2215"/>
      <c r="AW83" s="2215"/>
      <c r="AX83" s="2215"/>
      <c r="AY83" s="2215"/>
      <c r="AZ83" s="2215"/>
      <c r="BA83" s="2215"/>
      <c r="BB83" s="2215"/>
      <c r="BC83" s="2215"/>
      <c r="BD83" s="2215"/>
      <c r="BE83" s="2215"/>
      <c r="BF83" s="2215"/>
      <c r="BG83" s="2215"/>
      <c r="BH83" s="2215"/>
      <c r="BI83" s="2215"/>
      <c r="BJ83" s="2215"/>
      <c r="BK83" s="2215"/>
      <c r="BL83" s="2215"/>
      <c r="BM83" s="2215"/>
      <c r="BN83" s="2215"/>
      <c r="BO83" s="2215"/>
      <c r="BP83" s="2215"/>
      <c r="BQ83" s="2215"/>
      <c r="BR83" s="2215"/>
      <c r="BS83" s="2215"/>
      <c r="BT83" s="2215"/>
      <c r="BU83" s="2215"/>
      <c r="BV83" s="2215"/>
      <c r="BW83" s="2215"/>
      <c r="BX83" s="2215"/>
      <c r="BY83" s="2215"/>
      <c r="BZ83" s="2215"/>
      <c r="CA83" s="2215"/>
      <c r="CB83" s="2215"/>
      <c r="CC83" s="2215"/>
      <c r="CD83" s="2215"/>
      <c r="CE83" s="2215"/>
      <c r="CF83" s="2215"/>
      <c r="CG83" s="2215"/>
      <c r="CH83" s="2215"/>
      <c r="CI83" s="2215"/>
      <c r="CJ83" s="2215"/>
      <c r="CK83" s="2215"/>
      <c r="CL83" s="2215"/>
      <c r="CM83" s="2215"/>
      <c r="CN83" s="2215"/>
      <c r="CO83" s="2215"/>
      <c r="CP83" s="2215"/>
      <c r="CQ83" s="2215"/>
      <c r="CR83" s="2215"/>
      <c r="CS83" s="2215"/>
      <c r="CT83" s="2215"/>
      <c r="CU83" s="2215"/>
      <c r="CV83" s="2215"/>
      <c r="CW83" s="2215"/>
      <c r="CX83" s="2215"/>
      <c r="CY83" s="2215"/>
      <c r="CZ83" s="2215"/>
      <c r="DA83" s="2215"/>
      <c r="DB83" s="2215"/>
      <c r="DC83" s="2215"/>
      <c r="DD83" s="2215"/>
      <c r="DE83" s="2215"/>
      <c r="DF83" s="2215"/>
      <c r="DG83" s="2215"/>
      <c r="DH83" s="2215"/>
      <c r="DI83" s="2215"/>
      <c r="DJ83" s="2215"/>
      <c r="DK83" s="2215"/>
      <c r="DL83" s="2215"/>
      <c r="DM83" s="2215"/>
      <c r="DN83" s="2215"/>
      <c r="DO83" s="2215"/>
      <c r="DP83" s="2215"/>
      <c r="DQ83" s="2215"/>
      <c r="DR83" s="2215"/>
      <c r="DS83" s="2088"/>
      <c r="DT83" s="2088"/>
    </row>
  </sheetData>
  <sheetProtection formatColumns="0" formatRows="0" autoFilter="0" sort="0" insertRows="0" insertColumns="1" deleteRows="0" deleteColumns="0"/>
  <mergeCells count="469">
    <mergeCell ref="AN19:AN22"/>
    <mergeCell ref="AO19:AO22"/>
    <mergeCell ref="E2:E17"/>
    <mergeCell ref="X2:AF2"/>
    <mergeCell ref="AG2:DS2"/>
    <mergeCell ref="F3:F16"/>
    <mergeCell ref="X3:AF3"/>
    <mergeCell ref="AG3:DS3"/>
    <mergeCell ref="G4:G15"/>
    <mergeCell ref="X4:AF4"/>
    <mergeCell ref="AG4:DS4"/>
    <mergeCell ref="H5:H14"/>
    <mergeCell ref="X5:AF5"/>
    <mergeCell ref="AG5:DS5"/>
    <mergeCell ref="I6:I13"/>
    <mergeCell ref="Q6:Q13"/>
    <mergeCell ref="X6:AF6"/>
    <mergeCell ref="AG6:DS6"/>
    <mergeCell ref="DT9:DT12"/>
    <mergeCell ref="J7:J12"/>
    <mergeCell ref="R7:R12"/>
    <mergeCell ref="X7:AF7"/>
    <mergeCell ref="AG7:DS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DS54"/>
    <mergeCell ref="K55:K58"/>
    <mergeCell ref="AD48:AE48"/>
    <mergeCell ref="AM48:AN48"/>
    <mergeCell ref="X41:AF41"/>
    <mergeCell ref="AG41:AO41"/>
    <mergeCell ref="U42:DS42"/>
    <mergeCell ref="U43:U47"/>
    <mergeCell ref="V43:V47"/>
    <mergeCell ref="X43:AE43"/>
    <mergeCell ref="AF43:AF47"/>
    <mergeCell ref="AG43:AN43"/>
    <mergeCell ref="AO43:AO47"/>
    <mergeCell ref="AC55:AC58"/>
    <mergeCell ref="AE55:AE58"/>
    <mergeCell ref="AD55:AD58"/>
    <mergeCell ref="E49:E76"/>
    <mergeCell ref="X49:AF49"/>
    <mergeCell ref="AG49:DS49"/>
    <mergeCell ref="F50:F75"/>
    <mergeCell ref="X50:AF50"/>
    <mergeCell ref="AG50:DS50"/>
    <mergeCell ref="G51:G74"/>
    <mergeCell ref="X51:AF51"/>
    <mergeCell ref="AG51:DS51"/>
    <mergeCell ref="H52:H73"/>
    <mergeCell ref="X52:AF52"/>
    <mergeCell ref="AG52:DS52"/>
    <mergeCell ref="I53:I72"/>
    <mergeCell ref="Q53:Q72"/>
    <mergeCell ref="L56:L57"/>
    <mergeCell ref="AF55:AF58"/>
    <mergeCell ref="AH44:AK44"/>
    <mergeCell ref="AL44:AN45"/>
    <mergeCell ref="AH45:AH47"/>
    <mergeCell ref="X53:AF53"/>
    <mergeCell ref="AG53:DS53"/>
    <mergeCell ref="AI45:AK45"/>
    <mergeCell ref="AI46:AI47"/>
    <mergeCell ref="AJ46:AK46"/>
    <mergeCell ref="AL46:AL47"/>
    <mergeCell ref="AM46:AN47"/>
    <mergeCell ref="DS43:DS47"/>
    <mergeCell ref="X44:X47"/>
    <mergeCell ref="AG44:AG47"/>
    <mergeCell ref="V83:DT83"/>
    <mergeCell ref="U39:V39"/>
    <mergeCell ref="X39:AE39"/>
    <mergeCell ref="AG39:AN39"/>
    <mergeCell ref="U38:V38"/>
    <mergeCell ref="X38:AE38"/>
    <mergeCell ref="AG38:AN38"/>
    <mergeCell ref="AL55:AL58"/>
    <mergeCell ref="AM55:AM58"/>
    <mergeCell ref="AN55:AN58"/>
    <mergeCell ref="AO55:AO58"/>
    <mergeCell ref="V82:DT82"/>
    <mergeCell ref="DT42:DT47"/>
    <mergeCell ref="DT56:DT59"/>
    <mergeCell ref="V79:DT79"/>
    <mergeCell ref="V80:DT80"/>
    <mergeCell ref="Y44:AB44"/>
    <mergeCell ref="Y45:Y47"/>
    <mergeCell ref="Z45:AB45"/>
    <mergeCell ref="AA46:AB46"/>
    <mergeCell ref="Z46:Z47"/>
    <mergeCell ref="AC46:AC47"/>
    <mergeCell ref="AD46:AE47"/>
    <mergeCell ref="AC44:AE45"/>
    <mergeCell ref="AU8:AU11"/>
    <mergeCell ref="AV8:AV11"/>
    <mergeCell ref="AW8:AW11"/>
    <mergeCell ref="AX8:AX11"/>
    <mergeCell ref="AP33:AW33"/>
    <mergeCell ref="AP34:AW34"/>
    <mergeCell ref="AP35:AW35"/>
    <mergeCell ref="AP36:AW36"/>
    <mergeCell ref="AP38:AW38"/>
    <mergeCell ref="AP39:AW39"/>
    <mergeCell ref="AP41:AX41"/>
    <mergeCell ref="AP43:AW43"/>
    <mergeCell ref="AX43:AX47"/>
    <mergeCell ref="AP44:AP47"/>
    <mergeCell ref="AQ44:AT44"/>
    <mergeCell ref="AU44:AW45"/>
    <mergeCell ref="AQ45:AQ47"/>
    <mergeCell ref="AR45:AT45"/>
    <mergeCell ref="AR46:AR47"/>
    <mergeCell ref="AS46:AT46"/>
    <mergeCell ref="AU46:AU47"/>
    <mergeCell ref="AV46:AW47"/>
    <mergeCell ref="AV48:AW48"/>
    <mergeCell ref="AU55:AU58"/>
    <mergeCell ref="AV55:AV58"/>
    <mergeCell ref="AW55:AW58"/>
    <mergeCell ref="AX55:AX58"/>
    <mergeCell ref="BD8:BD11"/>
    <mergeCell ref="BE8:BE11"/>
    <mergeCell ref="BF8:BF11"/>
    <mergeCell ref="BG8:BG11"/>
    <mergeCell ref="AY33:BF33"/>
    <mergeCell ref="AY34:BF34"/>
    <mergeCell ref="AY35:BF35"/>
    <mergeCell ref="AY36:BF36"/>
    <mergeCell ref="AY38:BF38"/>
    <mergeCell ref="AY39:BF39"/>
    <mergeCell ref="AY41:BG41"/>
    <mergeCell ref="AY43:BF43"/>
    <mergeCell ref="BG43:BG47"/>
    <mergeCell ref="AY44:AY47"/>
    <mergeCell ref="AZ44:BC44"/>
    <mergeCell ref="BD44:BF45"/>
    <mergeCell ref="AZ45:AZ47"/>
    <mergeCell ref="BA45:BC45"/>
    <mergeCell ref="BA46:BA47"/>
    <mergeCell ref="BB46:BC46"/>
    <mergeCell ref="BD46:BD47"/>
    <mergeCell ref="BE46:BF47"/>
    <mergeCell ref="BE48:BF48"/>
    <mergeCell ref="BD55:BD58"/>
    <mergeCell ref="BE55:BE58"/>
    <mergeCell ref="BF55:BF58"/>
    <mergeCell ref="BG55:BG58"/>
    <mergeCell ref="BM8:BM11"/>
    <mergeCell ref="BN8:BN11"/>
    <mergeCell ref="BO8:BO11"/>
    <mergeCell ref="BP8:BP11"/>
    <mergeCell ref="BH33:BO33"/>
    <mergeCell ref="BH34:BO34"/>
    <mergeCell ref="BH35:BO35"/>
    <mergeCell ref="BH36:BO36"/>
    <mergeCell ref="BH38:BO38"/>
    <mergeCell ref="BH39:BO39"/>
    <mergeCell ref="BH41:BP41"/>
    <mergeCell ref="BH43:BO43"/>
    <mergeCell ref="BP43:BP47"/>
    <mergeCell ref="BH44:BH47"/>
    <mergeCell ref="BI44:BL44"/>
    <mergeCell ref="BM44:BO45"/>
    <mergeCell ref="BI45:BI47"/>
    <mergeCell ref="BJ45:BL45"/>
    <mergeCell ref="BJ46:BJ47"/>
    <mergeCell ref="BK46:BL46"/>
    <mergeCell ref="BM46:BM47"/>
    <mergeCell ref="BN46:BO47"/>
    <mergeCell ref="BN48:BO48"/>
    <mergeCell ref="BM55:BM58"/>
    <mergeCell ref="BN55:BN58"/>
    <mergeCell ref="BO55:BO58"/>
    <mergeCell ref="BP55:BP58"/>
    <mergeCell ref="BV8:BV11"/>
    <mergeCell ref="BW8:BW11"/>
    <mergeCell ref="BX8:BX11"/>
    <mergeCell ref="BY8:BY11"/>
    <mergeCell ref="BQ33:BX33"/>
    <mergeCell ref="BQ34:BX34"/>
    <mergeCell ref="BQ35:BX35"/>
    <mergeCell ref="BQ36:BX36"/>
    <mergeCell ref="BQ38:BX38"/>
    <mergeCell ref="BQ39:BX39"/>
    <mergeCell ref="BQ41:BY41"/>
    <mergeCell ref="BQ43:BX43"/>
    <mergeCell ref="BY43:BY47"/>
    <mergeCell ref="BQ44:BQ47"/>
    <mergeCell ref="BR44:BU44"/>
    <mergeCell ref="BV44:BX45"/>
    <mergeCell ref="BR45:BR47"/>
    <mergeCell ref="BS45:BU45"/>
    <mergeCell ref="BS46:BS47"/>
    <mergeCell ref="BT46:BU46"/>
    <mergeCell ref="BV46:BV47"/>
    <mergeCell ref="BW46:BX47"/>
    <mergeCell ref="BW48:BX48"/>
    <mergeCell ref="BV55:BV58"/>
    <mergeCell ref="BW55:BW58"/>
    <mergeCell ref="BX55:BX58"/>
    <mergeCell ref="BY55:BY58"/>
    <mergeCell ref="CE8:CE11"/>
    <mergeCell ref="CF8:CF11"/>
    <mergeCell ref="CG8:CG11"/>
    <mergeCell ref="CH8:CH11"/>
    <mergeCell ref="BZ33:CG33"/>
    <mergeCell ref="BZ34:CG34"/>
    <mergeCell ref="BZ35:CG35"/>
    <mergeCell ref="BZ36:CG36"/>
    <mergeCell ref="BZ38:CG38"/>
    <mergeCell ref="BZ39:CG39"/>
    <mergeCell ref="BZ41:CH41"/>
    <mergeCell ref="BZ43:CG43"/>
    <mergeCell ref="CH43:CH47"/>
    <mergeCell ref="BZ44:BZ47"/>
    <mergeCell ref="CA44:CD44"/>
    <mergeCell ref="CE44:CG45"/>
    <mergeCell ref="CA45:CA47"/>
    <mergeCell ref="CB45:CD45"/>
    <mergeCell ref="CB46:CB47"/>
    <mergeCell ref="CC46:CD46"/>
    <mergeCell ref="CE46:CE47"/>
    <mergeCell ref="CF46:CG47"/>
    <mergeCell ref="CF48:CG48"/>
    <mergeCell ref="CE55:CE58"/>
    <mergeCell ref="CF55:CF58"/>
    <mergeCell ref="CG55:CG58"/>
    <mergeCell ref="CH55:CH58"/>
    <mergeCell ref="CN8:CN11"/>
    <mergeCell ref="CO8:CO11"/>
    <mergeCell ref="CP8:CP11"/>
    <mergeCell ref="CQ8:CQ11"/>
    <mergeCell ref="CI33:CP33"/>
    <mergeCell ref="CI34:CP34"/>
    <mergeCell ref="CI35:CP35"/>
    <mergeCell ref="CI36:CP36"/>
    <mergeCell ref="CI38:CP38"/>
    <mergeCell ref="CI39:CP39"/>
    <mergeCell ref="CI41:CQ41"/>
    <mergeCell ref="CI43:CP43"/>
    <mergeCell ref="CQ43:CQ47"/>
    <mergeCell ref="CI44:CI47"/>
    <mergeCell ref="CJ44:CM44"/>
    <mergeCell ref="CN44:CP45"/>
    <mergeCell ref="CJ45:CJ47"/>
    <mergeCell ref="CK45:CM45"/>
    <mergeCell ref="CK46:CK47"/>
    <mergeCell ref="CL46:CM46"/>
    <mergeCell ref="CN46:CN47"/>
    <mergeCell ref="CO46:CP47"/>
    <mergeCell ref="CO48:CP48"/>
    <mergeCell ref="CN55:CN58"/>
    <mergeCell ref="CO55:CO58"/>
    <mergeCell ref="CP55:CP58"/>
    <mergeCell ref="CQ55:CQ58"/>
    <mergeCell ref="CW8:CW11"/>
    <mergeCell ref="CX8:CX11"/>
    <mergeCell ref="CY8:CY11"/>
    <mergeCell ref="CZ8:CZ11"/>
    <mergeCell ref="CR33:CY33"/>
    <mergeCell ref="CR34:CY34"/>
    <mergeCell ref="CR35:CY35"/>
    <mergeCell ref="CR36:CY36"/>
    <mergeCell ref="CR38:CY38"/>
    <mergeCell ref="CR39:CY39"/>
    <mergeCell ref="CR41:CZ41"/>
    <mergeCell ref="CR43:CY43"/>
    <mergeCell ref="CZ43:CZ47"/>
    <mergeCell ref="CR44:CR47"/>
    <mergeCell ref="CS44:CV44"/>
    <mergeCell ref="CW44:CY45"/>
    <mergeCell ref="CS45:CS47"/>
    <mergeCell ref="CT45:CV45"/>
    <mergeCell ref="CT46:CT47"/>
    <mergeCell ref="CU46:CV46"/>
    <mergeCell ref="CW46:CW47"/>
    <mergeCell ref="CX46:CY47"/>
    <mergeCell ref="CX48:CY48"/>
    <mergeCell ref="CW55:CW58"/>
    <mergeCell ref="CX55:CX58"/>
    <mergeCell ref="CY55:CY58"/>
    <mergeCell ref="CZ55:CZ58"/>
    <mergeCell ref="DF8:DF11"/>
    <mergeCell ref="DG8:DG11"/>
    <mergeCell ref="DH8:DH11"/>
    <mergeCell ref="DI8:DI11"/>
    <mergeCell ref="DA33:DH33"/>
    <mergeCell ref="DA34:DH34"/>
    <mergeCell ref="DA35:DH35"/>
    <mergeCell ref="DA36:DH36"/>
    <mergeCell ref="DA38:DH38"/>
    <mergeCell ref="DA39:DH39"/>
    <mergeCell ref="DA41:DI41"/>
    <mergeCell ref="DA43:DH43"/>
    <mergeCell ref="DI43:DI47"/>
    <mergeCell ref="DA44:DA47"/>
    <mergeCell ref="DB44:DE44"/>
    <mergeCell ref="DF44:DH45"/>
    <mergeCell ref="DB45:DB47"/>
    <mergeCell ref="DC45:DE45"/>
    <mergeCell ref="DC46:DC47"/>
    <mergeCell ref="DD46:DE46"/>
    <mergeCell ref="DF46:DF47"/>
    <mergeCell ref="DG46:DH47"/>
    <mergeCell ref="DG48:DH48"/>
    <mergeCell ref="DF55:DF58"/>
    <mergeCell ref="DG55:DG58"/>
    <mergeCell ref="DH55:DH58"/>
    <mergeCell ref="DI55:DI58"/>
    <mergeCell ref="DO8:DO11"/>
    <mergeCell ref="DP8:DP11"/>
    <mergeCell ref="DQ8:DQ11"/>
    <mergeCell ref="DR8:DR11"/>
    <mergeCell ref="DJ33:DQ33"/>
    <mergeCell ref="DJ34:DQ34"/>
    <mergeCell ref="DJ35:DQ35"/>
    <mergeCell ref="DJ36:DQ36"/>
    <mergeCell ref="DJ38:DQ38"/>
    <mergeCell ref="DJ39:DQ39"/>
    <mergeCell ref="DJ41:DR41"/>
    <mergeCell ref="DJ43:DQ43"/>
    <mergeCell ref="DR43:DR47"/>
    <mergeCell ref="DJ44:DJ47"/>
    <mergeCell ref="DK44:DN44"/>
    <mergeCell ref="DO44:DQ45"/>
    <mergeCell ref="DK45:DK47"/>
    <mergeCell ref="DL45:DN45"/>
    <mergeCell ref="DL46:DL47"/>
    <mergeCell ref="DM46:DN46"/>
    <mergeCell ref="DO46:DO47"/>
    <mergeCell ref="DP46:DQ47"/>
    <mergeCell ref="DP48:DQ48"/>
    <mergeCell ref="DO55:DO58"/>
    <mergeCell ref="DP55:DP58"/>
    <mergeCell ref="DQ55:DQ58"/>
    <mergeCell ref="DR55:DR58"/>
    <mergeCell ref="DT62:DT65"/>
    <mergeCell ref="J60:J65"/>
    <mergeCell ref="R60:R65"/>
    <mergeCell ref="X60:AF60"/>
    <mergeCell ref="AG60:DS60"/>
    <mergeCell ref="S61:S64"/>
    <mergeCell ref="K61:K64"/>
    <mergeCell ref="L62:L63"/>
    <mergeCell ref="AC61:AC64"/>
    <mergeCell ref="AE61:AE64"/>
    <mergeCell ref="AD61:AD64"/>
    <mergeCell ref="AF61:AF64"/>
    <mergeCell ref="AL61:AL64"/>
    <mergeCell ref="AM61:AM64"/>
    <mergeCell ref="AN61:AN64"/>
    <mergeCell ref="AO61:AO64"/>
    <mergeCell ref="AU61:AU64"/>
    <mergeCell ref="AV61:AV64"/>
    <mergeCell ref="AW61:AW64"/>
    <mergeCell ref="AX61:AX64"/>
    <mergeCell ref="BD61:BD64"/>
    <mergeCell ref="BE61:BE64"/>
    <mergeCell ref="BF61:BF64"/>
    <mergeCell ref="BG61:BG64"/>
    <mergeCell ref="BM61:BM64"/>
    <mergeCell ref="BN61:BN64"/>
    <mergeCell ref="BO61:BO64"/>
    <mergeCell ref="BP61:BP64"/>
    <mergeCell ref="BV61:BV64"/>
    <mergeCell ref="BW61:BW64"/>
    <mergeCell ref="BX61:BX64"/>
    <mergeCell ref="BY61:BY64"/>
    <mergeCell ref="CE61:CE64"/>
    <mergeCell ref="CF61:CF64"/>
    <mergeCell ref="CG61:CG64"/>
    <mergeCell ref="CH61:CH64"/>
    <mergeCell ref="CN61:CN64"/>
    <mergeCell ref="CO61:CO64"/>
    <mergeCell ref="CP61:CP64"/>
    <mergeCell ref="CQ61:CQ64"/>
    <mergeCell ref="CW61:CW64"/>
    <mergeCell ref="CX61:CX64"/>
    <mergeCell ref="CY61:CY64"/>
    <mergeCell ref="CZ61:CZ64"/>
    <mergeCell ref="DF61:DF64"/>
    <mergeCell ref="DG61:DG64"/>
    <mergeCell ref="DH61:DH64"/>
    <mergeCell ref="DI61:DI64"/>
    <mergeCell ref="DO61:DO64"/>
    <mergeCell ref="DP61:DP64"/>
    <mergeCell ref="DQ61:DQ64"/>
    <mergeCell ref="DR61:DR64"/>
    <mergeCell ref="DT68:DT71"/>
    <mergeCell ref="J66:J71"/>
    <mergeCell ref="R66:R71"/>
    <mergeCell ref="X66:AF66"/>
    <mergeCell ref="AG66:DS66"/>
    <mergeCell ref="S67:S70"/>
    <mergeCell ref="K67:K70"/>
    <mergeCell ref="L68:L69"/>
    <mergeCell ref="AC67:AC70"/>
    <mergeCell ref="AE67:AE70"/>
    <mergeCell ref="AD67:AD70"/>
    <mergeCell ref="AF67:AF70"/>
    <mergeCell ref="AL67:AL70"/>
    <mergeCell ref="AM67:AM70"/>
    <mergeCell ref="AN67:AN70"/>
    <mergeCell ref="AO67:AO70"/>
    <mergeCell ref="AU67:AU70"/>
    <mergeCell ref="AV67:AV70"/>
    <mergeCell ref="AW67:AW70"/>
    <mergeCell ref="AX67:AX70"/>
    <mergeCell ref="BD67:BD70"/>
    <mergeCell ref="BE67:BE70"/>
    <mergeCell ref="BF67:BF70"/>
    <mergeCell ref="BG67:BG70"/>
    <mergeCell ref="BM67:BM70"/>
    <mergeCell ref="BN67:BN70"/>
    <mergeCell ref="BO67:BO70"/>
    <mergeCell ref="BP67:BP70"/>
    <mergeCell ref="BV67:BV70"/>
    <mergeCell ref="BW67:BW70"/>
    <mergeCell ref="BX67:BX70"/>
    <mergeCell ref="BY67:BY70"/>
    <mergeCell ref="CE67:CE70"/>
    <mergeCell ref="CF67:CF70"/>
    <mergeCell ref="CG67:CG70"/>
    <mergeCell ref="CH67:CH70"/>
    <mergeCell ref="CN67:CN70"/>
    <mergeCell ref="CO67:CO70"/>
    <mergeCell ref="CP67:CP70"/>
    <mergeCell ref="CQ67:CQ70"/>
    <mergeCell ref="CW67:CW70"/>
    <mergeCell ref="CX67:CX70"/>
    <mergeCell ref="CY67:CY70"/>
    <mergeCell ref="CZ67:CZ70"/>
    <mergeCell ref="DF67:DF70"/>
    <mergeCell ref="DG67:DG70"/>
    <mergeCell ref="DH67:DH70"/>
    <mergeCell ref="DI67:DI70"/>
    <mergeCell ref="DO67:DO70"/>
    <mergeCell ref="DP67:DP70"/>
    <mergeCell ref="DQ67:DQ70"/>
    <mergeCell ref="DR67:DR70"/>
  </mergeCells>
  <dataValidations count="8">
    <dataValidation type="list" allowBlank="1" showInputMessage="1" showErrorMessage="1" errorTitle="Ошибка" error="Выберите значение из списка" sqref="V65604 V131140 V196676 V262212 V327748 V393284 V458820 V524356 V589892 V655428 V720964 V786500 V852036 V917572 V983108">
      <formula1>kind_of_heat_transfer</formula1>
    </dataValidation>
    <dataValidation type="list" allowBlank="1" showInputMessage="1" showErrorMessage="1" errorTitle="Ошибка" error="Выберите значение из списка" sqref="X983106:Z983106 X65602:Z65602 X131138:Z131138 X196674:Z196674 X262210:Z262210 X327746:Z327746 X393282:Z393282 X458818:Z458818 X524354:Z524354 X589890:Z589890 X655426:Z655426 X720962:Z720962 X786498:Z786498 X852034:Z852034 X917570:Z917570 AG983106:AI983106 AG65602:AI65602 AG131138:AI131138 AG196674:AI196674 AG262210:AI262210 AG327746:AI327746 AG393282:AI393282 AG458818:AI458818 AG524354:AI524354 AG589890:AI589890 AG655426:AI655426 AG720962:AI720962 AG786498:AI786498 AG852034:AI852034 AG917570:AI917570">
      <formula1>kind_of_scheme_in</formula1>
    </dataValidation>
    <dataValidation type="list" allowBlank="1" showInputMessage="1" errorTitle="Ошибка" error="Выберите значение из списка" prompt="Выберите значение из списка" sqref="X983107:DS983107 X65603:DS65603 X131139:DS131139 X196675:DS196675 X262211:DS262211 X327747:DS327747 X393283:DS393283 X458819:DS458819 X524355:DS524355 X589891:DS589891 X655427:DS655427 X720963:DS720963 X786499:DS786499 X852035:DS852035 X917571:DS917571">
      <formula1>kind_of_cons</formula1>
    </dataValidation>
    <dataValidation allowBlank="1" sqref="U131142:DT131148 U196678:DT196684 U262214:DT262220 U327750:DT327756 U393286:DT393292 U458822:DT458828 U524358:DT524364 U589894:DT589900 U655430:DT655436 U720966:DT720972 U786502:DT786508 U852038:DT852044 U917574:DT917580 U983110:DT983116 U65606:DT65612"/>
    <dataValidation type="textLength" operator="lessThanOrEqual" allowBlank="1" showInputMessage="1" showErrorMessage="1" errorTitle="Ошибка" error="Допускается ввод не более 900 символов!" sqref="DT65598:DT65605 DT131134:DT131141 DT196670:DT196677 DT262206:DT262213 DT327742:DT327749 DT393278:DT393285 DT458814:DT458821 DT524350:DT524357 DT589886:DT589893 DT655422:DT655429 DT720958:DT720965 DT786494:DT786501 DT852030:DT852037 DT917566:DT917573 DT983102:DT983109">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604 AC131140 AC196676 AC262212 AC327748 AC393284 AC458820 AC524356 AC589892 AC655428 AC720964 AC786500 AC852036 AC917572 AC983108 AE65604 AE131140 AE196676 AE262212 AE327748 AE393284 AE458820 AE524356 AE589892 AE655428 AE720964 AE786500 AE852036 AE917572 AE983108 AN55 AL65604 AL131140 AL196676 AL262212 AL327748 AL393284 AL458820 AL524356 AL589892 AL655428 AL720964 AL786500 AL852036 AL917572 AL983108 AN65604 AN131140 AN196676 AN262212 AN327748 AN393284 AN458820 AN524356 AN589892 AN655428 AN720964 AN786500 AN852036 AN917572 AN983108 AC55 AE55 AL55 AE8 AC8 AL19:AL21 AN19:AN21 AN8 AL8 AU8 AW8 AU55 AW55 BD8 BF8 BD55 BF55 BM8 BO8 BM55 BO55 BV8 BX8 BV55 BX55 CE8 CG8 CE55 CG55 CN8 CP8 CN55 CP55 CW8 CY8 CW55 CY55 DF8 DH8 DF55 DH55 DO8 DQ8 DO55 DQ55 AC61 AE61 AL61 AN61 AU61 AW61 BD61 BF61 BM61 BO61 BV61 BX61 CE61 CG61 CN61 CP61 CW61 CY61 DF61 DH61 DO61 DQ61 AC67 AE67 AL67 AN67 AU67 AW67 BD67 BF67 BM67 BO67 BV67 BX67 CE67 CG67 CN67 CP67 CW67 CY67 DF67 DH67 DO67 DQ67"/>
    <dataValidation allowBlank="1" promptTitle="checkPeriodRange" sqref="AB65605 AB131141 AB196677 AB262213 AB327749 AB393285 AB458821 AB524357 AB589893 AB655429 AB720965 AB786501 AB852037 AB917573 AB983109 AB10:AB11 AK65605 AK131141 AK196677 AK262213 AK327749 AK393285 AK458821 AK524357 AK589893 AK655429 AK720965 AK786501 AK852037 AK917573 AK983109 AK10:AK11 AK57 AK22 AB57 AT10 AT11 AT57 BC10 BC11 BC57 BL10 BL11 BL57 BU10 BU11 BU57 CD10 CD11 CD57 CM10 CM11 CM57 CV10 CV11 CV57 DE10 DE11 DE57 DN10 DN11 DN57 AB63 AK63 AT63 BC63 BL63 BU63 CD63 CM63 CV63 DE63 DN63 AB64 AK64 AT64 BC64 BL64 BU64 CD64 CM64 CV64 DE64 DN64 AB69 AK69 AT69 BC69 BL69 BU69 CD69 CM69 CV69 DE69 DN69 AB70 AK70 AT70 BC70 BL70 BU70 CD70 CM70 CV70 DE70 DN70"/>
    <dataValidation allowBlank="1" showInputMessage="1" showErrorMessage="1" prompt="Для выбора выполните двойной щелчок левой клавиши мыши по соответствующей ячейке." sqref="AD65604 AD131140 AD196676 AD262212 AD327748 AD393284 AD458820 AD524356 AD589892 AD655428 AD720964 AD786500 AD852036 AD917572 AD983108 AF131140 AF458820 AF196676 AF262212 AF327748 AF393284 AF524356 AF589892 AF655428 AF720964 AF786500 AF852036 AF917572 AF983108 AF65604 AM65604 AM131140 AM196676 AM262212 AM327748 AM393284 AM458820 AM524356 AM589892 AM655428 AM720964 AM786500 AM852036 AM917572 AM983108 AO393284:DR393284 AO327748:DR327748 AO524356:DR524356 AO55 AV55 AX55 BE55 BG55 BN55 BP55 BW55 BY55 CF55 CH55 CO55 CQ55 CX55 CZ55 DG55 DI55 DP55 DR55 AO589892:DR589892 AO655428:DR655428 AO19:AO21 AO720964:DR720964 AO786500:DR786500 AO852036:DR852036 AO917572:DR917572 AO983108:DR983108 AO65604:DR65604 AO131140:DR131140 AO458820:DR458820 AF55 AO196676:DR196676 AF8 AD8 AM55 AM19:AM21 AO262212:DR262212 AD55 AO8 AV8 AX8 BE8 BG8 BN8 BP8 BW8 BY8 CF8 CH8 CO8 CQ8 CX8 CZ8 DG8 DI8 DP8 DR8 AM8 AD61 AF61 AM61 AO61 AV61 AX61 BE61 BG61 BN61 BP61 BW61 BY61 CF61 CH61 CO61 CQ61 CX61 CZ61 DG61 DI61 DP61 DR61 AD67 AF67 AM67 AO67 AV67 AX67 BE67 BG67 BN67 BP67 BW67 BY67 CF67 CH67 CO67 CQ67 CX67 CZ67 DG67 DI67 DP67 DR6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913BC7-FCB2-45EE-E134-9A83762FA622}"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3" style="1660" width="21.7109375" hidden="1" customWidth="1"/>
    <col min="24" max="24" style="1660" width="11.7109375" hidden="1" customWidth="1"/>
    <col min="25" max="25" style="1660" width="3.7109375" hidden="1" customWidth="1"/>
    <col min="26" max="26" style="1660" width="11.7109375" hidden="1" customWidth="1"/>
    <col min="27" max="27" style="1660" width="8.57421875" hidden="1" customWidth="1"/>
    <col min="28" max="28" style="1660" width="5.421875" customWidth="1"/>
    <col min="29" max="30" style="1660" width="3.7109375" customWidth="1"/>
    <col min="31" max="31" style="1660" width="24.7109375" customWidth="1"/>
    <col min="32" max="34" style="1660" width="3.7109375" customWidth="1"/>
    <col min="35" max="35" style="1660" width="24.7109375" customWidth="1"/>
    <col min="36" max="38" style="1660" width="3.7109375" customWidth="1"/>
    <col min="39" max="39" style="1660" width="18.8515625" customWidth="1"/>
    <col min="40" max="41" style="1660" width="21.7109375" customWidth="1"/>
    <col min="42" max="42" style="1660" width="11.7109375" customWidth="1"/>
    <col min="43" max="43" style="1660" width="3.7109375" customWidth="1"/>
    <col min="44" max="44" style="1660" width="11.7109375" customWidth="1"/>
    <col min="45" max="45" style="1660" width="8.57421875" customWidth="1"/>
    <col min="46" max="46" style="1660" width="4.7109375" customWidth="1"/>
    <col min="47" max="47" style="1660" width="115.7109375" customWidth="1"/>
    <col min="48" max="49" style="1667" width="10.57421875"/>
    <col min="50" max="50" style="1667" width="11.140625" customWidth="1"/>
    <col min="51" max="52" style="1667" width="10.57421875"/>
  </cols>
  <sheetData>
    <row customHeight="1" ht="14.25" hidden="1">
      <c r="W1" s="315"/>
      <c r="X1" s="315"/>
      <c r="AO1" s="315"/>
      <c r="AP1" s="315"/>
    </row>
    <row customHeight="1" ht="21" hidden="1">
      <c r="A2" s="1380"/>
      <c r="B2" s="1380"/>
      <c r="C2" s="1380"/>
      <c r="D2" s="1380"/>
      <c r="E2" s="2089">
        <v>1</v>
      </c>
      <c r="F2" s="1380"/>
      <c r="G2" s="1380"/>
      <c r="H2" s="1380"/>
      <c r="I2" s="1380"/>
      <c r="J2" s="1380"/>
      <c r="K2" s="1380"/>
      <c r="L2" s="1381"/>
      <c r="M2" s="1382"/>
      <c r="N2" s="1382"/>
      <c r="O2" s="1382"/>
      <c r="P2" s="1426"/>
      <c r="Q2" s="867"/>
      <c r="R2" s="343"/>
      <c r="S2" s="1353">
        <f>INDEX(PT_DIFFERENTIATION_NUM_NTAR,MATCH(A2,PT_DIFFERENTIATION_NTAR_ID,0))</f>
      </c>
      <c r="T2" s="278" t="s">
        <v>122</v>
      </c>
      <c r="U2" s="280"/>
      <c r="V2" s="2084"/>
      <c r="W2" s="2084"/>
      <c r="X2" s="2084"/>
      <c r="Y2" s="2084"/>
      <c r="Z2" s="2084"/>
      <c r="AA2" s="2085"/>
      <c r="AB2" s="2083">
        <f>INDEX(PT_DIFFERENTIATION_NTAR,MATCH(A2,PT_DIFFERENTIATION_NTAR_ID,0))</f>
      </c>
      <c r="AC2" s="2084"/>
      <c r="AD2" s="2084"/>
      <c r="AE2" s="2084"/>
      <c r="AF2" s="2084"/>
      <c r="AG2" s="2084"/>
      <c r="AH2" s="2084"/>
      <c r="AI2" s="2084"/>
      <c r="AJ2" s="2084"/>
      <c r="AK2" s="2084"/>
      <c r="AL2" s="2084"/>
      <c r="AM2" s="2084"/>
      <c r="AN2" s="2084"/>
      <c r="AO2" s="2084"/>
      <c r="AP2" s="2084"/>
      <c r="AQ2" s="2084"/>
      <c r="AR2" s="2084"/>
      <c r="AS2" s="2084"/>
      <c r="AT2" s="2085"/>
      <c r="AU2" s="1273" t="s">
        <v>410</v>
      </c>
      <c r="AW2" s="496"/>
      <c r="AX2" s="496" t="str">
        <f>IF(T2="","",T2)</f>
        <v>Наименование тарифа</v>
      </c>
      <c r="AY2" s="496"/>
      <c r="AZ2" s="496"/>
    </row>
    <row customHeight="1" ht="21" hidden="1">
      <c r="A3" s="1380"/>
      <c r="B3" s="1380"/>
      <c r="C3" s="1380"/>
      <c r="D3" s="1380"/>
      <c r="E3" s="2090"/>
      <c r="F3" s="2089">
        <v>1</v>
      </c>
      <c r="G3" s="1380"/>
      <c r="H3" s="1380"/>
      <c r="I3" s="1380"/>
      <c r="J3" s="1380"/>
      <c r="K3" s="1380"/>
      <c r="L3" s="1381"/>
      <c r="M3" s="1382"/>
      <c r="N3" s="1382"/>
      <c r="O3" s="1382"/>
      <c r="P3" s="1427"/>
      <c r="Q3" s="1428"/>
      <c r="R3" s="341"/>
      <c r="S3" s="1353">
        <f>INDEX(PT_DIFFERENTIATION_NUM_TER,MATCH(B3,PT_DIFFERENTIATION_TER_ID,0))</f>
      </c>
      <c r="T3" s="290" t="s">
        <v>411</v>
      </c>
      <c r="U3" s="280"/>
      <c r="V3" s="2084"/>
      <c r="W3" s="2084"/>
      <c r="X3" s="2084"/>
      <c r="Y3" s="2084"/>
      <c r="Z3" s="2084"/>
      <c r="AA3" s="2085"/>
      <c r="AB3" s="2083">
        <f>INDEX(PT_DIFFERENTIATION_TER,MATCH(B3,PT_DIFFERENTIATION_TER_ID,0))</f>
      </c>
      <c r="AC3" s="2084"/>
      <c r="AD3" s="2084"/>
      <c r="AE3" s="2084"/>
      <c r="AF3" s="2084"/>
      <c r="AG3" s="2084"/>
      <c r="AH3" s="2084"/>
      <c r="AI3" s="2084"/>
      <c r="AJ3" s="2084"/>
      <c r="AK3" s="2084"/>
      <c r="AL3" s="2084"/>
      <c r="AM3" s="2084"/>
      <c r="AN3" s="2084"/>
      <c r="AO3" s="2084"/>
      <c r="AP3" s="2084"/>
      <c r="AQ3" s="2084"/>
      <c r="AR3" s="2084"/>
      <c r="AS3" s="2084"/>
      <c r="AT3" s="2085"/>
      <c r="AU3" s="1273" t="s">
        <v>412</v>
      </c>
      <c r="AW3" s="496"/>
      <c r="AX3" s="496" t="str">
        <f>IF(T3="","",T3)</f>
        <v>Территория действия тарифа</v>
      </c>
      <c r="AY3" s="496"/>
      <c r="AZ3" s="496"/>
    </row>
    <row customHeight="1" ht="22.5" hidden="1">
      <c r="A4" s="1380"/>
      <c r="B4" s="1380"/>
      <c r="C4" s="1380"/>
      <c r="D4" s="1380"/>
      <c r="E4" s="2090"/>
      <c r="F4" s="2090"/>
      <c r="G4" s="2089">
        <v>1</v>
      </c>
      <c r="H4" s="1380"/>
      <c r="I4" s="1380"/>
      <c r="J4" s="1380"/>
      <c r="K4" s="1380"/>
      <c r="L4" s="1381"/>
      <c r="M4" s="1382"/>
      <c r="N4" s="1382"/>
      <c r="O4" s="1382"/>
      <c r="P4" s="1429"/>
      <c r="Q4" s="1428"/>
      <c r="R4" s="341"/>
      <c r="S4" s="1353">
        <f>INDEX(PT_DIFFERENTIATION_NUM_CS,MATCH(C4,PT_DIFFERENTIATION_CS_ID,0))</f>
      </c>
      <c r="T4" s="291" t="s">
        <v>413</v>
      </c>
      <c r="U4" s="280"/>
      <c r="V4" s="2084"/>
      <c r="W4" s="2084"/>
      <c r="X4" s="2084"/>
      <c r="Y4" s="2084"/>
      <c r="Z4" s="2084"/>
      <c r="AA4" s="2085"/>
      <c r="AB4" s="2083">
        <f>INDEX(PT_DIFFERENTIATION_CS,MATCH(C4,PT_DIFFERENTIATION_CS_ID,0))</f>
      </c>
      <c r="AC4" s="2084"/>
      <c r="AD4" s="2084"/>
      <c r="AE4" s="2084"/>
      <c r="AF4" s="2084"/>
      <c r="AG4" s="2084"/>
      <c r="AH4" s="2084"/>
      <c r="AI4" s="2084"/>
      <c r="AJ4" s="2084"/>
      <c r="AK4" s="2084"/>
      <c r="AL4" s="2084"/>
      <c r="AM4" s="2084"/>
      <c r="AN4" s="2084"/>
      <c r="AO4" s="2084"/>
      <c r="AP4" s="2084"/>
      <c r="AQ4" s="2084"/>
      <c r="AR4" s="2084"/>
      <c r="AS4" s="2084"/>
      <c r="AT4" s="2085"/>
      <c r="AU4" s="1273" t="s">
        <v>414</v>
      </c>
      <c r="AW4" s="496"/>
      <c r="AX4" s="496" t="str">
        <f>IF(T4="","",T4)</f>
        <v>Наименование системы теплоснабжения </v>
      </c>
      <c r="AY4" s="496"/>
      <c r="AZ4" s="496"/>
    </row>
    <row customHeight="1" ht="21" hidden="1">
      <c r="A5" s="1380"/>
      <c r="B5" s="1380"/>
      <c r="C5" s="1380"/>
      <c r="D5" s="1380"/>
      <c r="E5" s="2090"/>
      <c r="F5" s="2090"/>
      <c r="G5" s="2090"/>
      <c r="H5" s="2089">
        <v>1</v>
      </c>
      <c r="I5" s="1380"/>
      <c r="J5" s="1380"/>
      <c r="K5" s="1380"/>
      <c r="L5" s="1381"/>
      <c r="M5" s="1382"/>
      <c r="N5" s="1382"/>
      <c r="O5" s="1382"/>
      <c r="P5" s="1429"/>
      <c r="Q5" s="1428"/>
      <c r="R5" s="341"/>
      <c r="S5" s="1353">
        <f>INDEX(PT_DIFFERENTIATION_NUM_IST_TE,MATCH(D5,PT_DIFFERENTIATION_IST_TE_ID,0))</f>
      </c>
      <c r="T5" s="292" t="s">
        <v>415</v>
      </c>
      <c r="U5" s="280"/>
      <c r="V5" s="2084"/>
      <c r="W5" s="2084"/>
      <c r="X5" s="2084"/>
      <c r="Y5" s="2084"/>
      <c r="Z5" s="2084"/>
      <c r="AA5" s="2085"/>
      <c r="AB5" s="2083">
        <f>INDEX(PT_DIFFERENTIATION_IST_TE,MATCH(D5,PT_DIFFERENTIATION_IST_TE_ID,0))</f>
      </c>
      <c r="AC5" s="2084"/>
      <c r="AD5" s="2084"/>
      <c r="AE5" s="2084"/>
      <c r="AF5" s="2084"/>
      <c r="AG5" s="2084"/>
      <c r="AH5" s="2084"/>
      <c r="AI5" s="2084"/>
      <c r="AJ5" s="2084"/>
      <c r="AK5" s="2084"/>
      <c r="AL5" s="2084"/>
      <c r="AM5" s="2084"/>
      <c r="AN5" s="2084"/>
      <c r="AO5" s="2084"/>
      <c r="AP5" s="2084"/>
      <c r="AQ5" s="2084"/>
      <c r="AR5" s="2084"/>
      <c r="AS5" s="2084"/>
      <c r="AT5" s="2085"/>
      <c r="AU5" s="1273" t="s">
        <v>416</v>
      </c>
      <c r="AW5" s="496"/>
      <c r="AX5" s="496" t="str">
        <f>IF(T5="","",T5)</f>
        <v>Источник тепловой энергии  </v>
      </c>
      <c r="AY5" s="496"/>
      <c r="AZ5" s="496"/>
    </row>
    <row s="1667" customFormat="1" customHeight="1" ht="14.25" hidden="1">
      <c r="A6" s="1360"/>
      <c r="B6" s="1360"/>
      <c r="C6" s="1360"/>
      <c r="D6" s="1360"/>
      <c r="E6" s="2090"/>
      <c r="F6" s="2090"/>
      <c r="G6" s="2090"/>
      <c r="H6" s="2090"/>
      <c r="I6" s="2091">
        <f>S5&amp;".1"</f>
      </c>
      <c r="J6" s="1360"/>
      <c r="K6" s="1360"/>
      <c r="L6" s="1363" t="s">
        <v>417</v>
      </c>
      <c r="M6" s="506"/>
      <c r="N6" s="506"/>
      <c r="O6" s="506"/>
      <c r="P6" s="2093">
        <v>1</v>
      </c>
      <c r="Q6" s="1348"/>
      <c r="R6" s="344"/>
      <c r="S6" s="1037"/>
      <c r="T6" s="1400"/>
      <c r="U6" s="1401"/>
      <c r="V6" s="2130"/>
      <c r="W6" s="2130"/>
      <c r="X6" s="2130"/>
      <c r="Y6" s="2130"/>
      <c r="Z6" s="2130"/>
      <c r="AA6" s="2131"/>
      <c r="AB6" s="2129"/>
      <c r="AC6" s="2130"/>
      <c r="AD6" s="2130"/>
      <c r="AE6" s="2130"/>
      <c r="AF6" s="2130"/>
      <c r="AG6" s="2130"/>
      <c r="AH6" s="2130"/>
      <c r="AI6" s="2130"/>
      <c r="AJ6" s="2130"/>
      <c r="AK6" s="2130"/>
      <c r="AL6" s="2130"/>
      <c r="AM6" s="2130"/>
      <c r="AN6" s="2130"/>
      <c r="AO6" s="2130"/>
      <c r="AP6" s="2130"/>
      <c r="AQ6" s="2130"/>
      <c r="AR6" s="2130"/>
      <c r="AS6" s="2130"/>
      <c r="AT6" s="2131"/>
      <c r="AU6" s="1402"/>
      <c r="AW6" s="496"/>
      <c r="AX6" s="496" t="str">
        <f>IF(T6="","",T6)</f>
        <v/>
      </c>
      <c r="AY6" s="496"/>
      <c r="AZ6" s="496"/>
    </row>
    <row s="1667" customFormat="1" customHeight="1" ht="14.25" hidden="1">
      <c r="A7" s="1360"/>
      <c r="B7" s="1360"/>
      <c r="C7" s="1360"/>
      <c r="D7" s="1360"/>
      <c r="E7" s="2090"/>
      <c r="F7" s="2090"/>
      <c r="G7" s="2090"/>
      <c r="H7" s="2090"/>
      <c r="I7" s="2092"/>
      <c r="J7" s="2091">
        <f>S5&amp;".1"</f>
      </c>
      <c r="K7" s="1360"/>
      <c r="L7" s="1363"/>
      <c r="M7" s="506"/>
      <c r="N7" s="506"/>
      <c r="O7" s="506"/>
      <c r="P7" s="2093"/>
      <c r="Q7" s="2093">
        <v>1</v>
      </c>
      <c r="R7" s="345"/>
      <c r="S7" s="1037"/>
      <c r="T7" s="1416"/>
      <c r="U7" s="1401"/>
      <c r="V7" s="2130"/>
      <c r="W7" s="2130"/>
      <c r="X7" s="2130"/>
      <c r="Y7" s="2130"/>
      <c r="Z7" s="2130"/>
      <c r="AA7" s="2131"/>
      <c r="AB7" s="2129"/>
      <c r="AC7" s="2130"/>
      <c r="AD7" s="2130"/>
      <c r="AE7" s="2130"/>
      <c r="AF7" s="2130"/>
      <c r="AG7" s="2130"/>
      <c r="AH7" s="2130"/>
      <c r="AI7" s="2130"/>
      <c r="AJ7" s="2130"/>
      <c r="AK7" s="2130"/>
      <c r="AL7" s="2130"/>
      <c r="AM7" s="2130"/>
      <c r="AN7" s="2130"/>
      <c r="AO7" s="2130"/>
      <c r="AP7" s="2130"/>
      <c r="AQ7" s="2130"/>
      <c r="AR7" s="2130"/>
      <c r="AS7" s="2130"/>
      <c r="AT7" s="2131"/>
      <c r="AU7" s="1402"/>
      <c r="AW7" s="496"/>
      <c r="AX7" s="496" t="str">
        <f>IF(T7="","",T7)</f>
        <v/>
      </c>
      <c r="AY7" s="496"/>
      <c r="AZ7" s="496"/>
    </row>
    <row customHeight="1" ht="21" hidden="1">
      <c r="A8" s="1380"/>
      <c r="B8" s="1380"/>
      <c r="C8" s="1380"/>
      <c r="D8" s="1380"/>
      <c r="E8" s="2090"/>
      <c r="F8" s="2090"/>
      <c r="G8" s="2090"/>
      <c r="H8" s="2090"/>
      <c r="I8" s="2092"/>
      <c r="J8" s="2092"/>
      <c r="K8" s="2091">
        <f>S5&amp;".1"</f>
      </c>
      <c r="L8" s="1381"/>
      <c r="P8" s="2093"/>
      <c r="Q8" s="2093"/>
      <c r="R8" s="2169">
        <v>1</v>
      </c>
      <c r="S8" s="2166">
        <f>$K8</f>
      </c>
      <c r="T8" s="2163"/>
      <c r="U8" s="280"/>
      <c r="V8" s="746"/>
      <c r="W8" s="1272"/>
      <c r="X8" s="2094"/>
      <c r="Y8" s="1963" t="s">
        <v>61</v>
      </c>
      <c r="Z8" s="2094"/>
      <c r="AA8" s="1963" t="s">
        <v>61</v>
      </c>
      <c r="AB8" s="1963" t="s">
        <v>56</v>
      </c>
      <c r="AC8" s="2162"/>
      <c r="AD8" s="2039">
        <v>1</v>
      </c>
      <c r="AE8" s="2175"/>
      <c r="AF8" s="1963" t="s">
        <v>56</v>
      </c>
      <c r="AG8" s="2162"/>
      <c r="AH8" s="2039">
        <v>1</v>
      </c>
      <c r="AI8" s="2175"/>
      <c r="AJ8" s="1963" t="s">
        <v>56</v>
      </c>
      <c r="AK8" s="293"/>
      <c r="AL8" s="1354">
        <v>1</v>
      </c>
      <c r="AM8" s="1415"/>
      <c r="AN8" s="746"/>
      <c r="AO8" s="1272"/>
      <c r="AP8" s="1758"/>
      <c r="AQ8" s="1476" t="s">
        <v>61</v>
      </c>
      <c r="AR8" s="1758"/>
      <c r="AS8" s="1476" t="s">
        <v>61</v>
      </c>
      <c r="AT8" s="1365"/>
      <c r="AU8" s="2119" t="s">
        <v>482</v>
      </c>
      <c r="AV8" s="507">
        <f>STRCHECKDATE(V11:AT11)</f>
      </c>
      <c r="AW8" s="496"/>
      <c r="AX8" s="496" t="str">
        <f>IF(T8="","",T8)</f>
        <v/>
      </c>
      <c r="AY8" s="496"/>
      <c r="AZ8" s="496"/>
    </row>
    <row customHeight="1" ht="11.25" hidden="1">
      <c r="A9" s="1380"/>
      <c r="B9" s="1380"/>
      <c r="C9" s="1380"/>
      <c r="D9" s="1380"/>
      <c r="E9" s="2090"/>
      <c r="F9" s="2090"/>
      <c r="G9" s="2090"/>
      <c r="H9" s="2090"/>
      <c r="I9" s="2092"/>
      <c r="J9" s="2092"/>
      <c r="K9" s="2091"/>
      <c r="L9" s="1381"/>
      <c r="P9" s="2093"/>
      <c r="Q9" s="2093"/>
      <c r="R9" s="2169"/>
      <c r="S9" s="2167"/>
      <c r="T9" s="2164"/>
      <c r="U9" s="280"/>
      <c r="V9" s="1410"/>
      <c r="W9" s="1414"/>
      <c r="X9" s="2094"/>
      <c r="Y9" s="1963"/>
      <c r="Z9" s="2094"/>
      <c r="AA9" s="1963"/>
      <c r="AB9" s="1963"/>
      <c r="AC9" s="2162"/>
      <c r="AD9" s="2039"/>
      <c r="AE9" s="2175"/>
      <c r="AF9" s="1963"/>
      <c r="AG9" s="2162"/>
      <c r="AH9" s="2039"/>
      <c r="AI9" s="2175"/>
      <c r="AJ9" s="1963"/>
      <c r="AK9" s="300"/>
      <c r="AL9" s="413"/>
      <c r="AM9" s="412" t="s">
        <v>483</v>
      </c>
      <c r="AN9" s="1410"/>
      <c r="AO9" s="1513"/>
      <c r="AP9" s="1410"/>
      <c r="AQ9" s="1410"/>
      <c r="AR9" s="1410"/>
      <c r="AS9" s="1410"/>
      <c r="AT9" s="1407"/>
      <c r="AU9" s="2120"/>
      <c r="AW9" s="496"/>
      <c r="AX9" s="496"/>
      <c r="AY9" s="496"/>
      <c r="AZ9" s="496"/>
    </row>
    <row customHeight="1" ht="11.25" hidden="1">
      <c r="A10" s="1380"/>
      <c r="B10" s="1380"/>
      <c r="C10" s="1380"/>
      <c r="D10" s="1380"/>
      <c r="E10" s="2090"/>
      <c r="F10" s="2090"/>
      <c r="G10" s="2090"/>
      <c r="H10" s="2090"/>
      <c r="I10" s="2092"/>
      <c r="J10" s="2092"/>
      <c r="K10" s="2091"/>
      <c r="L10" s="1381"/>
      <c r="P10" s="2093"/>
      <c r="Q10" s="2093"/>
      <c r="R10" s="2169"/>
      <c r="S10" s="2167"/>
      <c r="T10" s="2164"/>
      <c r="U10" s="280"/>
      <c r="V10" s="1410"/>
      <c r="W10" s="1414"/>
      <c r="X10" s="2094"/>
      <c r="Y10" s="1963"/>
      <c r="Z10" s="2094"/>
      <c r="AA10" s="1963"/>
      <c r="AB10" s="1963"/>
      <c r="AC10" s="2162"/>
      <c r="AD10" s="2039"/>
      <c r="AE10" s="2175"/>
      <c r="AF10" s="1963"/>
      <c r="AG10" s="274"/>
      <c r="AH10" s="412"/>
      <c r="AI10" s="412" t="s">
        <v>484</v>
      </c>
      <c r="AJ10" s="1410"/>
      <c r="AK10" s="1410"/>
      <c r="AL10" s="1410"/>
      <c r="AM10" s="1410"/>
      <c r="AN10" s="1410"/>
      <c r="AO10" s="1513"/>
      <c r="AP10" s="1410"/>
      <c r="AQ10" s="1410"/>
      <c r="AR10" s="1410"/>
      <c r="AS10" s="1410"/>
      <c r="AT10" s="1407"/>
      <c r="AU10" s="2120"/>
      <c r="AW10" s="496"/>
      <c r="AX10" s="496"/>
      <c r="AY10" s="496"/>
      <c r="AZ10" s="496"/>
    </row>
    <row customHeight="1" ht="11.25" hidden="1">
      <c r="A11" s="1380"/>
      <c r="B11" s="1380"/>
      <c r="C11" s="1380"/>
      <c r="D11" s="1380"/>
      <c r="E11" s="2090"/>
      <c r="F11" s="2090"/>
      <c r="G11" s="2090"/>
      <c r="H11" s="2090"/>
      <c r="I11" s="2092"/>
      <c r="J11" s="2092"/>
      <c r="K11" s="2091"/>
      <c r="L11" s="1381"/>
      <c r="P11" s="2093"/>
      <c r="Q11" s="2093"/>
      <c r="R11" s="2169"/>
      <c r="S11" s="2168"/>
      <c r="T11" s="2165"/>
      <c r="U11" s="280"/>
      <c r="V11" s="1410"/>
      <c r="W11" s="1413" t="str">
        <f>X8&amp;"-"&amp;Z8</f>
        <v>-</v>
      </c>
      <c r="X11" s="2095"/>
      <c r="Y11" s="1963"/>
      <c r="Z11" s="2095"/>
      <c r="AA11" s="1963"/>
      <c r="AB11" s="1963"/>
      <c r="AC11" s="294"/>
      <c r="AD11" s="296"/>
      <c r="AE11" s="412" t="s">
        <v>485</v>
      </c>
      <c r="AF11" s="1410"/>
      <c r="AG11" s="1410"/>
      <c r="AH11" s="1410"/>
      <c r="AI11" s="1410"/>
      <c r="AJ11" s="1410"/>
      <c r="AK11" s="1410"/>
      <c r="AL11" s="1410"/>
      <c r="AM11" s="1410"/>
      <c r="AN11" s="1410"/>
      <c r="AO11" s="1411" t="str">
        <f>AP8&amp;"-"&amp;AR8</f>
        <v>-</v>
      </c>
      <c r="AP11" s="1410"/>
      <c r="AQ11" s="1410"/>
      <c r="AR11" s="1410"/>
      <c r="AS11" s="1410"/>
      <c r="AT11" s="1366"/>
      <c r="AU11" s="2120"/>
      <c r="AW11" s="496"/>
      <c r="AX11" s="496" t="str">
        <f>IF(T11="","",T11)</f>
        <v/>
      </c>
      <c r="AY11" s="496"/>
      <c r="AZ11" s="496"/>
    </row>
    <row customHeight="1" ht="11.25" hidden="1">
      <c r="A12" s="1380"/>
      <c r="B12" s="1380"/>
      <c r="C12" s="1380"/>
      <c r="D12" s="1380"/>
      <c r="E12" s="2090"/>
      <c r="F12" s="2090"/>
      <c r="G12" s="2090"/>
      <c r="H12" s="2090"/>
      <c r="I12" s="2092"/>
      <c r="J12" s="2091"/>
      <c r="K12" s="1380"/>
      <c r="L12" s="1381"/>
      <c r="P12" s="2093"/>
      <c r="Q12" s="2093"/>
      <c r="R12" s="344"/>
      <c r="S12" s="1295"/>
      <c r="T12" s="268" t="s">
        <v>486</v>
      </c>
      <c r="U12" s="359"/>
      <c r="V12" s="359"/>
      <c r="W12" s="359"/>
      <c r="X12" s="359"/>
      <c r="Y12" s="359"/>
      <c r="Z12" s="359"/>
      <c r="AA12" s="359"/>
      <c r="AB12" s="359"/>
      <c r="AC12" s="359"/>
      <c r="AD12" s="359"/>
      <c r="AE12" s="359"/>
      <c r="AF12" s="359"/>
      <c r="AG12" s="359"/>
      <c r="AH12" s="359"/>
      <c r="AI12" s="359"/>
      <c r="AJ12" s="359"/>
      <c r="AK12" s="359"/>
      <c r="AL12" s="359"/>
      <c r="AM12" s="359"/>
      <c r="AN12" s="359"/>
      <c r="AO12" s="359"/>
      <c r="AP12" s="359"/>
      <c r="AQ12" s="359"/>
      <c r="AR12" s="359"/>
      <c r="AS12" s="359"/>
      <c r="AT12" s="311"/>
      <c r="AU12" s="2121"/>
      <c r="AW12" s="496"/>
      <c r="AX12" s="496" t="str">
        <f>IF(T12="","",T12)</f>
        <v>Добавить строку</v>
      </c>
      <c r="AY12" s="496"/>
      <c r="AZ12" s="496"/>
    </row>
    <row s="1667" customFormat="1" customHeight="1" ht="14.25" hidden="1">
      <c r="A13" s="1360"/>
      <c r="B13" s="1360"/>
      <c r="C13" s="1360"/>
      <c r="D13" s="1360"/>
      <c r="E13" s="2090"/>
      <c r="F13" s="2090"/>
      <c r="G13" s="2090"/>
      <c r="H13" s="2090"/>
      <c r="I13" s="2091"/>
      <c r="J13" s="1360"/>
      <c r="K13" s="1360"/>
      <c r="L13" s="1363"/>
      <c r="M13" s="506"/>
      <c r="N13" s="506"/>
      <c r="O13" s="506"/>
      <c r="P13" s="2093"/>
      <c r="Q13" s="1348"/>
      <c r="R13" s="344"/>
      <c r="S13" s="1403"/>
      <c r="T13" s="1404"/>
      <c r="U13" s="1405"/>
      <c r="V13" s="1405"/>
      <c r="W13" s="1405"/>
      <c r="X13" s="1405"/>
      <c r="Y13" s="1405"/>
      <c r="Z13" s="1405"/>
      <c r="AA13" s="1405"/>
      <c r="AB13" s="1405"/>
      <c r="AC13" s="1405"/>
      <c r="AD13" s="1405"/>
      <c r="AE13" s="1405"/>
      <c r="AF13" s="1405"/>
      <c r="AG13" s="1405"/>
      <c r="AH13" s="1405"/>
      <c r="AI13" s="1405"/>
      <c r="AJ13" s="1405"/>
      <c r="AK13" s="1405"/>
      <c r="AL13" s="1405"/>
      <c r="AM13" s="1405"/>
      <c r="AN13" s="1405"/>
      <c r="AO13" s="1405"/>
      <c r="AP13" s="1405"/>
      <c r="AQ13" s="1405"/>
      <c r="AR13" s="1405"/>
      <c r="AS13" s="1405"/>
      <c r="AT13" s="1405"/>
      <c r="AU13" s="1406"/>
      <c r="AW13" s="496"/>
      <c r="AX13" s="496" t="str">
        <f>IF(T13="","",T13)</f>
        <v/>
      </c>
      <c r="AY13" s="496"/>
      <c r="AZ13" s="496"/>
    </row>
    <row s="1667" customFormat="1" customHeight="1" ht="14.25" hidden="1">
      <c r="A14" s="1360"/>
      <c r="B14" s="1360"/>
      <c r="C14" s="1360"/>
      <c r="D14" s="1360"/>
      <c r="E14" s="2090"/>
      <c r="F14" s="2090"/>
      <c r="G14" s="2090"/>
      <c r="H14" s="2089"/>
      <c r="I14" s="1360"/>
      <c r="J14" s="1360"/>
      <c r="K14" s="1360"/>
      <c r="L14" s="1363"/>
      <c r="M14" s="1332"/>
      <c r="N14" s="1332"/>
      <c r="O14" s="514"/>
      <c r="P14" s="376"/>
      <c r="Q14" s="1361"/>
      <c r="R14" s="1418"/>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6"/>
      <c r="AW14" s="496"/>
      <c r="AX14" s="496" t="str">
        <f>IF(T14="","",T14)</f>
        <v/>
      </c>
      <c r="AY14" s="496"/>
      <c r="AZ14" s="496"/>
    </row>
    <row s="1667" customFormat="1" customHeight="1" ht="14.25" hidden="1">
      <c r="A15" s="1360"/>
      <c r="B15" s="1360"/>
      <c r="C15" s="1360"/>
      <c r="D15" s="1331"/>
      <c r="E15" s="2090"/>
      <c r="F15" s="2090"/>
      <c r="G15" s="2089"/>
      <c r="H15" s="1331"/>
      <c r="I15" s="1331"/>
      <c r="J15" s="1331"/>
      <c r="K15" s="1331"/>
      <c r="L15" s="1356"/>
      <c r="M15" s="1332"/>
      <c r="N15" s="1332"/>
      <c r="P15" s="1333"/>
      <c r="Q15" s="1334"/>
      <c r="R15" s="1333"/>
      <c r="S15" s="1339"/>
      <c r="T15" s="1342" t="s">
        <v>160</v>
      </c>
      <c r="U15" s="1341"/>
      <c r="V15" s="1341"/>
      <c r="W15" s="1341"/>
      <c r="X15" s="1341"/>
      <c r="Y15" s="1341"/>
      <c r="Z15" s="1341"/>
      <c r="AA15" s="1341"/>
      <c r="AB15" s="1341"/>
      <c r="AC15" s="1341"/>
      <c r="AD15" s="1341"/>
      <c r="AE15" s="1341"/>
      <c r="AF15" s="1341"/>
      <c r="AG15" s="1341"/>
      <c r="AH15" s="1341"/>
      <c r="AI15" s="1341"/>
      <c r="AJ15" s="1341"/>
      <c r="AK15" s="1341"/>
      <c r="AL15" s="1341"/>
      <c r="AM15" s="1341"/>
      <c r="AN15" s="1341"/>
      <c r="AO15" s="1341"/>
      <c r="AP15" s="1341"/>
      <c r="AQ15" s="1341"/>
      <c r="AR15" s="1341"/>
      <c r="AS15" s="1341"/>
      <c r="AT15" s="1341"/>
      <c r="AU15" s="1341"/>
      <c r="AW15" s="783"/>
      <c r="AX15" s="783" t="str">
        <f>IF(T15="","",T15)</f>
        <v>Добавить источник для дифференциации</v>
      </c>
      <c r="AY15" s="783"/>
      <c r="AZ15" s="783"/>
    </row>
    <row s="1667" customFormat="1" customHeight="1" ht="14.25" hidden="1">
      <c r="A16" s="1360"/>
      <c r="B16" s="1360"/>
      <c r="C16" s="1331"/>
      <c r="D16" s="1331"/>
      <c r="E16" s="2090"/>
      <c r="F16" s="2089"/>
      <c r="G16" s="1331"/>
      <c r="H16" s="1331"/>
      <c r="I16" s="1331"/>
      <c r="J16" s="1331"/>
      <c r="K16" s="1331"/>
      <c r="L16" s="1356"/>
      <c r="M16" s="1338"/>
      <c r="N16" s="1338"/>
      <c r="P16" s="1333"/>
      <c r="Q16" s="1334"/>
      <c r="R16" s="1333"/>
      <c r="S16" s="1339"/>
      <c r="T16" s="1342" t="s">
        <v>161</v>
      </c>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W16" s="783"/>
      <c r="AX16" s="783" t="str">
        <f>IF(T16="","",T16)</f>
        <v>Добавить централизованную систему для дифференциации</v>
      </c>
      <c r="AY16" s="783"/>
      <c r="AZ16" s="783"/>
    </row>
    <row s="1667" customFormat="1" customHeight="1" ht="14.25" hidden="1">
      <c r="A17" s="1360"/>
      <c r="B17" s="1360"/>
      <c r="C17" s="1360"/>
      <c r="D17" s="1360"/>
      <c r="E17" s="2089"/>
      <c r="F17" s="1360"/>
      <c r="G17" s="1360"/>
      <c r="H17" s="1360"/>
      <c r="I17" s="1360"/>
      <c r="J17" s="1360"/>
      <c r="K17" s="1360"/>
      <c r="L17" s="1363"/>
      <c r="M17" s="1338"/>
      <c r="N17" s="1338"/>
      <c r="O17" s="514"/>
      <c r="P17" s="376"/>
      <c r="Q17" s="1361"/>
      <c r="R17" s="376"/>
      <c r="S17" s="1339"/>
      <c r="T17" s="1342" t="s">
        <v>162</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W17" s="496"/>
      <c r="AX17" s="496" t="str">
        <f>IF(T17="","",T17)</f>
        <v>Добавить территорию для дифференциации</v>
      </c>
      <c r="AY17" s="496"/>
      <c r="AZ17" s="496"/>
    </row>
    <row customHeight="1" ht="14.25" hidden="1">
      <c r="AA18" s="315"/>
      <c r="AS18" s="315"/>
    </row>
    <row customHeight="1" ht="14.25" hidden="1">
      <c r="AB19" s="1341" t="s">
        <v>56</v>
      </c>
      <c r="AC19" s="1518"/>
      <c r="AD19" s="544">
        <v>1</v>
      </c>
      <c r="AE19" s="1519"/>
      <c r="AF19" s="1341" t="s">
        <v>56</v>
      </c>
      <c r="AG19" s="1518"/>
      <c r="AH19" s="544">
        <v>1</v>
      </c>
      <c r="AI19" s="1519"/>
      <c r="AJ19" s="1341" t="s">
        <v>56</v>
      </c>
      <c r="AK19" s="1520"/>
      <c r="AL19" s="544">
        <v>1</v>
      </c>
      <c r="AM19" s="1523"/>
      <c r="AN19" s="1420"/>
      <c r="AO19" s="1421"/>
      <c r="AP19" s="1760"/>
      <c r="AQ19" s="1477" t="s">
        <v>61</v>
      </c>
      <c r="AR19" s="1760"/>
      <c r="AS19" s="1477" t="s">
        <v>61</v>
      </c>
    </row>
    <row customHeight="1" ht="14.25" hidden="1">
      <c r="AV20" s="492"/>
      <c r="AW20" s="492"/>
      <c r="AX20" s="492"/>
      <c r="AY20" s="492"/>
      <c r="AZ20" s="492"/>
    </row>
    <row customHeight="1" ht="14.25" hidden="1">
      <c r="O21" s="1384" t="s">
        <v>428</v>
      </c>
      <c r="X21" s="1362"/>
      <c r="Z21" s="1362"/>
      <c r="AA21" s="315"/>
      <c r="AP21" s="1362"/>
      <c r="AR21" s="1362"/>
      <c r="AS21" s="315"/>
      <c r="AV21" s="492"/>
      <c r="AW21" s="492"/>
      <c r="AX21" s="492"/>
      <c r="AY21" s="492"/>
      <c r="AZ21" s="492"/>
    </row>
    <row customHeight="1" ht="14.25" hidden="1">
      <c r="AA22" s="315"/>
      <c r="AS22" s="315"/>
      <c r="AV22" s="492"/>
      <c r="AW22" s="492"/>
      <c r="AX22" s="492"/>
      <c r="AY22" s="492"/>
      <c r="AZ22" s="492"/>
    </row>
    <row s="1526" customFormat="1" customHeight="1" ht="14.25" hidden="1">
      <c r="M23" s="1525"/>
      <c r="N23" s="1525"/>
      <c r="O23" s="1526" t="s">
        <v>429</v>
      </c>
      <c r="P23" s="1525"/>
      <c r="Q23" s="1527"/>
      <c r="R23" s="1527"/>
      <c r="Y23" s="1524" t="s">
        <v>431</v>
      </c>
      <c r="AA23" s="1524" t="s">
        <v>432</v>
      </c>
      <c r="AB23" s="1524" t="s">
        <v>487</v>
      </c>
      <c r="AE23" s="1524" t="s">
        <v>488</v>
      </c>
      <c r="AF23" s="1524" t="s">
        <v>487</v>
      </c>
      <c r="AI23" s="1524" t="s">
        <v>489</v>
      </c>
      <c r="AJ23" s="1524" t="s">
        <v>487</v>
      </c>
      <c r="AM23" s="1524" t="s">
        <v>490</v>
      </c>
      <c r="AQ23" s="1524" t="s">
        <v>431</v>
      </c>
      <c r="AS23" s="1524" t="s">
        <v>432</v>
      </c>
      <c r="AV23" s="1528"/>
      <c r="AW23" s="1528"/>
      <c r="AX23" s="1528"/>
      <c r="AY23" s="1528"/>
      <c r="AZ23" s="1528"/>
    </row>
    <row customHeight="1" ht="14.25" hidden="1">
      <c r="O24" s="1381"/>
      <c r="AV24" s="492"/>
      <c r="AW24" s="492"/>
      <c r="AX24" s="492"/>
      <c r="AY24" s="492"/>
      <c r="AZ24" s="492"/>
    </row>
    <row customHeight="1" ht="14.25" hidden="1">
      <c r="O25" s="1381"/>
      <c r="AV25" s="492"/>
      <c r="AW25" s="492"/>
      <c r="AX25" s="492"/>
      <c r="AY25" s="492"/>
      <c r="AZ25" s="492"/>
    </row>
    <row customHeight="1" ht="14.25">
      <c r="Q26" s="272"/>
      <c r="R26" s="368"/>
      <c r="S26" s="1292"/>
      <c r="T26" s="353"/>
      <c r="U26" s="353"/>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row>
    <row customHeight="1" ht="26.25">
      <c r="Q27" s="272"/>
      <c r="R27" s="368"/>
      <c r="S27" s="2122"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22"/>
      <c r="U27" s="2122"/>
      <c r="V27" s="2122"/>
      <c r="W27" s="2122"/>
      <c r="X27" s="2122"/>
      <c r="Y27" s="2122"/>
      <c r="Z27" s="2122"/>
      <c r="AA27" s="2122"/>
      <c r="AB27" s="2122"/>
      <c r="AC27" s="2122"/>
      <c r="AD27" s="2122"/>
      <c r="AE27" s="2122"/>
      <c r="AF27" s="2122"/>
      <c r="AG27" s="2122"/>
      <c r="AH27" s="2122"/>
      <c r="AI27" s="2122"/>
      <c r="AJ27" s="2122"/>
      <c r="AK27" s="2122"/>
      <c r="AL27" s="2122"/>
      <c r="AM27" s="2122"/>
      <c r="AN27" s="2122"/>
      <c r="AO27" s="2122"/>
      <c r="AP27" s="2122"/>
      <c r="AQ27" s="2122"/>
      <c r="AR27" s="2122"/>
      <c r="AS27" s="1248"/>
    </row>
    <row customHeight="1" ht="14.25">
      <c r="Q28" s="272"/>
      <c r="R28" s="368"/>
      <c r="S28" s="2123" t="str">
        <f>IF(org=0,"Не определено",org)</f>
        <v>ПАО "ТГК-1" филиал "Невский"</v>
      </c>
      <c r="T28" s="2123"/>
      <c r="U28" s="2123"/>
      <c r="V28" s="2123"/>
      <c r="W28" s="2123"/>
      <c r="X28" s="2123"/>
      <c r="Y28" s="2123"/>
      <c r="Z28" s="2123"/>
      <c r="AA28" s="2123"/>
      <c r="AB28" s="2123"/>
      <c r="AC28" s="2123"/>
      <c r="AD28" s="2123"/>
      <c r="AE28" s="2123"/>
      <c r="AF28" s="2123"/>
      <c r="AG28" s="2123"/>
      <c r="AH28" s="2123"/>
      <c r="AI28" s="2123"/>
      <c r="AJ28" s="2123"/>
      <c r="AK28" s="2123"/>
      <c r="AL28" s="2123"/>
      <c r="AM28" s="2123"/>
      <c r="AN28" s="2123"/>
      <c r="AO28" s="2123"/>
      <c r="AP28" s="2123"/>
      <c r="AQ28" s="2123"/>
      <c r="AR28" s="2123"/>
      <c r="AS28" s="1248"/>
    </row>
    <row customHeight="1" ht="14.25">
      <c r="Q29" s="272"/>
      <c r="R29" s="368"/>
      <c r="S29" s="1292"/>
      <c r="T29" s="353"/>
      <c r="U29" s="353"/>
      <c r="V29" s="308"/>
      <c r="W29" s="308"/>
      <c r="X29" s="308"/>
      <c r="Y29" s="308"/>
      <c r="Z29" s="308"/>
      <c r="AA29" s="308"/>
      <c r="AB29" s="308"/>
      <c r="AC29" s="308"/>
      <c r="AD29" s="308"/>
      <c r="AE29" s="308"/>
      <c r="AF29" s="308"/>
      <c r="AG29" s="308"/>
      <c r="AH29" s="308"/>
      <c r="AI29" s="308"/>
      <c r="AJ29" s="308"/>
      <c r="AK29" s="308"/>
      <c r="AL29" s="308"/>
      <c r="AM29" s="308"/>
      <c r="AN29" s="308"/>
      <c r="AO29" s="308"/>
      <c r="AP29" s="308"/>
      <c r="AQ29" s="308"/>
      <c r="AR29" s="308"/>
      <c r="AS29" s="308"/>
      <c r="AT29" s="505"/>
    </row>
    <row s="1877" customFormat="1" customHeight="1" ht="25.5">
      <c r="A30" s="1385"/>
      <c r="B30" s="1385"/>
      <c r="C30" s="1385"/>
      <c r="D30" s="1385"/>
      <c r="E30" s="1385"/>
      <c r="F30" s="1385"/>
      <c r="G30" s="1385"/>
      <c r="H30" s="1385"/>
      <c r="I30" s="1385"/>
      <c r="J30" s="1385"/>
      <c r="K30" s="1385"/>
      <c r="L30" s="1386"/>
      <c r="M30" s="1385"/>
      <c r="N30" s="1385"/>
      <c r="O30" s="1385"/>
      <c r="P30" s="1385"/>
      <c r="Q30" s="1385"/>
      <c r="S30" s="2080" t="s">
        <v>38</v>
      </c>
      <c r="T30" s="2080"/>
      <c r="U30" s="1389"/>
      <c r="V30" s="2082" t="str">
        <f>IF(TITLE_NAME_OR_PR_CHANGE="",IF(TITLE_NAME_OR_PR="","",TITLE_NAME_OR_PR),TITLE_NAME_OR_PR_CHANGE)</f>
        <v>Комитет по тарифам Санкт-Петербурга</v>
      </c>
      <c r="W30" s="2082"/>
      <c r="X30" s="2082"/>
      <c r="Y30" s="2082"/>
      <c r="Z30" s="2082"/>
      <c r="AA30" s="314"/>
      <c r="AB30" s="2082" t="str">
        <f>IF(TITLE_NAME_OR_PR_CHANGE="",IF(TITLE_NAME_OR_PR="","",TITLE_NAME_OR_PR),TITLE_NAME_OR_PR_CHANGE)</f>
        <v>Комитет по тарифам Санкт-Петербурга</v>
      </c>
      <c r="AC30" s="2082"/>
      <c r="AD30" s="2082"/>
      <c r="AE30" s="2082"/>
      <c r="AF30" s="2082"/>
      <c r="AG30" s="2082"/>
      <c r="AH30" s="2082"/>
      <c r="AI30" s="2082"/>
      <c r="AJ30" s="2082"/>
      <c r="AK30" s="2082"/>
      <c r="AL30" s="2082"/>
      <c r="AM30" s="2082"/>
      <c r="AN30" s="2082"/>
      <c r="AO30" s="2082"/>
      <c r="AP30" s="2082"/>
      <c r="AQ30" s="2082"/>
      <c r="AR30" s="2082"/>
      <c r="AS30" s="314"/>
      <c r="AT30" s="314"/>
      <c r="AU30" s="261"/>
      <c r="AV30" s="360"/>
      <c r="AW30" s="360"/>
      <c r="AX30" s="360"/>
      <c r="AY30" s="360"/>
      <c r="AZ30" s="360"/>
    </row>
    <row s="1877" customFormat="1" customHeight="1" ht="18.75">
      <c r="A31" s="1385"/>
      <c r="B31" s="1385"/>
      <c r="C31" s="1385"/>
      <c r="D31" s="1385"/>
      <c r="E31" s="1385"/>
      <c r="F31" s="1385"/>
      <c r="G31" s="1385"/>
      <c r="H31" s="1385"/>
      <c r="I31" s="1385"/>
      <c r="J31" s="1385"/>
      <c r="K31" s="1385"/>
      <c r="L31" s="1386"/>
      <c r="M31" s="1385"/>
      <c r="N31" s="1385"/>
      <c r="O31" s="1385"/>
      <c r="P31" s="1385"/>
      <c r="Q31" s="1385"/>
      <c r="S31" s="2080" t="s">
        <v>434</v>
      </c>
      <c r="T31" s="2080"/>
      <c r="U31" s="1389"/>
      <c r="V31" s="2081" t="str">
        <f>IF(TITLE_DATE_PR_CHANGE="",IF(TITLE_DATE_PR="","",TITLE_DATE_PR),TITLE_DATE_PR_CHANGE)</f>
        <v>45280.49324074074</v>
      </c>
      <c r="W31" s="2081"/>
      <c r="X31" s="2081"/>
      <c r="Y31" s="2081"/>
      <c r="Z31" s="2081"/>
      <c r="AA31" s="314"/>
      <c r="AB31" s="2081" t="str">
        <f>IF(TITLE_DATE_PR_CHANGE="",IF(TITLE_DATE_PR="","",TITLE_DATE_PR),TITLE_DATE_PR_CHANGE)</f>
        <v>45280.49324074074</v>
      </c>
      <c r="AC31" s="2081"/>
      <c r="AD31" s="2081"/>
      <c r="AE31" s="2081"/>
      <c r="AF31" s="2081"/>
      <c r="AG31" s="2081"/>
      <c r="AH31" s="2081"/>
      <c r="AI31" s="2081"/>
      <c r="AJ31" s="2081"/>
      <c r="AK31" s="2081"/>
      <c r="AL31" s="2081"/>
      <c r="AM31" s="2081"/>
      <c r="AN31" s="2081"/>
      <c r="AO31" s="2081"/>
      <c r="AP31" s="2081"/>
      <c r="AQ31" s="2081"/>
      <c r="AR31" s="2081"/>
      <c r="AS31" s="314"/>
      <c r="AT31" s="314"/>
      <c r="AU31" s="261"/>
      <c r="AV31" s="360"/>
      <c r="AW31" s="360"/>
      <c r="AX31" s="360"/>
      <c r="AY31" s="360"/>
      <c r="AZ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435</v>
      </c>
      <c r="T32" s="2080"/>
      <c r="U32" s="1389"/>
      <c r="V32" s="2082" t="str">
        <f>IF(TITLE_NUMBER_PR_CHANGE="",IF(TITLE_NUMBER_PR="","",TITLE_NUMBER_PR),TITLE_NUMBER_PR_CHANGE)</f>
        <v>262-р</v>
      </c>
      <c r="W32" s="2082"/>
      <c r="X32" s="2082"/>
      <c r="Y32" s="2082"/>
      <c r="Z32" s="2082"/>
      <c r="AA32" s="314"/>
      <c r="AB32" s="2082" t="str">
        <f>IF(TITLE_NUMBER_PR_CHANGE="",IF(TITLE_NUMBER_PR="","",TITLE_NUMBER_PR),TITLE_NUMBER_PR_CHANGE)</f>
        <v>262-р</v>
      </c>
      <c r="AC32" s="2082"/>
      <c r="AD32" s="2082"/>
      <c r="AE32" s="2082"/>
      <c r="AF32" s="2082"/>
      <c r="AG32" s="2082"/>
      <c r="AH32" s="2082"/>
      <c r="AI32" s="2082"/>
      <c r="AJ32" s="2082"/>
      <c r="AK32" s="2082"/>
      <c r="AL32" s="2082"/>
      <c r="AM32" s="2082"/>
      <c r="AN32" s="2082"/>
      <c r="AO32" s="2082"/>
      <c r="AP32" s="2082"/>
      <c r="AQ32" s="2082"/>
      <c r="AR32" s="2082"/>
      <c r="AS32" s="314"/>
      <c r="AT32" s="314"/>
      <c r="AU32" s="261"/>
      <c r="AV32" s="360"/>
      <c r="AW32" s="360"/>
      <c r="AX32" s="360"/>
      <c r="AY32" s="360"/>
      <c r="AZ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40</v>
      </c>
      <c r="T33" s="2080"/>
      <c r="U33" s="1389"/>
      <c r="V33" s="2082" t="str">
        <f>IF(TITLE_IST_PUB_CHANGE="",IF(TITLE_IST_PUB="","",TITLE_IST_PUB),TITLE_IST_PUB_CHANGE)</f>
        <v>https://www.gov.spb.ru/static/writable/documents/2023/12/22/%D0%BE%D1%82_20.12.2023__262-%D1%80.pdf</v>
      </c>
      <c r="W33" s="2082"/>
      <c r="X33" s="2082"/>
      <c r="Y33" s="2082"/>
      <c r="Z33" s="2082"/>
      <c r="AA33" s="314"/>
      <c r="AB33" s="2082" t="str">
        <f>IF(TITLE_IST_PUB_CHANGE="",IF(TITLE_IST_PUB="","",TITLE_IST_PUB),TITLE_IST_PUB_CHANGE)</f>
        <v>https://www.gov.spb.ru/static/writable/documents/2023/12/22/%D0%BE%D1%82_20.12.2023__262-%D1%80.pdf</v>
      </c>
      <c r="AC33" s="2082"/>
      <c r="AD33" s="2082"/>
      <c r="AE33" s="2082"/>
      <c r="AF33" s="2082"/>
      <c r="AG33" s="2082"/>
      <c r="AH33" s="2082"/>
      <c r="AI33" s="2082"/>
      <c r="AJ33" s="2082"/>
      <c r="AK33" s="2082"/>
      <c r="AL33" s="2082"/>
      <c r="AM33" s="2082"/>
      <c r="AN33" s="2082"/>
      <c r="AO33" s="2082"/>
      <c r="AP33" s="2082"/>
      <c r="AQ33" s="2082"/>
      <c r="AR33" s="2082"/>
      <c r="AS33" s="314"/>
      <c r="AT33" s="314"/>
      <c r="AU33" s="261"/>
      <c r="AV33" s="360"/>
      <c r="AW33" s="360"/>
      <c r="AX33" s="360"/>
      <c r="AY33" s="360"/>
      <c r="AZ33" s="360"/>
    </row>
    <row customHeight="1" ht="14.25" hidden="1">
      <c r="Q34" s="272"/>
      <c r="R34" s="368"/>
      <c r="S34" s="1292"/>
      <c r="T34" s="353"/>
      <c r="U34" s="353"/>
      <c r="V34" s="308"/>
      <c r="W34" s="308"/>
      <c r="X34" s="308"/>
      <c r="Y34" s="308"/>
      <c r="Z34" s="308"/>
      <c r="AA34" s="308"/>
      <c r="AB34" s="308"/>
      <c r="AC34" s="308"/>
      <c r="AD34" s="308"/>
      <c r="AE34" s="308"/>
      <c r="AF34" s="308"/>
      <c r="AG34" s="308"/>
      <c r="AH34" s="308"/>
      <c r="AI34" s="308"/>
      <c r="AJ34" s="308"/>
      <c r="AK34" s="308"/>
      <c r="AL34" s="308"/>
      <c r="AM34" s="308"/>
      <c r="AN34" s="308"/>
      <c r="AO34" s="308"/>
      <c r="AP34" s="308"/>
      <c r="AQ34" s="308"/>
      <c r="AR34" s="308"/>
      <c r="AS34" s="308"/>
      <c r="AT34" s="505"/>
    </row>
    <row s="1877" customFormat="1" customHeight="1" ht="18.75" hidden="1">
      <c r="A35" s="1385"/>
      <c r="B35" s="1385"/>
      <c r="C35" s="1385"/>
      <c r="D35" s="1385"/>
      <c r="E35" s="1385"/>
      <c r="F35" s="1385"/>
      <c r="G35" s="1385"/>
      <c r="H35" s="1385"/>
      <c r="I35" s="1385"/>
      <c r="J35" s="1385"/>
      <c r="K35" s="1385"/>
      <c r="L35" s="1386"/>
      <c r="M35" s="1385"/>
      <c r="N35" s="1385"/>
      <c r="O35" s="1385"/>
      <c r="P35" s="1385"/>
      <c r="Q35" s="1385"/>
      <c r="S35" s="2080" t="s">
        <v>434</v>
      </c>
      <c r="T35" s="2080"/>
      <c r="U35" s="1389"/>
      <c r="V35" s="2081" t="str">
        <f>IF(TITLE_DATE_PR_CHANGE="",IF(TITLE_DATE_PR="","",TITLE_DATE_PR),TITLE_DATE_PR_CHANGE)</f>
        <v>45280.49324074074</v>
      </c>
      <c r="W35" s="2081"/>
      <c r="X35" s="2081"/>
      <c r="Y35" s="2081"/>
      <c r="Z35" s="2081"/>
      <c r="AA35" s="314"/>
      <c r="AB35" s="2081" t="str">
        <f>IF(TITLE_DATE_PR_CHANGE="",IF(TITLE_DATE_PR="","",TITLE_DATE_PR),TITLE_DATE_PR_CHANGE)</f>
        <v>45280.49324074074</v>
      </c>
      <c r="AC35" s="2081"/>
      <c r="AD35" s="2081"/>
      <c r="AE35" s="2081"/>
      <c r="AF35" s="2081"/>
      <c r="AG35" s="2081"/>
      <c r="AH35" s="2081"/>
      <c r="AI35" s="2081"/>
      <c r="AJ35" s="2081"/>
      <c r="AK35" s="2081"/>
      <c r="AL35" s="2081"/>
      <c r="AM35" s="2081"/>
      <c r="AN35" s="2081"/>
      <c r="AO35" s="2081"/>
      <c r="AP35" s="2081"/>
      <c r="AQ35" s="2081"/>
      <c r="AR35" s="2081"/>
      <c r="AS35" s="314"/>
      <c r="AT35" s="314"/>
      <c r="AU35" s="261"/>
      <c r="AV35" s="360"/>
      <c r="AW35" s="360"/>
      <c r="AX35" s="360"/>
      <c r="AY35" s="360"/>
      <c r="AZ35" s="360"/>
    </row>
    <row s="1877" customFormat="1" customHeight="1" ht="18" hidden="1">
      <c r="A36" s="1385"/>
      <c r="B36" s="1385"/>
      <c r="C36" s="1385"/>
      <c r="D36" s="1385"/>
      <c r="E36" s="1385"/>
      <c r="F36" s="1385"/>
      <c r="G36" s="1385"/>
      <c r="H36" s="1385"/>
      <c r="I36" s="1385"/>
      <c r="J36" s="1385"/>
      <c r="K36" s="1385"/>
      <c r="L36" s="1386"/>
      <c r="M36" s="1385"/>
      <c r="N36" s="1385"/>
      <c r="O36" s="1385"/>
      <c r="P36" s="1385"/>
      <c r="Q36" s="1385"/>
      <c r="S36" s="2080" t="s">
        <v>435</v>
      </c>
      <c r="T36" s="2080"/>
      <c r="U36" s="1389"/>
      <c r="V36" s="2082" t="str">
        <f>IF(TITLE_NUMBER_PR_CHANGE="",IF(TITLE_NUMBER_PR="","",TITLE_NUMBER_PR),TITLE_NUMBER_PR_CHANGE)</f>
        <v>262-р</v>
      </c>
      <c r="W36" s="2082"/>
      <c r="X36" s="2082"/>
      <c r="Y36" s="2082"/>
      <c r="Z36" s="2082"/>
      <c r="AA36" s="314"/>
      <c r="AB36" s="2082" t="str">
        <f>IF(TITLE_NUMBER_PR_CHANGE="",IF(TITLE_NUMBER_PR="","",TITLE_NUMBER_PR),TITLE_NUMBER_PR_CHANGE)</f>
        <v>262-р</v>
      </c>
      <c r="AC36" s="2082"/>
      <c r="AD36" s="2082"/>
      <c r="AE36" s="2082"/>
      <c r="AF36" s="2082"/>
      <c r="AG36" s="2082"/>
      <c r="AH36" s="2082"/>
      <c r="AI36" s="2082"/>
      <c r="AJ36" s="2082"/>
      <c r="AK36" s="2082"/>
      <c r="AL36" s="2082"/>
      <c r="AM36" s="2082"/>
      <c r="AN36" s="2082"/>
      <c r="AO36" s="2082"/>
      <c r="AP36" s="2082"/>
      <c r="AQ36" s="2082"/>
      <c r="AR36" s="2082"/>
      <c r="AS36" s="314"/>
      <c r="AT36" s="314"/>
      <c r="AU36" s="261"/>
      <c r="AV36" s="360"/>
      <c r="AW36" s="360"/>
      <c r="AX36" s="360"/>
      <c r="AY36" s="360"/>
      <c r="AZ36" s="360"/>
    </row>
    <row s="1877" customFormat="1" customHeight="1" ht="0.75">
      <c r="A37" s="1385"/>
      <c r="B37" s="1385"/>
      <c r="C37" s="1385"/>
      <c r="D37" s="1385"/>
      <c r="E37" s="1385"/>
      <c r="F37" s="1385"/>
      <c r="G37" s="1385"/>
      <c r="H37" s="1385"/>
      <c r="I37" s="1385"/>
      <c r="J37" s="1385"/>
      <c r="K37" s="1385"/>
      <c r="L37" s="1386"/>
      <c r="M37" s="1385"/>
      <c r="N37" s="1385"/>
      <c r="O37" s="1385"/>
      <c r="P37" s="1385"/>
      <c r="Q37" s="1385"/>
      <c r="S37" s="310"/>
      <c r="T37" s="310"/>
      <c r="U37" s="1357"/>
      <c r="V37" s="314"/>
      <c r="W37" s="314"/>
      <c r="X37" s="314"/>
      <c r="Y37" s="314"/>
      <c r="Z37" s="314"/>
      <c r="AA37" s="259" t="s">
        <v>438</v>
      </c>
      <c r="AB37" s="314"/>
      <c r="AC37" s="314"/>
      <c r="AD37" s="314"/>
      <c r="AE37" s="314"/>
      <c r="AF37" s="314"/>
      <c r="AG37" s="314"/>
      <c r="AH37" s="314"/>
      <c r="AI37" s="314"/>
      <c r="AJ37" s="314"/>
      <c r="AK37" s="314"/>
      <c r="AL37" s="314"/>
      <c r="AM37" s="314"/>
      <c r="AN37" s="314"/>
      <c r="AO37" s="314"/>
      <c r="AP37" s="314"/>
      <c r="AQ37" s="314"/>
      <c r="AR37" s="314"/>
      <c r="AS37" s="259" t="s">
        <v>438</v>
      </c>
      <c r="AV37" s="360"/>
      <c r="AW37" s="360"/>
      <c r="AX37" s="360"/>
      <c r="AY37" s="360"/>
      <c r="AZ37" s="360"/>
    </row>
    <row customHeight="1" ht="14.25">
      <c r="Q38" s="272"/>
      <c r="R38" s="368"/>
      <c r="S38" s="1292"/>
      <c r="T38" s="353"/>
      <c r="U38" s="1249"/>
      <c r="V38" s="2106"/>
      <c r="W38" s="2106"/>
      <c r="X38" s="2106"/>
      <c r="Y38" s="2106"/>
      <c r="Z38" s="2106"/>
      <c r="AA38" s="2106"/>
      <c r="AB38" s="2106"/>
      <c r="AC38" s="2106"/>
      <c r="AD38" s="2106"/>
      <c r="AE38" s="2106"/>
      <c r="AF38" s="2106"/>
      <c r="AG38" s="2106"/>
      <c r="AH38" s="2106"/>
      <c r="AI38" s="2106"/>
      <c r="AJ38" s="2106"/>
      <c r="AK38" s="2106"/>
      <c r="AL38" s="2106"/>
      <c r="AM38" s="2106"/>
      <c r="AN38" s="2106"/>
      <c r="AO38" s="2106"/>
      <c r="AP38" s="2106"/>
      <c r="AQ38" s="2106"/>
      <c r="AR38" s="2106"/>
      <c r="AS38" s="2106"/>
    </row>
    <row customHeight="1" ht="14.25">
      <c r="Q39" s="272"/>
      <c r="R39" s="368"/>
      <c r="S39" s="1953" t="s">
        <v>312</v>
      </c>
      <c r="T39" s="1953"/>
      <c r="U39" s="1953"/>
      <c r="V39" s="1953"/>
      <c r="W39" s="1953"/>
      <c r="X39" s="1953"/>
      <c r="Y39" s="1953"/>
      <c r="Z39" s="1953"/>
      <c r="AA39" s="1953"/>
      <c r="AB39" s="2010"/>
      <c r="AC39" s="2010"/>
      <c r="AD39" s="2010"/>
      <c r="AE39" s="2010"/>
      <c r="AF39" s="1953"/>
      <c r="AG39" s="1953"/>
      <c r="AH39" s="1953"/>
      <c r="AI39" s="1953"/>
      <c r="AJ39" s="1953"/>
      <c r="AK39" s="1953"/>
      <c r="AL39" s="1953"/>
      <c r="AM39" s="1953"/>
      <c r="AN39" s="1953"/>
      <c r="AO39" s="1953"/>
      <c r="AP39" s="1953"/>
      <c r="AQ39" s="1953"/>
      <c r="AR39" s="1953"/>
      <c r="AS39" s="1953"/>
      <c r="AT39" s="1953"/>
      <c r="AU39" s="1953" t="s">
        <v>313</v>
      </c>
    </row>
    <row customHeight="1" ht="14.25">
      <c r="Q40" s="272"/>
      <c r="R40" s="368"/>
      <c r="S40" s="2107" t="s">
        <v>87</v>
      </c>
      <c r="T40" s="2044" t="s">
        <v>491</v>
      </c>
      <c r="U40" s="281"/>
      <c r="V40" s="2109"/>
      <c r="W40" s="2109"/>
      <c r="X40" s="2109"/>
      <c r="Y40" s="2109"/>
      <c r="Z40" s="2110"/>
      <c r="AA40" s="2171" t="s">
        <v>441</v>
      </c>
      <c r="AB40" s="2155" t="s">
        <v>492</v>
      </c>
      <c r="AC40" s="2128"/>
      <c r="AD40" s="2128"/>
      <c r="AE40" s="2156"/>
      <c r="AF40" s="2128" t="s">
        <v>493</v>
      </c>
      <c r="AG40" s="2128"/>
      <c r="AH40" s="2128"/>
      <c r="AI40" s="2156"/>
      <c r="AJ40" s="2155" t="s">
        <v>494</v>
      </c>
      <c r="AK40" s="2128"/>
      <c r="AL40" s="2128"/>
      <c r="AM40" s="2156"/>
      <c r="AN40" s="2155" t="s">
        <v>440</v>
      </c>
      <c r="AO40" s="2128"/>
      <c r="AP40" s="2109"/>
      <c r="AQ40" s="2109"/>
      <c r="AR40" s="2110"/>
      <c r="AS40" s="2111" t="s">
        <v>441</v>
      </c>
      <c r="AT40" s="2114" t="s">
        <v>443</v>
      </c>
      <c r="AU40" s="1953"/>
    </row>
    <row customHeight="1" ht="33.75">
      <c r="Q41" s="272"/>
      <c r="R41" s="368"/>
      <c r="S41" s="2107"/>
      <c r="T41" s="2044"/>
      <c r="U41" s="1026"/>
      <c r="V41" s="2011" t="s">
        <v>495</v>
      </c>
      <c r="W41" s="2012"/>
      <c r="X41" s="2126" t="s">
        <v>447</v>
      </c>
      <c r="Y41" s="2144"/>
      <c r="Z41" s="2145"/>
      <c r="AA41" s="2172"/>
      <c r="AB41" s="2157"/>
      <c r="AC41" s="2158"/>
      <c r="AD41" s="2158"/>
      <c r="AE41" s="2170"/>
      <c r="AF41" s="2158"/>
      <c r="AG41" s="2158"/>
      <c r="AH41" s="2158"/>
      <c r="AI41" s="2170"/>
      <c r="AJ41" s="2157"/>
      <c r="AK41" s="2158"/>
      <c r="AL41" s="2158"/>
      <c r="AM41" s="2158"/>
      <c r="AN41" s="1953" t="s">
        <v>496</v>
      </c>
      <c r="AO41" s="1953"/>
      <c r="AP41" s="2144" t="s">
        <v>447</v>
      </c>
      <c r="AQ41" s="2144"/>
      <c r="AR41" s="2145"/>
      <c r="AS41" s="2112"/>
      <c r="AT41" s="2115"/>
      <c r="AU41" s="1953"/>
    </row>
    <row customHeight="1" ht="14.25">
      <c r="Q42" s="272"/>
      <c r="R42" s="368"/>
      <c r="S42" s="2107"/>
      <c r="T42" s="2044"/>
      <c r="U42" s="1026"/>
      <c r="V42" s="2019"/>
      <c r="W42" s="2020"/>
      <c r="X42" s="2127"/>
      <c r="Y42" s="2146"/>
      <c r="Z42" s="2147"/>
      <c r="AA42" s="2172"/>
      <c r="AB42" s="2157"/>
      <c r="AC42" s="2158"/>
      <c r="AD42" s="2158"/>
      <c r="AE42" s="2170"/>
      <c r="AF42" s="2158"/>
      <c r="AG42" s="2158"/>
      <c r="AH42" s="2158"/>
      <c r="AI42" s="2170"/>
      <c r="AJ42" s="2157"/>
      <c r="AK42" s="2158"/>
      <c r="AL42" s="2158"/>
      <c r="AM42" s="2158"/>
      <c r="AN42" s="2174"/>
      <c r="AO42" s="2174"/>
      <c r="AP42" s="2146"/>
      <c r="AQ42" s="2146"/>
      <c r="AR42" s="2147"/>
      <c r="AS42" s="2112"/>
      <c r="AT42" s="2115"/>
      <c r="AU42" s="1953"/>
    </row>
    <row customHeight="1" ht="14.25">
      <c r="A43" s="1387"/>
      <c r="B43" s="1387" t="s">
        <v>134</v>
      </c>
      <c r="C43" s="1387" t="s">
        <v>135</v>
      </c>
      <c r="D43" s="1387" t="s">
        <v>136</v>
      </c>
      <c r="E43" s="1381" t="s">
        <v>448</v>
      </c>
      <c r="F43" s="1381" t="s">
        <v>449</v>
      </c>
      <c r="G43" s="1381" t="s">
        <v>450</v>
      </c>
      <c r="H43" s="1381" t="s">
        <v>451</v>
      </c>
      <c r="I43" s="1381" t="s">
        <v>452</v>
      </c>
      <c r="J43" s="1381" t="s">
        <v>453</v>
      </c>
      <c r="K43" s="1381" t="s">
        <v>454</v>
      </c>
      <c r="L43" s="1381" t="s">
        <v>429</v>
      </c>
      <c r="Q43" s="272"/>
      <c r="R43" s="368"/>
      <c r="S43" s="2107"/>
      <c r="T43" s="2044"/>
      <c r="U43" s="282"/>
      <c r="V43" s="1347" t="s">
        <v>497</v>
      </c>
      <c r="W43" s="1347" t="s">
        <v>498</v>
      </c>
      <c r="X43" s="1355" t="s">
        <v>457</v>
      </c>
      <c r="Y43" s="2103" t="s">
        <v>458</v>
      </c>
      <c r="Z43" s="2104"/>
      <c r="AA43" s="2173"/>
      <c r="AB43" s="2159"/>
      <c r="AC43" s="2160"/>
      <c r="AD43" s="2160"/>
      <c r="AE43" s="2161"/>
      <c r="AF43" s="2160"/>
      <c r="AG43" s="2160"/>
      <c r="AH43" s="2160"/>
      <c r="AI43" s="2161"/>
      <c r="AJ43" s="2159"/>
      <c r="AK43" s="2160"/>
      <c r="AL43" s="2160"/>
      <c r="AM43" s="2161"/>
      <c r="AN43" s="1885" t="s">
        <v>497</v>
      </c>
      <c r="AO43" s="1885" t="s">
        <v>498</v>
      </c>
      <c r="AP43" s="1355" t="s">
        <v>457</v>
      </c>
      <c r="AQ43" s="2103" t="s">
        <v>458</v>
      </c>
      <c r="AR43" s="2104"/>
      <c r="AS43" s="2113"/>
      <c r="AT43" s="2116"/>
      <c r="AU43" s="1953"/>
    </row>
    <row s="1666" customFormat="1" customHeight="1" ht="11.25" hidden="1">
      <c r="A44" s="1387"/>
      <c r="B44" s="1387"/>
      <c r="C44" s="1387"/>
      <c r="D44" s="1387"/>
      <c r="E44" s="1387"/>
      <c r="F44" s="1387"/>
      <c r="G44" s="1387"/>
      <c r="H44" s="1387"/>
      <c r="I44" s="1387"/>
      <c r="J44" s="1387"/>
      <c r="K44" s="1387"/>
      <c r="L44" s="1381"/>
      <c r="M44" s="1379"/>
      <c r="N44" s="1379"/>
      <c r="O44" s="1379"/>
      <c r="P44" s="506"/>
      <c r="Q44" s="1267"/>
      <c r="R44" s="1267">
        <v>1</v>
      </c>
      <c r="S44" s="1294" t="s">
        <v>108</v>
      </c>
      <c r="T44" s="1268" t="s">
        <v>109</v>
      </c>
      <c r="U44" s="1250" t="str">
        <f>OFFSET(U44,0,-1)</f>
        <v>2</v>
      </c>
      <c r="V44" s="1352">
        <f>OFFSET(V44,0,-1)+1</f>
        <v>3</v>
      </c>
      <c r="W44" s="1352">
        <f>OFFSET(W44,0,-1)+1</f>
        <v>4</v>
      </c>
      <c r="X44" s="1352">
        <f>OFFSET(X44,0,-1)+1</f>
        <v>5</v>
      </c>
      <c r="Y44" s="2105">
        <f>OFFSET(Y44,0,-1)+1</f>
        <v>6</v>
      </c>
      <c r="Z44" s="2105"/>
      <c r="AA44" s="1352">
        <f>OFFSET(AA44,0,-2)+1</f>
        <v>7</v>
      </c>
      <c r="AB44" s="1358">
        <f>OFFSET(AB44,0,-1)+1</f>
        <v>8</v>
      </c>
      <c r="AC44" s="1358"/>
      <c r="AD44" s="1358"/>
      <c r="AE44" s="1358"/>
      <c r="AF44" s="1352"/>
      <c r="AG44" s="1352"/>
      <c r="AH44" s="1352"/>
      <c r="AI44" s="1352"/>
      <c r="AJ44" s="1352"/>
      <c r="AK44" s="1352"/>
      <c r="AL44" s="1352"/>
      <c r="AM44" s="1352"/>
      <c r="AN44" s="1352">
        <f>OFFSET(AN44,0,-1)+1</f>
        <v>1</v>
      </c>
      <c r="AO44" s="1352">
        <f>OFFSET(AO44,0,-1)+1</f>
        <v>2</v>
      </c>
      <c r="AP44" s="1352">
        <f>OFFSET(AP44,0,-1)+1</f>
        <v>3</v>
      </c>
      <c r="AQ44" s="2105">
        <f>OFFSET(AQ44,0,-1)+1</f>
        <v>4</v>
      </c>
      <c r="AR44" s="2105"/>
      <c r="AS44" s="1352">
        <f>OFFSET(AS44,0,-2)+1</f>
        <v>5</v>
      </c>
      <c r="AT44" s="1250">
        <f>OFFSET(AT44,0,-1)</f>
        <v>5</v>
      </c>
      <c r="AU44" s="1352">
        <f>OFFSET(AU44,0,-1)+1</f>
        <v>6</v>
      </c>
      <c r="AV44" s="507"/>
      <c r="AW44" s="507"/>
      <c r="AX44" s="507"/>
      <c r="AY44" s="507"/>
      <c r="AZ44" s="507"/>
    </row>
    <row customHeight="1" ht="102">
      <c r="A45" s="1380" t="s">
        <v>224</v>
      </c>
      <c r="B45" s="1380"/>
      <c r="C45" s="1380"/>
      <c r="D45" s="1380"/>
      <c r="E45" s="2089">
        <v>1</v>
      </c>
      <c r="F45" s="1380"/>
      <c r="G45" s="1380"/>
      <c r="H45" s="1380"/>
      <c r="I45" s="1380"/>
      <c r="J45" s="1380"/>
      <c r="K45" s="1380"/>
      <c r="L45" s="1381"/>
      <c r="M45" s="1382"/>
      <c r="N45" s="1382"/>
      <c r="O45" s="1382"/>
      <c r="P45" s="1426"/>
      <c r="Q45" s="867"/>
      <c r="R45" s="343"/>
      <c r="S45" s="1353">
        <f>INDEX(PT_DIFFERENTIATION_NUM_NTAR,MATCH(A45,PT_DIFFERENTIATION_NTAR_ID,0))</f>
        <v>0</v>
      </c>
      <c r="T45" s="278" t="s">
        <v>122</v>
      </c>
      <c r="U45" s="280"/>
      <c r="V45" s="2084"/>
      <c r="W45" s="2084"/>
      <c r="X45" s="2084"/>
      <c r="Y45" s="2084"/>
      <c r="Z45" s="2084"/>
      <c r="AA45" s="2085"/>
      <c r="AB45" s="2083" t="str">
        <f>INDEX(PT_DIFFERENTIATION_NTAR,MATCH(A45,PT_DIFFERENTIATION_NTAR_ID,0))</f>
        <v/>
      </c>
      <c r="AC45" s="2084"/>
      <c r="AD45" s="2084"/>
      <c r="AE45" s="2084"/>
      <c r="AF45" s="2084"/>
      <c r="AG45" s="2084"/>
      <c r="AH45" s="2084"/>
      <c r="AI45" s="2084"/>
      <c r="AJ45" s="2084"/>
      <c r="AK45" s="2084"/>
      <c r="AL45" s="2084"/>
      <c r="AM45" s="2084"/>
      <c r="AN45" s="2084"/>
      <c r="AO45" s="2084"/>
      <c r="AP45" s="2084"/>
      <c r="AQ45" s="2084"/>
      <c r="AR45" s="2084"/>
      <c r="AS45" s="2084"/>
      <c r="AT45" s="2085"/>
      <c r="AU45" s="1273"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496"/>
      <c r="AX45" s="496" t="str">
        <f>IF(T45="","",T45)</f>
        <v>Наименование тарифа</v>
      </c>
      <c r="AY45" s="496"/>
      <c r="AZ45" s="496"/>
    </row>
    <row customHeight="1" ht="21">
      <c r="A46" s="1380" t="s">
        <v>224</v>
      </c>
      <c r="B46" s="1380" t="s">
        <v>225</v>
      </c>
      <c r="C46" s="1380"/>
      <c r="D46" s="1380"/>
      <c r="E46" s="2090"/>
      <c r="F46" s="2089">
        <v>1</v>
      </c>
      <c r="G46" s="1380"/>
      <c r="H46" s="1380"/>
      <c r="I46" s="1380"/>
      <c r="J46" s="1380"/>
      <c r="K46" s="1380"/>
      <c r="L46" s="1381"/>
      <c r="M46" s="1382"/>
      <c r="N46" s="1382"/>
      <c r="O46" s="1382"/>
      <c r="P46" s="1427"/>
      <c r="Q46" s="1428"/>
      <c r="R46" s="341"/>
      <c r="S46" s="1353" t="str">
        <f>INDEX(PT_DIFFERENTIATION_NUM_TER,MATCH(B46,PT_DIFFERENTIATION_TER_ID,0))</f>
        <v>.</v>
      </c>
      <c r="T46" s="290" t="s">
        <v>411</v>
      </c>
      <c r="U46" s="280"/>
      <c r="V46" s="2084"/>
      <c r="W46" s="2084"/>
      <c r="X46" s="2084"/>
      <c r="Y46" s="2084"/>
      <c r="Z46" s="2084"/>
      <c r="AA46" s="2085"/>
      <c r="AB46" s="2083" t="str">
        <f>INDEX(PT_DIFFERENTIATION_TER,MATCH(B46,PT_DIFFERENTIATION_TER_ID,0))</f>
        <v/>
      </c>
      <c r="AC46" s="2084"/>
      <c r="AD46" s="2084"/>
      <c r="AE46" s="2084"/>
      <c r="AF46" s="2084"/>
      <c r="AG46" s="2084"/>
      <c r="AH46" s="2084"/>
      <c r="AI46" s="2084"/>
      <c r="AJ46" s="2084"/>
      <c r="AK46" s="2084"/>
      <c r="AL46" s="2084"/>
      <c r="AM46" s="2084"/>
      <c r="AN46" s="2084"/>
      <c r="AO46" s="2084"/>
      <c r="AP46" s="2084"/>
      <c r="AQ46" s="2084"/>
      <c r="AR46" s="2084"/>
      <c r="AS46" s="2084"/>
      <c r="AT46" s="2085"/>
      <c r="AU46" s="1273" t="s">
        <v>412</v>
      </c>
      <c r="AW46" s="496"/>
      <c r="AX46" s="496" t="str">
        <f>IF(T46="","",T46)</f>
        <v>Территория действия тарифа</v>
      </c>
      <c r="AY46" s="496"/>
      <c r="AZ46" s="496"/>
    </row>
    <row customHeight="1" ht="23.25">
      <c r="A47" s="1380" t="s">
        <v>224</v>
      </c>
      <c r="B47" s="1380" t="s">
        <v>225</v>
      </c>
      <c r="C47" s="1380" t="s">
        <v>226</v>
      </c>
      <c r="D47" s="1380"/>
      <c r="E47" s="2090"/>
      <c r="F47" s="2090"/>
      <c r="G47" s="2089">
        <v>1</v>
      </c>
      <c r="H47" s="1380"/>
      <c r="I47" s="1380"/>
      <c r="J47" s="1380"/>
      <c r="K47" s="1380"/>
      <c r="L47" s="1381"/>
      <c r="M47" s="1382"/>
      <c r="N47" s="1382"/>
      <c r="O47" s="1382"/>
      <c r="P47" s="1429"/>
      <c r="Q47" s="1428"/>
      <c r="R47" s="341"/>
      <c r="S47" s="1353" t="str">
        <f>INDEX(PT_DIFFERENTIATION_NUM_CS,MATCH(C47,PT_DIFFERENTIATION_CS_ID,0))</f>
        <v>..</v>
      </c>
      <c r="T47" s="291" t="s">
        <v>413</v>
      </c>
      <c r="U47" s="280"/>
      <c r="V47" s="2084"/>
      <c r="W47" s="2084"/>
      <c r="X47" s="2084"/>
      <c r="Y47" s="2084"/>
      <c r="Z47" s="2084"/>
      <c r="AA47" s="2085"/>
      <c r="AB47" s="2083" t="str">
        <f>INDEX(PT_DIFFERENTIATION_CS,MATCH(C47,PT_DIFFERENTIATION_CS_ID,0))</f>
        <v/>
      </c>
      <c r="AC47" s="2084"/>
      <c r="AD47" s="2084"/>
      <c r="AE47" s="2084"/>
      <c r="AF47" s="2084"/>
      <c r="AG47" s="2084"/>
      <c r="AH47" s="2084"/>
      <c r="AI47" s="2084"/>
      <c r="AJ47" s="2084"/>
      <c r="AK47" s="2084"/>
      <c r="AL47" s="2084"/>
      <c r="AM47" s="2084"/>
      <c r="AN47" s="2084"/>
      <c r="AO47" s="2084"/>
      <c r="AP47" s="2084"/>
      <c r="AQ47" s="2084"/>
      <c r="AR47" s="2084"/>
      <c r="AS47" s="2084"/>
      <c r="AT47" s="2085"/>
      <c r="AU47" s="1273" t="s">
        <v>414</v>
      </c>
      <c r="AW47" s="496"/>
      <c r="AX47" s="496" t="str">
        <f>IF(T47="","",T47)</f>
        <v>Наименование системы теплоснабжения </v>
      </c>
      <c r="AY47" s="496"/>
      <c r="AZ47" s="496"/>
    </row>
    <row customHeight="1" ht="21">
      <c r="A48" s="1380" t="s">
        <v>224</v>
      </c>
      <c r="B48" s="1380" t="s">
        <v>225</v>
      </c>
      <c r="C48" s="1380" t="s">
        <v>226</v>
      </c>
      <c r="D48" s="1380" t="s">
        <v>227</v>
      </c>
      <c r="E48" s="2090"/>
      <c r="F48" s="2090"/>
      <c r="G48" s="2090"/>
      <c r="H48" s="2089">
        <v>1</v>
      </c>
      <c r="I48" s="1380"/>
      <c r="J48" s="1380"/>
      <c r="K48" s="1380"/>
      <c r="L48" s="1381"/>
      <c r="M48" s="1382"/>
      <c r="N48" s="1382"/>
      <c r="O48" s="1382"/>
      <c r="P48" s="1429"/>
      <c r="Q48" s="1428"/>
      <c r="R48" s="341"/>
      <c r="S48" s="1353" t="str">
        <f>INDEX(PT_DIFFERENTIATION_NUM_IST_TE,MATCH(D48,PT_DIFFERENTIATION_IST_TE_ID,0))</f>
        <v>...</v>
      </c>
      <c r="T48" s="292" t="s">
        <v>415</v>
      </c>
      <c r="U48" s="280"/>
      <c r="V48" s="2084"/>
      <c r="W48" s="2084"/>
      <c r="X48" s="2084"/>
      <c r="Y48" s="2084"/>
      <c r="Z48" s="2084"/>
      <c r="AA48" s="2085"/>
      <c r="AB48" s="2083" t="str">
        <f>INDEX(PT_DIFFERENTIATION_IST_TE,MATCH(D48,PT_DIFFERENTIATION_IST_TE_ID,0))</f>
        <v/>
      </c>
      <c r="AC48" s="2084"/>
      <c r="AD48" s="2084"/>
      <c r="AE48" s="2084"/>
      <c r="AF48" s="2084"/>
      <c r="AG48" s="2084"/>
      <c r="AH48" s="2084"/>
      <c r="AI48" s="2084"/>
      <c r="AJ48" s="2084"/>
      <c r="AK48" s="2084"/>
      <c r="AL48" s="2084"/>
      <c r="AM48" s="2084"/>
      <c r="AN48" s="2084"/>
      <c r="AO48" s="2084"/>
      <c r="AP48" s="2084"/>
      <c r="AQ48" s="2084"/>
      <c r="AR48" s="2084"/>
      <c r="AS48" s="2084"/>
      <c r="AT48" s="2085"/>
      <c r="AU48" s="1273" t="s">
        <v>416</v>
      </c>
      <c r="AW48" s="496"/>
      <c r="AX48" s="496" t="str">
        <f>IF(T48="","",T48)</f>
        <v>Источник тепловой энергии  </v>
      </c>
      <c r="AY48" s="496"/>
      <c r="AZ48" s="496"/>
    </row>
    <row s="1667" customFormat="1" customHeight="1" ht="0">
      <c r="A49" s="1360" t="s">
        <v>224</v>
      </c>
      <c r="B49" s="1360" t="s">
        <v>225</v>
      </c>
      <c r="C49" s="1360" t="s">
        <v>226</v>
      </c>
      <c r="D49" s="1360" t="s">
        <v>227</v>
      </c>
      <c r="E49" s="2090"/>
      <c r="F49" s="2090"/>
      <c r="G49" s="2090"/>
      <c r="H49" s="2090"/>
      <c r="I49" s="2091" t="str">
        <f>S48&amp;".1"</f>
        <v>....1</v>
      </c>
      <c r="J49" s="1360"/>
      <c r="K49" s="1360"/>
      <c r="L49" s="1363" t="s">
        <v>417</v>
      </c>
      <c r="M49" s="506"/>
      <c r="N49" s="506"/>
      <c r="O49" s="506"/>
      <c r="P49" s="2093">
        <v>1</v>
      </c>
      <c r="Q49" s="1348"/>
      <c r="R49" s="344"/>
      <c r="S49" s="1037"/>
      <c r="T49" s="1400"/>
      <c r="U49" s="1401"/>
      <c r="V49" s="2130"/>
      <c r="W49" s="2130"/>
      <c r="X49" s="2130"/>
      <c r="Y49" s="2130"/>
      <c r="Z49" s="2130"/>
      <c r="AA49" s="2131"/>
      <c r="AB49" s="2129"/>
      <c r="AC49" s="2130"/>
      <c r="AD49" s="2130"/>
      <c r="AE49" s="2130"/>
      <c r="AF49" s="2130"/>
      <c r="AG49" s="2130"/>
      <c r="AH49" s="2130"/>
      <c r="AI49" s="2130"/>
      <c r="AJ49" s="2130"/>
      <c r="AK49" s="2130"/>
      <c r="AL49" s="2130"/>
      <c r="AM49" s="2130"/>
      <c r="AN49" s="2130"/>
      <c r="AO49" s="2130"/>
      <c r="AP49" s="2130"/>
      <c r="AQ49" s="2130"/>
      <c r="AR49" s="2130"/>
      <c r="AS49" s="2130"/>
      <c r="AT49" s="2131"/>
      <c r="AU49" s="1402"/>
      <c r="AW49" s="496"/>
      <c r="AX49" s="496" t="str">
        <f>IF(T49="","",T49)</f>
        <v/>
      </c>
      <c r="AY49" s="496"/>
      <c r="AZ49" s="496"/>
    </row>
    <row s="1667" customFormat="1" customHeight="1" ht="0">
      <c r="A50" s="1360" t="s">
        <v>224</v>
      </c>
      <c r="B50" s="1360" t="s">
        <v>225</v>
      </c>
      <c r="C50" s="1360" t="s">
        <v>226</v>
      </c>
      <c r="D50" s="1360" t="s">
        <v>227</v>
      </c>
      <c r="E50" s="2090"/>
      <c r="F50" s="2090"/>
      <c r="G50" s="2090"/>
      <c r="H50" s="2090"/>
      <c r="I50" s="2092"/>
      <c r="J50" s="2091" t="str">
        <f>S48&amp;".1"</f>
        <v>....1</v>
      </c>
      <c r="K50" s="1360"/>
      <c r="L50" s="1363"/>
      <c r="M50" s="506"/>
      <c r="N50" s="506"/>
      <c r="O50" s="506"/>
      <c r="P50" s="2093"/>
      <c r="Q50" s="2093">
        <v>1</v>
      </c>
      <c r="R50" s="345"/>
      <c r="S50" s="1037"/>
      <c r="T50" s="1416"/>
      <c r="U50" s="1401"/>
      <c r="V50" s="2130"/>
      <c r="W50" s="2130"/>
      <c r="X50" s="2130"/>
      <c r="Y50" s="2130"/>
      <c r="Z50" s="2130"/>
      <c r="AA50" s="2131"/>
      <c r="AB50" s="2129"/>
      <c r="AC50" s="2130"/>
      <c r="AD50" s="2130"/>
      <c r="AE50" s="2130"/>
      <c r="AF50" s="2130"/>
      <c r="AG50" s="2130"/>
      <c r="AH50" s="2130"/>
      <c r="AI50" s="2130"/>
      <c r="AJ50" s="2130"/>
      <c r="AK50" s="2130"/>
      <c r="AL50" s="2130"/>
      <c r="AM50" s="2130"/>
      <c r="AN50" s="2130"/>
      <c r="AO50" s="2130"/>
      <c r="AP50" s="2130"/>
      <c r="AQ50" s="2130"/>
      <c r="AR50" s="2130"/>
      <c r="AS50" s="2130"/>
      <c r="AT50" s="2131"/>
      <c r="AU50" s="1402"/>
      <c r="AW50" s="496"/>
      <c r="AX50" s="496" t="str">
        <f>IF(T50="","",T50)</f>
        <v/>
      </c>
      <c r="AY50" s="496"/>
      <c r="AZ50" s="496"/>
    </row>
    <row customHeight="1" ht="21">
      <c r="A51" s="1380" t="s">
        <v>224</v>
      </c>
      <c r="B51" s="1380" t="s">
        <v>225</v>
      </c>
      <c r="C51" s="1380" t="s">
        <v>226</v>
      </c>
      <c r="D51" s="1380" t="s">
        <v>227</v>
      </c>
      <c r="E51" s="2090"/>
      <c r="F51" s="2090"/>
      <c r="G51" s="2090"/>
      <c r="H51" s="2090"/>
      <c r="I51" s="2092"/>
      <c r="J51" s="2092"/>
      <c r="K51" s="2091" t="str">
        <f>S48&amp;".1"</f>
        <v>....1</v>
      </c>
      <c r="L51" s="1381"/>
      <c r="P51" s="2093"/>
      <c r="Q51" s="2093"/>
      <c r="R51" s="345">
        <v>1</v>
      </c>
      <c r="S51" s="2166" t="str">
        <f>$K51</f>
        <v>....1</v>
      </c>
      <c r="T51" s="2163"/>
      <c r="U51" s="280"/>
      <c r="V51" s="746"/>
      <c r="W51" s="1272"/>
      <c r="X51" s="1758"/>
      <c r="Y51" s="1476" t="s">
        <v>61</v>
      </c>
      <c r="Z51" s="1758"/>
      <c r="AA51" s="1476" t="s">
        <v>61</v>
      </c>
      <c r="AB51" s="1963" t="s">
        <v>56</v>
      </c>
      <c r="AC51" s="2162"/>
      <c r="AD51" s="2039">
        <v>1</v>
      </c>
      <c r="AE51" s="2154" t="s">
        <v>24</v>
      </c>
      <c r="AF51" s="1963" t="s">
        <v>56</v>
      </c>
      <c r="AG51" s="2162"/>
      <c r="AH51" s="2039">
        <v>1</v>
      </c>
      <c r="AI51" s="2154" t="s">
        <v>24</v>
      </c>
      <c r="AJ51" s="1963" t="s">
        <v>56</v>
      </c>
      <c r="AK51" s="293"/>
      <c r="AL51" s="1354">
        <v>1</v>
      </c>
      <c r="AM51" s="1419"/>
      <c r="AN51" s="746"/>
      <c r="AO51" s="1272"/>
      <c r="AP51" s="1758"/>
      <c r="AQ51" s="1476" t="s">
        <v>61</v>
      </c>
      <c r="AR51" s="1758"/>
      <c r="AS51" s="1476" t="s">
        <v>61</v>
      </c>
      <c r="AT51" s="1365"/>
      <c r="AU51" s="2119" t="s">
        <v>499</v>
      </c>
      <c r="AV51" s="507">
        <f>STRCHECKDATE(V54:AT54)</f>
      </c>
      <c r="AW51" s="496"/>
      <c r="AX51" s="496" t="str">
        <f>IF(T51="","",T51)</f>
        <v/>
      </c>
      <c r="AY51" s="496"/>
      <c r="AZ51" s="496"/>
    </row>
    <row customHeight="1" ht="11.25">
      <c r="A52" s="1380" t="s">
        <v>224</v>
      </c>
      <c r="B52" s="1380"/>
      <c r="C52" s="1380"/>
      <c r="D52" s="1380"/>
      <c r="E52" s="2090"/>
      <c r="F52" s="2090"/>
      <c r="G52" s="2090"/>
      <c r="H52" s="2090"/>
      <c r="I52" s="2092"/>
      <c r="J52" s="2092"/>
      <c r="K52" s="2091"/>
      <c r="L52" s="1381"/>
      <c r="P52" s="2093"/>
      <c r="Q52" s="2093"/>
      <c r="R52" s="345"/>
      <c r="S52" s="2167"/>
      <c r="T52" s="2164"/>
      <c r="U52" s="280"/>
      <c r="V52" s="1410"/>
      <c r="W52" s="1513"/>
      <c r="X52" s="1410"/>
      <c r="Y52" s="1410"/>
      <c r="Z52" s="1410"/>
      <c r="AA52" s="1410"/>
      <c r="AB52" s="1963"/>
      <c r="AC52" s="2162"/>
      <c r="AD52" s="2039"/>
      <c r="AE52" s="2154"/>
      <c r="AF52" s="1963"/>
      <c r="AG52" s="2162"/>
      <c r="AH52" s="2039"/>
      <c r="AI52" s="2154"/>
      <c r="AJ52" s="1963"/>
      <c r="AK52" s="300"/>
      <c r="AL52" s="413"/>
      <c r="AM52" s="412" t="s">
        <v>483</v>
      </c>
      <c r="AN52" s="1410"/>
      <c r="AO52" s="1513"/>
      <c r="AP52" s="1410"/>
      <c r="AQ52" s="1410"/>
      <c r="AR52" s="1410"/>
      <c r="AS52" s="1410"/>
      <c r="AT52" s="1407"/>
      <c r="AU52" s="2120"/>
      <c r="AW52" s="496"/>
      <c r="AX52" s="496"/>
      <c r="AY52" s="496"/>
      <c r="AZ52" s="496"/>
    </row>
    <row customHeight="1" ht="11.25">
      <c r="A53" s="1380" t="s">
        <v>224</v>
      </c>
      <c r="B53" s="1380"/>
      <c r="C53" s="1380"/>
      <c r="D53" s="1380"/>
      <c r="E53" s="2090"/>
      <c r="F53" s="2090"/>
      <c r="G53" s="2090"/>
      <c r="H53" s="2090"/>
      <c r="I53" s="2092"/>
      <c r="J53" s="2092"/>
      <c r="K53" s="2091"/>
      <c r="L53" s="1381"/>
      <c r="P53" s="2093"/>
      <c r="Q53" s="2093"/>
      <c r="R53" s="345"/>
      <c r="S53" s="2167"/>
      <c r="T53" s="2164"/>
      <c r="U53" s="280"/>
      <c r="V53" s="1410"/>
      <c r="W53" s="1513"/>
      <c r="X53" s="1410"/>
      <c r="Y53" s="1410"/>
      <c r="Z53" s="1410"/>
      <c r="AA53" s="1410"/>
      <c r="AB53" s="1963"/>
      <c r="AC53" s="2162"/>
      <c r="AD53" s="2039"/>
      <c r="AE53" s="2154"/>
      <c r="AF53" s="1963"/>
      <c r="AG53" s="274"/>
      <c r="AH53" s="412"/>
      <c r="AI53" s="412" t="s">
        <v>484</v>
      </c>
      <c r="AJ53" s="1410"/>
      <c r="AK53" s="1410"/>
      <c r="AL53" s="1410"/>
      <c r="AM53" s="1410"/>
      <c r="AN53" s="1410"/>
      <c r="AO53" s="1513"/>
      <c r="AP53" s="1410"/>
      <c r="AQ53" s="1410"/>
      <c r="AR53" s="1410"/>
      <c r="AS53" s="1410"/>
      <c r="AT53" s="1407"/>
      <c r="AU53" s="2120"/>
      <c r="AW53" s="496"/>
      <c r="AX53" s="496"/>
      <c r="AY53" s="496"/>
      <c r="AZ53" s="496"/>
    </row>
    <row customHeight="1" ht="11.25">
      <c r="A54" s="1380" t="s">
        <v>224</v>
      </c>
      <c r="B54" s="1380" t="s">
        <v>225</v>
      </c>
      <c r="C54" s="1380" t="s">
        <v>226</v>
      </c>
      <c r="D54" s="1380" t="s">
        <v>227</v>
      </c>
      <c r="E54" s="2090"/>
      <c r="F54" s="2090"/>
      <c r="G54" s="2090"/>
      <c r="H54" s="2090"/>
      <c r="I54" s="2092"/>
      <c r="J54" s="2092"/>
      <c r="K54" s="2091"/>
      <c r="L54" s="1381"/>
      <c r="P54" s="2093"/>
      <c r="Q54" s="2093"/>
      <c r="R54" s="345"/>
      <c r="S54" s="2168"/>
      <c r="T54" s="2165"/>
      <c r="U54" s="280"/>
      <c r="V54" s="1410"/>
      <c r="W54" s="1411" t="str">
        <f>X51&amp;"-"&amp;Z51</f>
        <v>-</v>
      </c>
      <c r="X54" s="1410"/>
      <c r="Y54" s="1410"/>
      <c r="Z54" s="1410"/>
      <c r="AA54" s="1410"/>
      <c r="AB54" s="1963"/>
      <c r="AC54" s="294"/>
      <c r="AD54" s="296"/>
      <c r="AE54" s="412" t="s">
        <v>485</v>
      </c>
      <c r="AF54" s="1410"/>
      <c r="AG54" s="1410"/>
      <c r="AH54" s="1410"/>
      <c r="AI54" s="1410"/>
      <c r="AJ54" s="1410"/>
      <c r="AK54" s="1410"/>
      <c r="AL54" s="1410"/>
      <c r="AM54" s="1410"/>
      <c r="AN54" s="1410"/>
      <c r="AO54" s="1411" t="str">
        <f>AP51&amp;"-"&amp;AR51</f>
        <v>-</v>
      </c>
      <c r="AP54" s="1410"/>
      <c r="AQ54" s="1410"/>
      <c r="AR54" s="1410"/>
      <c r="AS54" s="1410"/>
      <c r="AT54" s="1366"/>
      <c r="AU54" s="2120"/>
      <c r="AW54" s="496"/>
      <c r="AX54" s="496" t="str">
        <f>IF(T54="","",T54)</f>
        <v/>
      </c>
      <c r="AY54" s="496"/>
      <c r="AZ54" s="496"/>
    </row>
    <row customHeight="1" ht="11.25">
      <c r="A55" s="1380" t="s">
        <v>224</v>
      </c>
      <c r="B55" s="1380" t="s">
        <v>225</v>
      </c>
      <c r="C55" s="1380" t="s">
        <v>226</v>
      </c>
      <c r="D55" s="1380" t="s">
        <v>227</v>
      </c>
      <c r="E55" s="2090"/>
      <c r="F55" s="2090"/>
      <c r="G55" s="2090"/>
      <c r="H55" s="2090"/>
      <c r="I55" s="2092"/>
      <c r="J55" s="2091"/>
      <c r="K55" s="1380"/>
      <c r="L55" s="1381"/>
      <c r="P55" s="2093"/>
      <c r="Q55" s="2093"/>
      <c r="R55" s="344"/>
      <c r="S55" s="1295"/>
      <c r="T55" s="268" t="s">
        <v>486</v>
      </c>
      <c r="U55" s="359"/>
      <c r="V55" s="359"/>
      <c r="W55" s="359"/>
      <c r="X55" s="359"/>
      <c r="Y55" s="359"/>
      <c r="Z55" s="359"/>
      <c r="AA55" s="311"/>
      <c r="AB55" s="1522"/>
      <c r="AC55" s="359"/>
      <c r="AD55" s="359"/>
      <c r="AE55" s="359"/>
      <c r="AF55" s="359"/>
      <c r="AG55" s="359"/>
      <c r="AH55" s="359"/>
      <c r="AI55" s="359"/>
      <c r="AJ55" s="359"/>
      <c r="AK55" s="359"/>
      <c r="AL55" s="359"/>
      <c r="AM55" s="359"/>
      <c r="AN55" s="359"/>
      <c r="AO55" s="359"/>
      <c r="AP55" s="359"/>
      <c r="AQ55" s="359"/>
      <c r="AR55" s="359"/>
      <c r="AS55" s="359"/>
      <c r="AT55" s="311"/>
      <c r="AU55" s="2121"/>
      <c r="AW55" s="496"/>
      <c r="AX55" s="496" t="str">
        <f>IF(T55="","",T55)</f>
        <v>Добавить строку</v>
      </c>
      <c r="AY55" s="496"/>
      <c r="AZ55" s="496"/>
    </row>
    <row s="1667" customFormat="1" customHeight="1" ht="0">
      <c r="A56" s="1360" t="s">
        <v>224</v>
      </c>
      <c r="B56" s="1360" t="s">
        <v>225</v>
      </c>
      <c r="C56" s="1360" t="s">
        <v>226</v>
      </c>
      <c r="D56" s="1360" t="s">
        <v>227</v>
      </c>
      <c r="E56" s="2090"/>
      <c r="F56" s="2090"/>
      <c r="G56" s="2090"/>
      <c r="H56" s="2090"/>
      <c r="I56" s="2091"/>
      <c r="J56" s="1360"/>
      <c r="K56" s="1360"/>
      <c r="L56" s="1363"/>
      <c r="M56" s="506"/>
      <c r="N56" s="506"/>
      <c r="O56" s="506"/>
      <c r="P56" s="2093"/>
      <c r="Q56" s="1348"/>
      <c r="R56" s="344"/>
      <c r="S56" s="1403"/>
      <c r="T56" s="1404" t="s">
        <v>426</v>
      </c>
      <c r="U56" s="1405"/>
      <c r="V56" s="1405"/>
      <c r="W56" s="1405"/>
      <c r="X56" s="1405"/>
      <c r="Y56" s="1405"/>
      <c r="Z56" s="1405"/>
      <c r="AA56" s="1405"/>
      <c r="AB56" s="1405"/>
      <c r="AC56" s="1405"/>
      <c r="AD56" s="1405"/>
      <c r="AE56" s="1405"/>
      <c r="AF56" s="1405"/>
      <c r="AG56" s="1405"/>
      <c r="AH56" s="1405"/>
      <c r="AI56" s="1405"/>
      <c r="AJ56" s="1405"/>
      <c r="AK56" s="1405"/>
      <c r="AL56" s="1405"/>
      <c r="AM56" s="1405"/>
      <c r="AN56" s="1405"/>
      <c r="AO56" s="1405"/>
      <c r="AP56" s="1405"/>
      <c r="AQ56" s="1405"/>
      <c r="AR56" s="1405"/>
      <c r="AS56" s="1405"/>
      <c r="AT56" s="1405"/>
      <c r="AU56" s="1406"/>
      <c r="AW56" s="496"/>
      <c r="AX56" s="496" t="str">
        <f>IF(T56="","",T56)</f>
        <v>Добавить группу потребителей</v>
      </c>
      <c r="AY56" s="496"/>
      <c r="AZ56" s="496"/>
    </row>
    <row s="1666" customFormat="1" customHeight="1" ht="0">
      <c r="A57" s="1360" t="s">
        <v>224</v>
      </c>
      <c r="B57" s="1360" t="s">
        <v>225</v>
      </c>
      <c r="C57" s="1360" t="s">
        <v>226</v>
      </c>
      <c r="D57" s="1360" t="s">
        <v>227</v>
      </c>
      <c r="E57" s="2090"/>
      <c r="F57" s="2090"/>
      <c r="G57" s="2090"/>
      <c r="H57" s="2089"/>
      <c r="I57" s="1360"/>
      <c r="J57" s="1360"/>
      <c r="K57" s="1360"/>
      <c r="L57" s="1363"/>
      <c r="M57" s="1332"/>
      <c r="N57" s="1332"/>
      <c r="O57" s="514"/>
      <c r="P57" s="376"/>
      <c r="Q57" s="1361"/>
      <c r="R57" s="1417"/>
      <c r="S57" s="1403"/>
      <c r="T57" s="1404"/>
      <c r="U57" s="1405"/>
      <c r="V57" s="1405"/>
      <c r="W57" s="1405"/>
      <c r="X57" s="1405"/>
      <c r="Y57" s="1405"/>
      <c r="Z57" s="1405"/>
      <c r="AA57" s="1405"/>
      <c r="AB57" s="1405"/>
      <c r="AC57" s="1405"/>
      <c r="AD57" s="1405"/>
      <c r="AE57" s="1405"/>
      <c r="AF57" s="1405"/>
      <c r="AG57" s="1405"/>
      <c r="AH57" s="1405"/>
      <c r="AI57" s="1405"/>
      <c r="AJ57" s="1405"/>
      <c r="AK57" s="1405"/>
      <c r="AL57" s="1405"/>
      <c r="AM57" s="1405"/>
      <c r="AN57" s="1405"/>
      <c r="AO57" s="1405"/>
      <c r="AP57" s="1405"/>
      <c r="AQ57" s="1405"/>
      <c r="AR57" s="1405"/>
      <c r="AS57" s="1405"/>
      <c r="AT57" s="1405"/>
      <c r="AU57" s="1406"/>
      <c r="AV57" s="507"/>
      <c r="AW57" s="496"/>
      <c r="AX57" s="496" t="str">
        <f>IF(T57="","",T57)</f>
        <v/>
      </c>
      <c r="AY57" s="496"/>
      <c r="AZ57" s="496"/>
    </row>
    <row s="1667" customFormat="1" customHeight="1" ht="0">
      <c r="A58" s="1360" t="s">
        <v>224</v>
      </c>
      <c r="B58" s="1360" t="s">
        <v>225</v>
      </c>
      <c r="C58" s="1360" t="s">
        <v>226</v>
      </c>
      <c r="D58" s="1331"/>
      <c r="E58" s="2090"/>
      <c r="F58" s="2090"/>
      <c r="G58" s="2089"/>
      <c r="H58" s="1331"/>
      <c r="I58" s="1331"/>
      <c r="J58" s="1331"/>
      <c r="K58" s="1331"/>
      <c r="L58" s="1356"/>
      <c r="M58" s="1332"/>
      <c r="N58" s="1332"/>
      <c r="P58" s="1333"/>
      <c r="Q58" s="1334"/>
      <c r="R58" s="1333"/>
      <c r="S58" s="1339"/>
      <c r="T58" s="1342" t="s">
        <v>160</v>
      </c>
      <c r="U58" s="1341"/>
      <c r="V58" s="1341"/>
      <c r="W58" s="1341"/>
      <c r="X58" s="1341"/>
      <c r="Y58" s="1341"/>
      <c r="Z58" s="1341"/>
      <c r="AA58" s="1341"/>
      <c r="AB58" s="1341"/>
      <c r="AC58" s="1341"/>
      <c r="AD58" s="1341"/>
      <c r="AE58" s="1341"/>
      <c r="AF58" s="1341"/>
      <c r="AG58" s="1341"/>
      <c r="AH58" s="1341"/>
      <c r="AI58" s="1341"/>
      <c r="AJ58" s="1341"/>
      <c r="AK58" s="1341"/>
      <c r="AL58" s="1341"/>
      <c r="AM58" s="1341"/>
      <c r="AN58" s="1341"/>
      <c r="AO58" s="1341"/>
      <c r="AP58" s="1341"/>
      <c r="AQ58" s="1341"/>
      <c r="AR58" s="1341"/>
      <c r="AS58" s="1341"/>
      <c r="AT58" s="1341"/>
      <c r="AU58" s="1341"/>
      <c r="AW58" s="783"/>
      <c r="AX58" s="783" t="str">
        <f>IF(T58="","",T58)</f>
        <v>Добавить источник для дифференциации</v>
      </c>
      <c r="AY58" s="783"/>
      <c r="AZ58" s="783"/>
    </row>
    <row s="1667" customFormat="1" customHeight="1" ht="0">
      <c r="A59" s="1360" t="s">
        <v>224</v>
      </c>
      <c r="B59" s="1360" t="s">
        <v>225</v>
      </c>
      <c r="C59" s="1331"/>
      <c r="D59" s="1331"/>
      <c r="E59" s="2090"/>
      <c r="F59" s="2089"/>
      <c r="G59" s="1331"/>
      <c r="H59" s="1331"/>
      <c r="I59" s="1331"/>
      <c r="J59" s="1331"/>
      <c r="K59" s="1331"/>
      <c r="L59" s="1356"/>
      <c r="M59" s="1338"/>
      <c r="N59" s="1338"/>
      <c r="P59" s="1333"/>
      <c r="Q59" s="1334"/>
      <c r="R59" s="1333"/>
      <c r="S59" s="1339"/>
      <c r="T59" s="1342" t="s">
        <v>161</v>
      </c>
      <c r="U59" s="1341"/>
      <c r="V59" s="1341"/>
      <c r="W59" s="1341"/>
      <c r="X59" s="1341"/>
      <c r="Y59" s="1341"/>
      <c r="Z59" s="1341"/>
      <c r="AA59" s="1341"/>
      <c r="AB59" s="1341"/>
      <c r="AC59" s="1341"/>
      <c r="AD59" s="1341"/>
      <c r="AE59" s="1341"/>
      <c r="AF59" s="1341"/>
      <c r="AG59" s="1341"/>
      <c r="AH59" s="1341"/>
      <c r="AI59" s="1341"/>
      <c r="AJ59" s="1341"/>
      <c r="AK59" s="1341"/>
      <c r="AL59" s="1341"/>
      <c r="AM59" s="1341"/>
      <c r="AN59" s="1341"/>
      <c r="AO59" s="1341"/>
      <c r="AP59" s="1341"/>
      <c r="AQ59" s="1341"/>
      <c r="AR59" s="1341"/>
      <c r="AS59" s="1341"/>
      <c r="AT59" s="1341"/>
      <c r="AU59" s="1341"/>
      <c r="AW59" s="783"/>
      <c r="AX59" s="783" t="str">
        <f>IF(T59="","",T59)</f>
        <v>Добавить централизованную систему для дифференциации</v>
      </c>
      <c r="AY59" s="783"/>
      <c r="AZ59" s="783"/>
    </row>
    <row s="1667" customFormat="1" customHeight="1" ht="0">
      <c r="A60" s="1360" t="s">
        <v>224</v>
      </c>
      <c r="B60" s="1360"/>
      <c r="C60" s="1360"/>
      <c r="D60" s="1360"/>
      <c r="E60" s="2090"/>
      <c r="F60" s="1360"/>
      <c r="G60" s="1360"/>
      <c r="H60" s="1360"/>
      <c r="I60" s="1360"/>
      <c r="J60" s="1360"/>
      <c r="K60" s="1360"/>
      <c r="L60" s="1363"/>
      <c r="M60" s="1338"/>
      <c r="N60" s="1338"/>
      <c r="O60" s="514"/>
      <c r="P60" s="376"/>
      <c r="Q60" s="1361"/>
      <c r="R60" s="376"/>
      <c r="S60" s="1339"/>
      <c r="T60" s="1342" t="s">
        <v>162</v>
      </c>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W60" s="496"/>
      <c r="AX60" s="496" t="str">
        <f>IF(T60="","",T60)</f>
        <v>Добавить территорию для дифференциации</v>
      </c>
      <c r="AY60" s="496"/>
      <c r="AZ60" s="496"/>
    </row>
    <row s="1667" customFormat="1" customHeight="1" ht="0">
      <c r="A61" s="1360" t="s">
        <v>224</v>
      </c>
      <c r="B61" s="1360"/>
      <c r="C61" s="1360"/>
      <c r="D61" s="1360"/>
      <c r="E61" s="2089"/>
      <c r="F61" s="1360"/>
      <c r="G61" s="1360"/>
      <c r="H61" s="1360"/>
      <c r="I61" s="1360"/>
      <c r="J61" s="1360"/>
      <c r="K61" s="1360"/>
      <c r="L61" s="1363"/>
      <c r="M61" s="1338"/>
      <c r="N61" s="1338"/>
      <c r="O61" s="514"/>
      <c r="P61" s="376"/>
      <c r="Q61" s="1361"/>
      <c r="R61" s="376"/>
      <c r="S61" s="1339"/>
      <c r="T61" s="1342" t="s">
        <v>162</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W61" s="496"/>
      <c r="AX61" s="496" t="str">
        <f>IF(T61="","",T61)</f>
        <v>Добавить территорию для дифференциации</v>
      </c>
      <c r="AY61" s="496"/>
      <c r="AZ61" s="496"/>
    </row>
    <row s="1667" customFormat="1" customHeight="1" ht="0">
      <c r="A62" s="1331"/>
      <c r="B62" s="1331"/>
      <c r="C62" s="1331"/>
      <c r="D62" s="1331"/>
      <c r="E62" s="1360"/>
      <c r="F62" s="1331"/>
      <c r="G62" s="1331"/>
      <c r="H62" s="1331"/>
      <c r="I62" s="1331"/>
      <c r="J62" s="1331"/>
      <c r="K62" s="1331"/>
      <c r="L62" s="1356"/>
      <c r="M62" s="1338"/>
      <c r="N62" s="1338"/>
      <c r="P62" s="1333"/>
      <c r="Q62" s="1334"/>
      <c r="R62" s="1333"/>
      <c r="S62" s="1339"/>
      <c r="T62" s="1342" t="s">
        <v>179</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W62" s="783"/>
      <c r="AX62" s="783" t="str">
        <f>IF(T62="","",T62)</f>
        <v>Добавить наименование тарифа</v>
      </c>
      <c r="AY62" s="783"/>
      <c r="AZ62" s="783"/>
    </row>
    <row customHeight="1" ht="11.25">
      <c r="M63" s="1155"/>
      <c r="N63" s="1155"/>
      <c r="O63" s="533"/>
      <c r="P63" s="1155"/>
      <c r="Q63" s="1155"/>
      <c r="R63" s="1150"/>
      <c r="S63" s="1150"/>
      <c r="AV63" s="1150"/>
      <c r="AW63" s="1150"/>
      <c r="AX63" s="1150"/>
      <c r="AY63" s="1150"/>
      <c r="AZ63" s="1150"/>
    </row>
    <row customHeight="1" ht="18.75">
      <c r="O64" s="533"/>
      <c r="S64" s="1260"/>
      <c r="T64" s="2088"/>
      <c r="U64" s="2088"/>
      <c r="V64" s="2088"/>
      <c r="W64" s="2088"/>
      <c r="X64" s="2088"/>
      <c r="Y64" s="2088"/>
      <c r="Z64" s="2088"/>
      <c r="AA64" s="2088"/>
      <c r="AB64" s="2088"/>
      <c r="AC64" s="2088"/>
      <c r="AD64" s="2088"/>
      <c r="AE64" s="2088"/>
      <c r="AF64" s="2088"/>
      <c r="AG64" s="2088"/>
      <c r="AH64" s="2088"/>
      <c r="AI64" s="2088"/>
      <c r="AJ64" s="2088"/>
      <c r="AK64" s="2088"/>
      <c r="AL64" s="2088"/>
      <c r="AM64" s="2088"/>
      <c r="AN64" s="2088"/>
      <c r="AO64" s="2088"/>
      <c r="AP64" s="2088"/>
      <c r="AQ64" s="2088"/>
      <c r="AR64" s="2088"/>
      <c r="AS64" s="2088"/>
      <c r="AT64" s="2088"/>
      <c r="AU64" s="2088"/>
    </row>
    <row customHeight="1" ht="19.5">
      <c r="O65" s="533"/>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row>
    <row customHeight="1" ht="14.25">
      <c r="O66" s="533"/>
      <c r="T66" s="1350"/>
      <c r="U66" s="1350"/>
      <c r="V66" s="1350"/>
      <c r="W66" s="1350"/>
      <c r="X66" s="1350"/>
      <c r="Y66" s="1350"/>
      <c r="Z66" s="1350"/>
      <c r="AA66" s="1350"/>
      <c r="AB66" s="1350"/>
      <c r="AC66" s="1350"/>
      <c r="AD66" s="1350"/>
      <c r="AE66" s="1350"/>
      <c r="AF66" s="1350"/>
      <c r="AG66" s="1350"/>
      <c r="AH66" s="1350"/>
      <c r="AI66" s="1350"/>
      <c r="AJ66" s="1350"/>
      <c r="AK66" s="1350"/>
      <c r="AL66" s="1350"/>
      <c r="AM66" s="1350"/>
      <c r="AN66" s="1350"/>
      <c r="AO66" s="1350"/>
      <c r="AP66" s="1350"/>
      <c r="AQ66" s="1350"/>
      <c r="AR66" s="1350"/>
      <c r="AS66" s="1350"/>
      <c r="AT66" s="1350"/>
      <c r="AU66" s="1350"/>
    </row>
    <row customHeight="1" ht="18.75">
      <c r="O67" s="533"/>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row>
    <row customHeight="1" ht="15.75">
      <c r="O68" s="533"/>
      <c r="T68" s="2088"/>
      <c r="U68" s="2088"/>
      <c r="V68" s="2088"/>
      <c r="W68" s="2088"/>
      <c r="X68" s="2088"/>
      <c r="Y68" s="2088"/>
      <c r="Z68" s="2088"/>
      <c r="AA68" s="2088"/>
      <c r="AB68" s="2088"/>
      <c r="AC68" s="2088"/>
      <c r="AD68" s="2088"/>
      <c r="AE68" s="2088"/>
      <c r="AF68" s="2088"/>
      <c r="AG68" s="2088"/>
      <c r="AH68" s="2088"/>
      <c r="AI68" s="2088"/>
      <c r="AJ68" s="2088"/>
      <c r="AK68" s="2088"/>
      <c r="AL68" s="2088"/>
      <c r="AM68" s="2088"/>
      <c r="AN68" s="2088"/>
      <c r="AO68" s="2088"/>
      <c r="AP68" s="2088"/>
      <c r="AQ68" s="2088"/>
      <c r="AR68" s="2088"/>
      <c r="AS68" s="2088"/>
      <c r="AT68" s="2088"/>
      <c r="AU68" s="2088"/>
    </row>
    <row customHeight="1" ht="14.25">
      <c r="O69" s="53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E10702-55BB-8DC7-6002-C7431D371C5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42">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40"/>
      <c r="Q3" s="340"/>
      <c r="R3" s="341"/>
      <c r="S3" s="1442">
        <f>INDEX(PT_DIFFERENTIATION_NUM_TER,MATCH(B3,PT_DIFFERENTIATION_TER_ID,0))</f>
      </c>
      <c r="T3" s="290" t="s">
        <v>411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412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42">
        <f>INDEX(PT_DIFFERENTIATION_NUM_CS,MATCH(C4,PT_DIFFERENTIATION_CS_ID,0))</f>
      </c>
      <c r="T4" s="291" t="s">
        <v>500</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501</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39"/>
      <c r="R5" s="344"/>
      <c r="S5" s="1442">
        <f>$I5</f>
      </c>
      <c r="T5" s="266" t="s">
        <v>502</v>
      </c>
      <c r="U5" s="280"/>
      <c r="V5" s="2176"/>
      <c r="W5" s="2177"/>
      <c r="X5" s="2177"/>
      <c r="Y5" s="2177"/>
      <c r="Z5" s="2177"/>
      <c r="AA5" s="2177"/>
      <c r="AB5" s="2178"/>
      <c r="AC5" s="2179"/>
      <c r="AD5" s="2180"/>
      <c r="AE5" s="2180"/>
      <c r="AF5" s="2180"/>
      <c r="AG5" s="2180"/>
      <c r="AH5" s="2180"/>
      <c r="AI5" s="2180"/>
      <c r="AJ5" s="2181"/>
      <c r="AK5" s="1273" t="s">
        <v>503</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420</v>
      </c>
      <c r="P6" s="2093"/>
      <c r="Q6" s="2093">
        <v>1</v>
      </c>
      <c r="R6" s="345"/>
      <c r="S6" s="1442">
        <f>$J6</f>
      </c>
      <c r="T6" s="267" t="s">
        <v>421</v>
      </c>
      <c r="U6" s="280"/>
      <c r="V6" s="2077"/>
      <c r="W6" s="2078"/>
      <c r="X6" s="2078"/>
      <c r="Y6" s="2078"/>
      <c r="Z6" s="2078"/>
      <c r="AA6" s="2078"/>
      <c r="AB6" s="2079"/>
      <c r="AC6" s="2077"/>
      <c r="AD6" s="2078"/>
      <c r="AE6" s="2078"/>
      <c r="AF6" s="2078"/>
      <c r="AG6" s="2078"/>
      <c r="AH6" s="2078"/>
      <c r="AI6" s="2078"/>
      <c r="AJ6" s="2079"/>
      <c r="AK6" s="1324" t="s">
        <v>504</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42">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41"/>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505</v>
      </c>
      <c r="U9" s="359"/>
      <c r="V9" s="359"/>
      <c r="W9" s="359"/>
      <c r="X9" s="359"/>
      <c r="Y9" s="359"/>
      <c r="Z9" s="359"/>
      <c r="AA9" s="359"/>
      <c r="AB9" s="359"/>
      <c r="AC9" s="359"/>
      <c r="AD9" s="359"/>
      <c r="AE9" s="359"/>
      <c r="AF9" s="359"/>
      <c r="AG9" s="359"/>
      <c r="AH9" s="359"/>
      <c r="AI9" s="359"/>
      <c r="AJ9" s="359"/>
      <c r="AK9" s="1273" t="s">
        <v>506</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39"/>
      <c r="R10" s="344"/>
      <c r="S10" s="1295"/>
      <c r="T10" s="356" t="s">
        <v>426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14.25" hidden="1">
      <c r="A11" s="1380"/>
      <c r="B11" s="1380"/>
      <c r="C11" s="1380"/>
      <c r="D11" s="1380"/>
      <c r="E11" s="2090"/>
      <c r="F11" s="2090"/>
      <c r="G11" s="2090"/>
      <c r="H11" s="2089"/>
      <c r="I11" s="1380"/>
      <c r="J11" s="1380"/>
      <c r="K11" s="1380"/>
      <c r="L11" s="1381"/>
      <c r="M11" s="1382"/>
      <c r="N11" s="1382"/>
      <c r="O11" s="533"/>
      <c r="P11" s="348"/>
      <c r="Q11" s="367"/>
      <c r="R11" s="343"/>
      <c r="S11" s="1295"/>
      <c r="T11" s="364" t="s">
        <v>507</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43"/>
      <c r="M12" s="1338"/>
      <c r="N12" s="1338"/>
      <c r="P12" s="1333"/>
      <c r="Q12" s="1334"/>
      <c r="R12" s="1333"/>
      <c r="S12" s="1339"/>
      <c r="T12" s="1342" t="s">
        <v>161</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162</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38"/>
      <c r="M18" s="1379"/>
      <c r="N18" s="1379"/>
      <c r="O18" s="1384" t="s">
        <v>428</v>
      </c>
      <c r="P18" s="1379"/>
      <c r="Q18" s="1388"/>
      <c r="R18" s="1388"/>
      <c r="S18" s="724"/>
      <c r="Y18" s="1384"/>
      <c r="AA18" s="1384"/>
      <c r="AB18" s="1383"/>
      <c r="AF18" s="1384"/>
      <c r="AH18" s="1384"/>
      <c r="AI18" s="1383"/>
      <c r="AL18" s="507"/>
      <c r="AM18" s="507"/>
      <c r="AN18" s="507"/>
      <c r="AO18" s="507"/>
      <c r="AP18" s="507"/>
    </row>
    <row s="1383" customFormat="1" customHeight="1" ht="14.25" hidden="1">
      <c r="L19" s="1438"/>
      <c r="M19" s="1379"/>
      <c r="N19" s="1379"/>
      <c r="O19" s="1379"/>
      <c r="P19" s="1379"/>
      <c r="Q19" s="1388"/>
      <c r="R19" s="1388"/>
      <c r="S19" s="724"/>
      <c r="AB19" s="1383"/>
      <c r="AI19" s="1383"/>
      <c r="AL19" s="507"/>
      <c r="AM19" s="507"/>
      <c r="AN19" s="507"/>
      <c r="AO19" s="507"/>
      <c r="AP19" s="507"/>
    </row>
    <row s="1383" customFormat="1" customHeight="1" ht="12" hidden="1">
      <c r="L20" s="1438"/>
      <c r="M20" s="1379"/>
      <c r="N20" s="1379"/>
      <c r="O20" s="1381" t="s">
        <v>429</v>
      </c>
      <c r="P20" s="1379"/>
      <c r="Q20" s="1459"/>
      <c r="R20" s="1459"/>
      <c r="S20" s="724"/>
      <c r="T20" s="1155" t="s">
        <v>430</v>
      </c>
      <c r="Z20" s="166" t="s">
        <v>431</v>
      </c>
      <c r="AB20" s="166" t="s">
        <v>432</v>
      </c>
      <c r="AC20" s="1155" t="s">
        <v>430</v>
      </c>
      <c r="AG20" s="166" t="s">
        <v>433</v>
      </c>
      <c r="AI20" s="166" t="s">
        <v>432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тарифам Санкт-Петербурга</v>
      </c>
      <c r="W27" s="2082"/>
      <c r="X27" s="2082"/>
      <c r="Y27" s="2082"/>
      <c r="Z27" s="2082"/>
      <c r="AA27" s="2082"/>
      <c r="AB27" s="314"/>
      <c r="AC27" s="2082" t="str">
        <f>IF(TITLE_NAME_OR_PR_CHANGE="",IF(TITLE_NAME_OR_PR="","",TITLE_NAME_OR_PR),TITLE_NAME_OR_PR_CHANGE)</f>
        <v>Комитет по тарифам Санкт-Петербурга</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434</v>
      </c>
      <c r="T28" s="2080"/>
      <c r="U28" s="1389"/>
      <c r="V28" s="2081" t="str">
        <f>IF(TITLE_DATE_PR_CHANGE="",IF(TITLE_DATE_PR="","",TITLE_DATE_PR),TITLE_DATE_PR_CHANGE)</f>
        <v>45280.49324074074</v>
      </c>
      <c r="W28" s="2081"/>
      <c r="X28" s="2081"/>
      <c r="Y28" s="2081"/>
      <c r="Z28" s="2081"/>
      <c r="AA28" s="2081"/>
      <c r="AB28" s="314"/>
      <c r="AC28" s="2081" t="str">
        <f>IF(TITLE_DATE_PR_CHANGE="",IF(TITLE_DATE_PR="","",TITLE_DATE_PR),TITLE_DATE_PR_CHANGE)</f>
        <v>45280.49324074074</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435</v>
      </c>
      <c r="T29" s="2080"/>
      <c r="U29" s="1389"/>
      <c r="V29" s="2082" t="str">
        <f>IF(TITLE_NUMBER_PR_CHANGE="",IF(TITLE_NUMBER_PR="","",TITLE_NUMBER_PR),TITLE_NUMBER_PR_CHANGE)</f>
        <v>262-р</v>
      </c>
      <c r="W29" s="2082"/>
      <c r="X29" s="2082"/>
      <c r="Y29" s="2082"/>
      <c r="Z29" s="2082"/>
      <c r="AA29" s="2082"/>
      <c r="AB29" s="314"/>
      <c r="AC29" s="2082" t="str">
        <f>IF(TITLE_NUMBER_PR_CHANGE="",IF(TITLE_NUMBER_PR="","",TITLE_NUMBER_PR),TITLE_NUMBER_PR_CHANGE)</f>
        <v>262-р</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https://www.gov.spb.ru/static/writable/documents/2023/12/22/%D0%BE%D1%82_20.12.2023__262-%D1%80.pdf</v>
      </c>
      <c r="W30" s="2082"/>
      <c r="X30" s="2082"/>
      <c r="Y30" s="2082"/>
      <c r="Z30" s="2082"/>
      <c r="AA30" s="2082"/>
      <c r="AB30" s="314"/>
      <c r="AC30" s="2082" t="str">
        <f>IF(TITLE_IST_PUB_CHANGE="",IF(TITLE_IST_PUB="","",TITLE_IST_PUB),TITLE_IST_PUB_CHANGE)</f>
        <v>https://www.gov.spb.ru/static/writable/documents/2023/12/22/%D0%BE%D1%82_20.12.2023__262-%D1%80.pdf</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436</v>
      </c>
      <c r="T32" s="2080"/>
      <c r="U32" s="1389"/>
      <c r="V32" s="2081" t="str">
        <f>IF(TITLE_DATE_PR_CHANGE="",IF(TITLE_DATE_PR="","",TITLE_DATE_PR),TITLE_DATE_PR_CHANGE)</f>
        <v>45280.49324074074</v>
      </c>
      <c r="W32" s="2081"/>
      <c r="X32" s="2081"/>
      <c r="Y32" s="2081"/>
      <c r="Z32" s="2081"/>
      <c r="AA32" s="2081"/>
      <c r="AB32" s="314"/>
      <c r="AC32" s="2081" t="str">
        <f>IF(TITLE_DATE_PR_CHANGE="",IF(TITLE_DATE_PR="","",TITLE_DATE_PR),TITLE_DATE_PR_CHANGE)</f>
        <v>45280.49324074074</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437</v>
      </c>
      <c r="T33" s="2080"/>
      <c r="U33" s="1389"/>
      <c r="V33" s="2082" t="str">
        <f>IF(TITLE_NUMBER_PR_CHANGE="",IF(TITLE_NUMBER_PR="","",TITLE_NUMBER_PR),TITLE_NUMBER_PR_CHANGE)</f>
        <v>262-р</v>
      </c>
      <c r="W33" s="2082"/>
      <c r="X33" s="2082"/>
      <c r="Y33" s="2082"/>
      <c r="Z33" s="2082"/>
      <c r="AA33" s="2082"/>
      <c r="AB33" s="314"/>
      <c r="AC33" s="2082" t="str">
        <f>IF(TITLE_NUMBER_PR_CHANGE="",IF(TITLE_NUMBER_PR="","",TITLE_NUMBER_PR),TITLE_NUMBER_PR_CHANGE)</f>
        <v>262-р</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372"/>
      <c r="V34" s="314"/>
      <c r="W34" s="314"/>
      <c r="X34" s="314"/>
      <c r="Y34" s="314"/>
      <c r="Z34" s="314"/>
      <c r="AA34" s="314"/>
      <c r="AB34" s="259" t="s">
        <v>438</v>
      </c>
      <c r="AC34" s="314"/>
      <c r="AD34" s="314"/>
      <c r="AE34" s="314"/>
      <c r="AF34" s="314"/>
      <c r="AG34" s="314"/>
      <c r="AH34" s="314"/>
      <c r="AI34" s="259" t="s">
        <v>438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312</v>
      </c>
      <c r="T36" s="1953"/>
      <c r="U36" s="1953"/>
      <c r="V36" s="1953"/>
      <c r="W36" s="1953"/>
      <c r="X36" s="1953"/>
      <c r="Y36" s="1953"/>
      <c r="Z36" s="1953"/>
      <c r="AA36" s="1953"/>
      <c r="AB36" s="1953"/>
      <c r="AC36" s="1953"/>
      <c r="AD36" s="1953"/>
      <c r="AE36" s="1953"/>
      <c r="AF36" s="1953"/>
      <c r="AG36" s="1953"/>
      <c r="AH36" s="1953"/>
      <c r="AI36" s="1953"/>
      <c r="AJ36" s="1953"/>
      <c r="AK36" s="1953" t="s">
        <v>313</v>
      </c>
    </row>
    <row customHeight="1" ht="14.25">
      <c r="Q37" s="368"/>
      <c r="R37" s="368"/>
      <c r="S37" s="2107" t="s">
        <v>87</v>
      </c>
      <c r="T37" s="2044" t="s">
        <v>439</v>
      </c>
      <c r="U37" s="281"/>
      <c r="V37" s="2108" t="s">
        <v>440</v>
      </c>
      <c r="W37" s="2109"/>
      <c r="X37" s="2109"/>
      <c r="Y37" s="2109"/>
      <c r="Z37" s="2109"/>
      <c r="AA37" s="2110"/>
      <c r="AB37" s="2111" t="s">
        <v>441</v>
      </c>
      <c r="AC37" s="2108" t="s">
        <v>440</v>
      </c>
      <c r="AD37" s="2109"/>
      <c r="AE37" s="2109"/>
      <c r="AF37" s="2109"/>
      <c r="AG37" s="2109"/>
      <c r="AH37" s="2110"/>
      <c r="AI37" s="2111" t="s">
        <v>442</v>
      </c>
      <c r="AJ37" s="2114" t="s">
        <v>443</v>
      </c>
      <c r="AK37" s="1953"/>
    </row>
    <row customHeight="1" ht="33.75">
      <c r="Q38" s="368"/>
      <c r="R38" s="368"/>
      <c r="S38" s="2107"/>
      <c r="T38" s="2044"/>
      <c r="U38" s="1026"/>
      <c r="V38" s="1369" t="s">
        <v>508</v>
      </c>
      <c r="W38" s="2100" t="s">
        <v>446</v>
      </c>
      <c r="X38" s="2102"/>
      <c r="Y38" s="2100" t="s">
        <v>447</v>
      </c>
      <c r="Z38" s="2101"/>
      <c r="AA38" s="2102"/>
      <c r="AB38" s="2112"/>
      <c r="AC38" s="1369" t="s">
        <v>508</v>
      </c>
      <c r="AD38" s="2100" t="s">
        <v>446</v>
      </c>
      <c r="AE38" s="2102"/>
      <c r="AF38" s="2100" t="s">
        <v>447</v>
      </c>
      <c r="AG38" s="2101"/>
      <c r="AH38" s="2102"/>
      <c r="AI38" s="2112"/>
      <c r="AJ38" s="2115"/>
      <c r="AK38" s="1953"/>
    </row>
    <row customHeight="1" ht="33.75">
      <c r="A39" s="1387"/>
      <c r="B39" s="1387" t="s">
        <v>134</v>
      </c>
      <c r="C39" s="1387" t="s">
        <v>135</v>
      </c>
      <c r="D39" s="1387" t="s">
        <v>136</v>
      </c>
      <c r="E39" s="1381" t="s">
        <v>448</v>
      </c>
      <c r="F39" s="1381" t="s">
        <v>449</v>
      </c>
      <c r="G39" s="1381" t="s">
        <v>450</v>
      </c>
      <c r="H39" s="1381"/>
      <c r="I39" s="1381" t="s">
        <v>509</v>
      </c>
      <c r="J39" s="1381" t="s">
        <v>453</v>
      </c>
      <c r="K39" s="1381" t="s">
        <v>510</v>
      </c>
      <c r="L39" s="1381" t="s">
        <v>429</v>
      </c>
      <c r="Q39" s="368"/>
      <c r="R39" s="368"/>
      <c r="S39" s="2107"/>
      <c r="T39" s="2044"/>
      <c r="U39" s="282"/>
      <c r="V39" s="1369" t="s">
        <v>511</v>
      </c>
      <c r="W39" s="1224" t="s">
        <v>512</v>
      </c>
      <c r="X39" s="1224" t="s">
        <v>513</v>
      </c>
      <c r="Y39" s="1374" t="s">
        <v>457</v>
      </c>
      <c r="Z39" s="2103" t="s">
        <v>458</v>
      </c>
      <c r="AA39" s="2104"/>
      <c r="AB39" s="2113"/>
      <c r="AC39" s="1369" t="s">
        <v>511</v>
      </c>
      <c r="AD39" s="1224" t="s">
        <v>512</v>
      </c>
      <c r="AE39" s="1224" t="s">
        <v>513</v>
      </c>
      <c r="AF39" s="1374" t="s">
        <v>457</v>
      </c>
      <c r="AG39" s="2103" t="s">
        <v>458</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370">
        <f>OFFSET(V40,0,-1)+1</f>
        <v>3</v>
      </c>
      <c r="W40" s="1370">
        <f>OFFSET(W40,0,-1)+1</f>
        <v>4</v>
      </c>
      <c r="X40" s="1370">
        <f>OFFSET(X40,0,-1)+1</f>
        <v>5</v>
      </c>
      <c r="Y40" s="1370">
        <f>OFFSET(Y40,0,-1)+1</f>
        <v>6</v>
      </c>
      <c r="Z40" s="2105">
        <f>OFFSET(Z40,0,-1)+1</f>
        <v>7</v>
      </c>
      <c r="AA40" s="2105"/>
      <c r="AB40" s="1370">
        <f>OFFSET(AB40,0,-2)+1</f>
        <v>8</v>
      </c>
      <c r="AC40" s="1370">
        <f>OFFSET(AC40,0,-1)+1</f>
        <v>9</v>
      </c>
      <c r="AD40" s="1370">
        <f>OFFSET(AD40,0,-1)+1</f>
        <v>10</v>
      </c>
      <c r="AE40" s="1370">
        <f>OFFSET(AE40,0,-1)+1</f>
        <v>11</v>
      </c>
      <c r="AF40" s="1370">
        <f>OFFSET(AF40,0,-1)+1</f>
        <v>12</v>
      </c>
      <c r="AG40" s="2105">
        <f>OFFSET(AG40,0,-1)+1</f>
        <v>13</v>
      </c>
      <c r="AH40" s="2105"/>
      <c r="AI40" s="1370">
        <f>OFFSET(AI40,0,-2)+1</f>
        <v>14</v>
      </c>
      <c r="AJ40" s="1250">
        <f>OFFSET(AJ40,0,-1)</f>
        <v>14</v>
      </c>
      <c r="AK40" s="1370">
        <f>OFFSET(AK40,0,-1)+1</f>
        <v>15</v>
      </c>
      <c r="AL40" s="507"/>
      <c r="AM40" s="507"/>
      <c r="AN40" s="507"/>
      <c r="AO40" s="507"/>
      <c r="AP40" s="507"/>
    </row>
    <row customHeight="1" ht="23.25">
      <c r="A41" s="1380" t="s">
        <v>238</v>
      </c>
      <c r="B41" s="1380"/>
      <c r="C41" s="1380"/>
      <c r="D41" s="1380"/>
      <c r="E41" s="2089">
        <v>1</v>
      </c>
      <c r="F41" s="1380"/>
      <c r="G41" s="1380"/>
      <c r="H41" s="1380"/>
      <c r="I41" s="1380"/>
      <c r="J41" s="1380"/>
      <c r="K41" s="1380"/>
      <c r="L41" s="1381"/>
      <c r="M41" s="1382"/>
      <c r="N41" s="1382"/>
      <c r="O41" s="1382"/>
      <c r="P41" s="349"/>
      <c r="Q41" s="348"/>
      <c r="R41" s="343"/>
      <c r="S41" s="1375">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238</v>
      </c>
      <c r="B42" s="1380" t="s">
        <v>239</v>
      </c>
      <c r="C42" s="1380"/>
      <c r="D42" s="1380"/>
      <c r="E42" s="2090"/>
      <c r="F42" s="2089">
        <v>1</v>
      </c>
      <c r="G42" s="1380"/>
      <c r="H42" s="1380"/>
      <c r="I42" s="1380"/>
      <c r="J42" s="1380"/>
      <c r="K42" s="1380"/>
      <c r="L42" s="1381"/>
      <c r="M42" s="1382"/>
      <c r="N42" s="1382"/>
      <c r="O42" s="1382"/>
      <c r="P42" s="1373"/>
      <c r="Q42" s="340"/>
      <c r="R42" s="341"/>
      <c r="S42" s="1375" t="str">
        <f>INDEX(PT_DIFFERENTIATION_NUM_TER,MATCH(B42,PT_DIFFERENTIATION_TER_ID,0))</f>
        <v>.</v>
      </c>
      <c r="T42" s="290" t="s">
        <v>411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412</v>
      </c>
      <c r="AM42" s="496"/>
      <c r="AN42" s="496" t="str">
        <f>IF(T42="","",T42)</f>
        <v>Территория действия тарифа</v>
      </c>
      <c r="AO42" s="496"/>
      <c r="AP42" s="496"/>
    </row>
    <row customHeight="1" ht="23.25">
      <c r="A43" s="1380" t="s">
        <v>238</v>
      </c>
      <c r="B43" s="1380" t="s">
        <v>239</v>
      </c>
      <c r="C43" s="1380" t="s">
        <v>240</v>
      </c>
      <c r="D43" s="1380"/>
      <c r="E43" s="2090"/>
      <c r="F43" s="2090"/>
      <c r="G43" s="2089">
        <v>1</v>
      </c>
      <c r="H43" s="1380"/>
      <c r="I43" s="1380"/>
      <c r="J43" s="1380"/>
      <c r="K43" s="1380"/>
      <c r="L43" s="1381"/>
      <c r="M43" s="1382"/>
      <c r="N43" s="1382"/>
      <c r="O43" s="1382"/>
      <c r="P43" s="342"/>
      <c r="Q43" s="340"/>
      <c r="R43" s="341"/>
      <c r="S43" s="1375" t="str">
        <f>INDEX(PT_DIFFERENTIATION_NUM_CS,MATCH(C43,PT_DIFFERENTIATION_CS_ID,0))</f>
        <v>..</v>
      </c>
      <c r="T43" s="291" t="s">
        <v>500</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501</v>
      </c>
      <c r="AM43" s="496"/>
      <c r="AN43" s="496" t="str">
        <f>IF(T43="","",T43)</f>
        <v>Наименование централизованной системы холодного водоснабжения</v>
      </c>
      <c r="AO43" s="496"/>
      <c r="AP43" s="496"/>
    </row>
    <row customHeight="1" ht="23.25">
      <c r="A44" s="1380" t="s">
        <v>238</v>
      </c>
      <c r="B44" s="1380" t="s">
        <v>239</v>
      </c>
      <c r="C44" s="1380" t="s">
        <v>240</v>
      </c>
      <c r="D44" s="1380" t="s">
        <v>514</v>
      </c>
      <c r="E44" s="2090"/>
      <c r="F44" s="2090"/>
      <c r="G44" s="2090"/>
      <c r="H44" s="2090"/>
      <c r="I44" s="2091" t="str">
        <f>S43&amp;".1"</f>
        <v>...1</v>
      </c>
      <c r="J44" s="1380"/>
      <c r="K44" s="1380"/>
      <c r="L44" s="1381"/>
      <c r="P44" s="2093">
        <v>1</v>
      </c>
      <c r="Q44" s="1371"/>
      <c r="R44" s="344"/>
      <c r="S44" s="1375" t="str">
        <f>$I44</f>
        <v>...1</v>
      </c>
      <c r="T44" s="266" t="s">
        <v>502</v>
      </c>
      <c r="U44" s="280"/>
      <c r="V44" s="2176"/>
      <c r="W44" s="2177"/>
      <c r="X44" s="2177"/>
      <c r="Y44" s="2177"/>
      <c r="Z44" s="2177"/>
      <c r="AA44" s="2177"/>
      <c r="AB44" s="2178"/>
      <c r="AC44" s="2179"/>
      <c r="AD44" s="2180"/>
      <c r="AE44" s="2180"/>
      <c r="AF44" s="2180"/>
      <c r="AG44" s="2180"/>
      <c r="AH44" s="2180"/>
      <c r="AI44" s="2180"/>
      <c r="AJ44" s="2181"/>
      <c r="AK44" s="1273" t="s">
        <v>503</v>
      </c>
      <c r="AM44" s="496"/>
      <c r="AN44" s="496" t="str">
        <f>IF(T44="","",T44)</f>
        <v>Наименование признака дифференциации</v>
      </c>
      <c r="AO44" s="496"/>
      <c r="AP44" s="496"/>
    </row>
    <row customHeight="1" ht="23.25">
      <c r="A45" s="1380" t="s">
        <v>238</v>
      </c>
      <c r="B45" s="1380" t="s">
        <v>239</v>
      </c>
      <c r="C45" s="1380" t="s">
        <v>240</v>
      </c>
      <c r="D45" s="1380" t="s">
        <v>514</v>
      </c>
      <c r="E45" s="2090"/>
      <c r="F45" s="2090"/>
      <c r="G45" s="2090"/>
      <c r="H45" s="2090"/>
      <c r="I45" s="2092"/>
      <c r="J45" s="2091" t="str">
        <f>I44&amp;".1"</f>
        <v>...1.1</v>
      </c>
      <c r="K45" s="1380"/>
      <c r="L45" s="1381" t="s">
        <v>420</v>
      </c>
      <c r="P45" s="2093"/>
      <c r="Q45" s="2093">
        <v>1</v>
      </c>
      <c r="R45" s="345"/>
      <c r="S45" s="1375" t="str">
        <f>$J45</f>
        <v>...1.1</v>
      </c>
      <c r="T45" s="267" t="s">
        <v>421</v>
      </c>
      <c r="U45" s="280"/>
      <c r="V45" s="2077"/>
      <c r="W45" s="2078"/>
      <c r="X45" s="2078"/>
      <c r="Y45" s="2078"/>
      <c r="Z45" s="2078"/>
      <c r="AA45" s="2078"/>
      <c r="AB45" s="2079"/>
      <c r="AC45" s="2077"/>
      <c r="AD45" s="2078"/>
      <c r="AE45" s="2078"/>
      <c r="AF45" s="2078"/>
      <c r="AG45" s="2078"/>
      <c r="AH45" s="2078"/>
      <c r="AI45" s="2078"/>
      <c r="AJ45" s="2079"/>
      <c r="AK45" s="1324" t="s">
        <v>504</v>
      </c>
      <c r="AM45" s="496"/>
      <c r="AN45" s="496" t="str">
        <f>IF(T45="","",T45)</f>
        <v>Группа потребителей</v>
      </c>
      <c r="AO45" s="496"/>
      <c r="AP45" s="496"/>
    </row>
    <row customHeight="1" ht="23.25">
      <c r="A46" s="1380" t="s">
        <v>238</v>
      </c>
      <c r="B46" s="1380" t="s">
        <v>239</v>
      </c>
      <c r="C46" s="1380" t="s">
        <v>240</v>
      </c>
      <c r="D46" s="1380" t="s">
        <v>514</v>
      </c>
      <c r="E46" s="2090"/>
      <c r="F46" s="2090"/>
      <c r="G46" s="2090"/>
      <c r="H46" s="2090"/>
      <c r="I46" s="2092"/>
      <c r="J46" s="2092"/>
      <c r="K46" s="2091" t="str">
        <f>J45&amp;".1"</f>
        <v>...1.1.1</v>
      </c>
      <c r="L46" s="1381"/>
      <c r="P46" s="2093"/>
      <c r="Q46" s="2093"/>
      <c r="R46" s="345">
        <v>1</v>
      </c>
      <c r="S46" s="1375" t="str">
        <f>$K46</f>
        <v>...1.1.1</v>
      </c>
      <c r="T46" s="1454"/>
      <c r="U46" s="280"/>
      <c r="V46" s="1377"/>
      <c r="W46" s="1377"/>
      <c r="X46" s="1378"/>
      <c r="Y46" s="2087"/>
      <c r="Z46" s="2086" t="s">
        <v>61</v>
      </c>
      <c r="AA46" s="2087"/>
      <c r="AB46" s="2086" t="s">
        <v>61</v>
      </c>
      <c r="AC46" s="746"/>
      <c r="AD46" s="746"/>
      <c r="AE46" s="1272"/>
      <c r="AF46" s="2094"/>
      <c r="AG46" s="1963" t="s">
        <v>61</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238</v>
      </c>
      <c r="B47" s="1380" t="s">
        <v>239</v>
      </c>
      <c r="C47" s="1380" t="s">
        <v>240</v>
      </c>
      <c r="D47" s="1380" t="s">
        <v>514</v>
      </c>
      <c r="E47" s="2090"/>
      <c r="F47" s="2090"/>
      <c r="G47" s="2090"/>
      <c r="H47" s="2090"/>
      <c r="I47" s="2092"/>
      <c r="J47" s="2092"/>
      <c r="K47" s="2091"/>
      <c r="L47" s="1381"/>
      <c r="P47" s="2093"/>
      <c r="Q47" s="2093"/>
      <c r="R47" s="345"/>
      <c r="S47" s="1376"/>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238</v>
      </c>
      <c r="B48" s="1380" t="s">
        <v>239</v>
      </c>
      <c r="C48" s="1380" t="s">
        <v>240</v>
      </c>
      <c r="D48" s="1380" t="s">
        <v>514</v>
      </c>
      <c r="E48" s="2090"/>
      <c r="F48" s="2090"/>
      <c r="G48" s="2090"/>
      <c r="H48" s="2090"/>
      <c r="I48" s="2092"/>
      <c r="J48" s="2091"/>
      <c r="K48" s="1380"/>
      <c r="L48" s="1381"/>
      <c r="P48" s="2093"/>
      <c r="Q48" s="2093"/>
      <c r="R48" s="344"/>
      <c r="S48" s="1295"/>
      <c r="T48" s="268" t="s">
        <v>505</v>
      </c>
      <c r="U48" s="359"/>
      <c r="V48" s="359"/>
      <c r="W48" s="359"/>
      <c r="X48" s="359"/>
      <c r="Y48" s="359"/>
      <c r="Z48" s="359"/>
      <c r="AA48" s="359"/>
      <c r="AB48" s="359"/>
      <c r="AC48" s="359"/>
      <c r="AD48" s="359"/>
      <c r="AE48" s="359"/>
      <c r="AF48" s="359"/>
      <c r="AG48" s="359"/>
      <c r="AH48" s="359"/>
      <c r="AI48" s="359"/>
      <c r="AJ48" s="359"/>
      <c r="AK48" s="1273" t="s">
        <v>506</v>
      </c>
      <c r="AM48" s="496"/>
      <c r="AN48" s="496" t="str">
        <f>IF(T48="","",T48)</f>
        <v>Добавить значение признака дифференциации</v>
      </c>
      <c r="AO48" s="496"/>
      <c r="AP48" s="496"/>
    </row>
    <row customHeight="1" ht="21">
      <c r="A49" s="1380" t="s">
        <v>238</v>
      </c>
      <c r="B49" s="1380" t="s">
        <v>239</v>
      </c>
      <c r="C49" s="1380" t="s">
        <v>240</v>
      </c>
      <c r="D49" s="1380" t="s">
        <v>514</v>
      </c>
      <c r="E49" s="2090"/>
      <c r="F49" s="2090"/>
      <c r="G49" s="2090"/>
      <c r="H49" s="2090"/>
      <c r="I49" s="2091"/>
      <c r="J49" s="1380"/>
      <c r="K49" s="1380"/>
      <c r="L49" s="1381"/>
      <c r="P49" s="2093"/>
      <c r="Q49" s="1371"/>
      <c r="R49" s="344"/>
      <c r="S49" s="1295"/>
      <c r="T49" s="356" t="s">
        <v>426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238</v>
      </c>
      <c r="B50" s="1380" t="s">
        <v>239</v>
      </c>
      <c r="C50" s="1380" t="s">
        <v>240</v>
      </c>
      <c r="D50" s="1380" t="s">
        <v>514</v>
      </c>
      <c r="E50" s="2090"/>
      <c r="F50" s="2090"/>
      <c r="G50" s="2090"/>
      <c r="H50" s="2089"/>
      <c r="I50" s="1380"/>
      <c r="J50" s="1380"/>
      <c r="K50" s="1380"/>
      <c r="L50" s="1381"/>
      <c r="M50" s="1382"/>
      <c r="N50" s="1382"/>
      <c r="O50" s="533"/>
      <c r="P50" s="348"/>
      <c r="Q50" s="367"/>
      <c r="R50" s="343"/>
      <c r="S50" s="1295"/>
      <c r="T50" s="364" t="s">
        <v>507</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238</v>
      </c>
      <c r="B51" s="1360" t="s">
        <v>239</v>
      </c>
      <c r="C51" s="1331"/>
      <c r="D51" s="1331"/>
      <c r="E51" s="2090"/>
      <c r="F51" s="2089"/>
      <c r="G51" s="1331"/>
      <c r="H51" s="1331"/>
      <c r="I51" s="1331"/>
      <c r="J51" s="1331"/>
      <c r="K51" s="1331"/>
      <c r="L51" s="1443"/>
      <c r="M51" s="1338"/>
      <c r="N51" s="1338"/>
      <c r="P51" s="1333"/>
      <c r="Q51" s="1334"/>
      <c r="R51" s="1333"/>
      <c r="S51" s="1339"/>
      <c r="T51" s="1342" t="s">
        <v>161</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238</v>
      </c>
      <c r="B52" s="1360"/>
      <c r="C52" s="1360"/>
      <c r="D52" s="1360"/>
      <c r="E52" s="2089"/>
      <c r="F52" s="1360"/>
      <c r="G52" s="1360"/>
      <c r="H52" s="1360"/>
      <c r="I52" s="1360"/>
      <c r="J52" s="1360"/>
      <c r="K52" s="1360"/>
      <c r="L52" s="1363"/>
      <c r="M52" s="1338"/>
      <c r="N52" s="1338"/>
      <c r="O52" s="514"/>
      <c r="P52" s="376"/>
      <c r="Q52" s="1361"/>
      <c r="R52" s="376"/>
      <c r="S52" s="1339"/>
      <c r="T52" s="1342" t="s">
        <v>162</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43"/>
      <c r="M53" s="1338"/>
      <c r="N53" s="1338"/>
      <c r="P53" s="1333"/>
      <c r="Q53" s="1334"/>
      <c r="R53" s="1333"/>
      <c r="S53" s="1339"/>
      <c r="T53" s="1342" t="s">
        <v>179</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9F6FEC-0BBD-8066-834E-673474B49AD3}"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411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412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500</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501</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502</v>
      </c>
      <c r="U5" s="280"/>
      <c r="V5" s="2176"/>
      <c r="W5" s="2177"/>
      <c r="X5" s="2177"/>
      <c r="Y5" s="2177"/>
      <c r="Z5" s="2177"/>
      <c r="AA5" s="2177"/>
      <c r="AB5" s="2178"/>
      <c r="AC5" s="2179"/>
      <c r="AD5" s="2180"/>
      <c r="AE5" s="2180"/>
      <c r="AF5" s="2180"/>
      <c r="AG5" s="2180"/>
      <c r="AH5" s="2180"/>
      <c r="AI5" s="2180"/>
      <c r="AJ5" s="2181"/>
      <c r="AK5" s="1273" t="s">
        <v>503</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420</v>
      </c>
      <c r="P6" s="2093"/>
      <c r="Q6" s="2093">
        <v>1</v>
      </c>
      <c r="R6" s="345"/>
      <c r="S6" s="1474">
        <f>$J6</f>
      </c>
      <c r="T6" s="267" t="s">
        <v>421</v>
      </c>
      <c r="U6" s="280"/>
      <c r="V6" s="2077"/>
      <c r="W6" s="2078"/>
      <c r="X6" s="2078"/>
      <c r="Y6" s="2078"/>
      <c r="Z6" s="2078"/>
      <c r="AA6" s="2078"/>
      <c r="AB6" s="2079"/>
      <c r="AC6" s="2077"/>
      <c r="AD6" s="2078"/>
      <c r="AE6" s="2078"/>
      <c r="AF6" s="2078"/>
      <c r="AG6" s="2078"/>
      <c r="AH6" s="2078"/>
      <c r="AI6" s="2078"/>
      <c r="AJ6" s="2079"/>
      <c r="AK6" s="1324" t="s">
        <v>504</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505</v>
      </c>
      <c r="U9" s="359"/>
      <c r="V9" s="359"/>
      <c r="W9" s="359"/>
      <c r="X9" s="359"/>
      <c r="Y9" s="359"/>
      <c r="Z9" s="359"/>
      <c r="AA9" s="359"/>
      <c r="AB9" s="359"/>
      <c r="AC9" s="359"/>
      <c r="AD9" s="359"/>
      <c r="AE9" s="359"/>
      <c r="AF9" s="359"/>
      <c r="AG9" s="359"/>
      <c r="AH9" s="359"/>
      <c r="AI9" s="359"/>
      <c r="AJ9" s="359"/>
      <c r="AK9" s="1273" t="s">
        <v>506</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426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507</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161</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162</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428</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429</v>
      </c>
      <c r="P20" s="1379"/>
      <c r="Q20" s="1459"/>
      <c r="R20" s="1459"/>
      <c r="S20" s="724"/>
      <c r="T20" s="1155" t="s">
        <v>430</v>
      </c>
      <c r="Z20" s="166" t="s">
        <v>431</v>
      </c>
      <c r="AB20" s="166" t="s">
        <v>432</v>
      </c>
      <c r="AC20" s="1155" t="s">
        <v>430</v>
      </c>
      <c r="AG20" s="166" t="s">
        <v>433</v>
      </c>
      <c r="AI20" s="166" t="s">
        <v>432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тарифам Санкт-Петербурга</v>
      </c>
      <c r="W27" s="2082"/>
      <c r="X27" s="2082"/>
      <c r="Y27" s="2082"/>
      <c r="Z27" s="2082"/>
      <c r="AA27" s="2082"/>
      <c r="AB27" s="314"/>
      <c r="AC27" s="2082" t="str">
        <f>IF(TITLE_NAME_OR_PR_CHANGE="",IF(TITLE_NAME_OR_PR="","",TITLE_NAME_OR_PR),TITLE_NAME_OR_PR_CHANGE)</f>
        <v>Комитет по тарифам Санкт-Петербурга</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434</v>
      </c>
      <c r="T28" s="2080"/>
      <c r="U28" s="1389"/>
      <c r="V28" s="2081" t="str">
        <f>IF(TITLE_DATE_PR_CHANGE="",IF(TITLE_DATE_PR="","",TITLE_DATE_PR),TITLE_DATE_PR_CHANGE)</f>
        <v>45280.49324074074</v>
      </c>
      <c r="W28" s="2081"/>
      <c r="X28" s="2081"/>
      <c r="Y28" s="2081"/>
      <c r="Z28" s="2081"/>
      <c r="AA28" s="2081"/>
      <c r="AB28" s="314"/>
      <c r="AC28" s="2081" t="str">
        <f>IF(TITLE_DATE_PR_CHANGE="",IF(TITLE_DATE_PR="","",TITLE_DATE_PR),TITLE_DATE_PR_CHANGE)</f>
        <v>45280.49324074074</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435</v>
      </c>
      <c r="T29" s="2080"/>
      <c r="U29" s="1389"/>
      <c r="V29" s="2082" t="str">
        <f>IF(TITLE_NUMBER_PR_CHANGE="",IF(TITLE_NUMBER_PR="","",TITLE_NUMBER_PR),TITLE_NUMBER_PR_CHANGE)</f>
        <v>262-р</v>
      </c>
      <c r="W29" s="2082"/>
      <c r="X29" s="2082"/>
      <c r="Y29" s="2082"/>
      <c r="Z29" s="2082"/>
      <c r="AA29" s="2082"/>
      <c r="AB29" s="314"/>
      <c r="AC29" s="2082" t="str">
        <f>IF(TITLE_NUMBER_PR_CHANGE="",IF(TITLE_NUMBER_PR="","",TITLE_NUMBER_PR),TITLE_NUMBER_PR_CHANGE)</f>
        <v>262-р</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https://www.gov.spb.ru/static/writable/documents/2023/12/22/%D0%BE%D1%82_20.12.2023__262-%D1%80.pdf</v>
      </c>
      <c r="W30" s="2082"/>
      <c r="X30" s="2082"/>
      <c r="Y30" s="2082"/>
      <c r="Z30" s="2082"/>
      <c r="AA30" s="2082"/>
      <c r="AB30" s="314"/>
      <c r="AC30" s="2082" t="str">
        <f>IF(TITLE_IST_PUB_CHANGE="",IF(TITLE_IST_PUB="","",TITLE_IST_PUB),TITLE_IST_PUB_CHANGE)</f>
        <v>https://www.gov.spb.ru/static/writable/documents/2023/12/22/%D0%BE%D1%82_20.12.2023__262-%D1%80.pdf</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436</v>
      </c>
      <c r="T32" s="2080"/>
      <c r="U32" s="1389"/>
      <c r="V32" s="2081" t="str">
        <f>IF(TITLE_DATE_PR_CHANGE="",IF(TITLE_DATE_PR="","",TITLE_DATE_PR),TITLE_DATE_PR_CHANGE)</f>
        <v>45280.49324074074</v>
      </c>
      <c r="W32" s="2081"/>
      <c r="X32" s="2081"/>
      <c r="Y32" s="2081"/>
      <c r="Z32" s="2081"/>
      <c r="AA32" s="2081"/>
      <c r="AB32" s="314"/>
      <c r="AC32" s="2081" t="str">
        <f>IF(TITLE_DATE_PR_CHANGE="",IF(TITLE_DATE_PR="","",TITLE_DATE_PR),TITLE_DATE_PR_CHANGE)</f>
        <v>45280.49324074074</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437</v>
      </c>
      <c r="T33" s="2080"/>
      <c r="U33" s="1389"/>
      <c r="V33" s="2082" t="str">
        <f>IF(TITLE_NUMBER_PR_CHANGE="",IF(TITLE_NUMBER_PR="","",TITLE_NUMBER_PR),TITLE_NUMBER_PR_CHANGE)</f>
        <v>262-р</v>
      </c>
      <c r="W33" s="2082"/>
      <c r="X33" s="2082"/>
      <c r="Y33" s="2082"/>
      <c r="Z33" s="2082"/>
      <c r="AA33" s="2082"/>
      <c r="AB33" s="314"/>
      <c r="AC33" s="2082" t="str">
        <f>IF(TITLE_NUMBER_PR_CHANGE="",IF(TITLE_NUMBER_PR="","",TITLE_NUMBER_PR),TITLE_NUMBER_PR_CHANGE)</f>
        <v>262-р</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438</v>
      </c>
      <c r="AC34" s="314"/>
      <c r="AD34" s="314"/>
      <c r="AE34" s="314"/>
      <c r="AF34" s="314"/>
      <c r="AG34" s="314"/>
      <c r="AH34" s="314"/>
      <c r="AI34" s="259" t="s">
        <v>438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312</v>
      </c>
      <c r="T36" s="1953"/>
      <c r="U36" s="1953"/>
      <c r="V36" s="1953"/>
      <c r="W36" s="1953"/>
      <c r="X36" s="1953"/>
      <c r="Y36" s="1953"/>
      <c r="Z36" s="1953"/>
      <c r="AA36" s="1953"/>
      <c r="AB36" s="1953"/>
      <c r="AC36" s="1953"/>
      <c r="AD36" s="1953"/>
      <c r="AE36" s="1953"/>
      <c r="AF36" s="1953"/>
      <c r="AG36" s="1953"/>
      <c r="AH36" s="1953"/>
      <c r="AI36" s="1953"/>
      <c r="AJ36" s="1953"/>
      <c r="AK36" s="1953" t="s">
        <v>313</v>
      </c>
    </row>
    <row customHeight="1" ht="14.25">
      <c r="Q37" s="368"/>
      <c r="R37" s="368"/>
      <c r="S37" s="2107" t="s">
        <v>87</v>
      </c>
      <c r="T37" s="2044" t="s">
        <v>439</v>
      </c>
      <c r="U37" s="281"/>
      <c r="V37" s="2108" t="s">
        <v>440</v>
      </c>
      <c r="W37" s="2109"/>
      <c r="X37" s="2109"/>
      <c r="Y37" s="2109"/>
      <c r="Z37" s="2109"/>
      <c r="AA37" s="2110"/>
      <c r="AB37" s="2111" t="s">
        <v>441</v>
      </c>
      <c r="AC37" s="2108" t="s">
        <v>440</v>
      </c>
      <c r="AD37" s="2109"/>
      <c r="AE37" s="2109"/>
      <c r="AF37" s="2109"/>
      <c r="AG37" s="2109"/>
      <c r="AH37" s="2110"/>
      <c r="AI37" s="2111" t="s">
        <v>442</v>
      </c>
      <c r="AJ37" s="2114" t="s">
        <v>443</v>
      </c>
      <c r="AK37" s="1953"/>
    </row>
    <row customHeight="1" ht="33.75">
      <c r="Q38" s="368"/>
      <c r="R38" s="368"/>
      <c r="S38" s="2107"/>
      <c r="T38" s="2044"/>
      <c r="U38" s="1026"/>
      <c r="V38" s="1469" t="s">
        <v>508</v>
      </c>
      <c r="W38" s="2100" t="s">
        <v>446</v>
      </c>
      <c r="X38" s="2102"/>
      <c r="Y38" s="2100" t="s">
        <v>447</v>
      </c>
      <c r="Z38" s="2101"/>
      <c r="AA38" s="2102"/>
      <c r="AB38" s="2112"/>
      <c r="AC38" s="1469" t="s">
        <v>508</v>
      </c>
      <c r="AD38" s="2100" t="s">
        <v>446</v>
      </c>
      <c r="AE38" s="2102"/>
      <c r="AF38" s="2100" t="s">
        <v>447</v>
      </c>
      <c r="AG38" s="2101"/>
      <c r="AH38" s="2102"/>
      <c r="AI38" s="2112"/>
      <c r="AJ38" s="2115"/>
      <c r="AK38" s="1953"/>
    </row>
    <row customHeight="1" ht="33.75">
      <c r="A39" s="1387"/>
      <c r="B39" s="1387" t="s">
        <v>134</v>
      </c>
      <c r="C39" s="1387" t="s">
        <v>135</v>
      </c>
      <c r="D39" s="1387" t="s">
        <v>136</v>
      </c>
      <c r="E39" s="1381" t="s">
        <v>448</v>
      </c>
      <c r="F39" s="1381" t="s">
        <v>449</v>
      </c>
      <c r="G39" s="1381" t="s">
        <v>450</v>
      </c>
      <c r="H39" s="1381"/>
      <c r="I39" s="1381" t="s">
        <v>509</v>
      </c>
      <c r="J39" s="1381" t="s">
        <v>453</v>
      </c>
      <c r="K39" s="1381" t="s">
        <v>510</v>
      </c>
      <c r="L39" s="1381" t="s">
        <v>429</v>
      </c>
      <c r="Q39" s="368"/>
      <c r="R39" s="368"/>
      <c r="S39" s="2107"/>
      <c r="T39" s="2044"/>
      <c r="U39" s="282"/>
      <c r="V39" s="1469" t="s">
        <v>511</v>
      </c>
      <c r="W39" s="1224" t="s">
        <v>512</v>
      </c>
      <c r="X39" s="1224" t="s">
        <v>513</v>
      </c>
      <c r="Y39" s="1472" t="s">
        <v>457</v>
      </c>
      <c r="Z39" s="2103" t="s">
        <v>458</v>
      </c>
      <c r="AA39" s="2104"/>
      <c r="AB39" s="2113"/>
      <c r="AC39" s="1469" t="s">
        <v>511</v>
      </c>
      <c r="AD39" s="1224" t="s">
        <v>512</v>
      </c>
      <c r="AE39" s="1224" t="s">
        <v>513</v>
      </c>
      <c r="AF39" s="1472" t="s">
        <v>457</v>
      </c>
      <c r="AG39" s="2103" t="s">
        <v>458</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243</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243</v>
      </c>
      <c r="B42" s="1380" t="s">
        <v>244</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411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412</v>
      </c>
      <c r="AM42" s="496"/>
      <c r="AN42" s="496" t="str">
        <f>IF(T42="","",T42)</f>
        <v>Территория действия тарифа</v>
      </c>
      <c r="AO42" s="496"/>
      <c r="AP42" s="496"/>
    </row>
    <row customHeight="1" ht="23.25">
      <c r="A43" s="1380" t="s">
        <v>243</v>
      </c>
      <c r="B43" s="1380" t="s">
        <v>244</v>
      </c>
      <c r="C43" s="1380" t="s">
        <v>245</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500</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501</v>
      </c>
      <c r="AM43" s="496"/>
      <c r="AN43" s="496" t="str">
        <f>IF(T43="","",T43)</f>
        <v>Наименование централизованной системы холодного водоснабжения</v>
      </c>
      <c r="AO43" s="496"/>
      <c r="AP43" s="496"/>
    </row>
    <row customHeight="1" ht="23.25">
      <c r="A44" s="1380" t="s">
        <v>243</v>
      </c>
      <c r="B44" s="1380" t="s">
        <v>244</v>
      </c>
      <c r="C44" s="1380" t="s">
        <v>245</v>
      </c>
      <c r="D44" s="1380" t="s">
        <v>515</v>
      </c>
      <c r="E44" s="2090"/>
      <c r="F44" s="2090"/>
      <c r="G44" s="2090"/>
      <c r="H44" s="2090"/>
      <c r="I44" s="2091" t="str">
        <f>S43&amp;".1"</f>
        <v>...1</v>
      </c>
      <c r="J44" s="1380"/>
      <c r="K44" s="1380"/>
      <c r="L44" s="1381"/>
      <c r="P44" s="2093">
        <v>1</v>
      </c>
      <c r="Q44" s="1467"/>
      <c r="R44" s="344"/>
      <c r="S44" s="1474" t="str">
        <f>$I44</f>
        <v>...1</v>
      </c>
      <c r="T44" s="266" t="s">
        <v>502</v>
      </c>
      <c r="U44" s="280"/>
      <c r="V44" s="2176"/>
      <c r="W44" s="2177"/>
      <c r="X44" s="2177"/>
      <c r="Y44" s="2177"/>
      <c r="Z44" s="2177"/>
      <c r="AA44" s="2177"/>
      <c r="AB44" s="2178"/>
      <c r="AC44" s="2179"/>
      <c r="AD44" s="2180"/>
      <c r="AE44" s="2180"/>
      <c r="AF44" s="2180"/>
      <c r="AG44" s="2180"/>
      <c r="AH44" s="2180"/>
      <c r="AI44" s="2180"/>
      <c r="AJ44" s="2181"/>
      <c r="AK44" s="1273" t="s">
        <v>503</v>
      </c>
      <c r="AM44" s="496"/>
      <c r="AN44" s="496" t="str">
        <f>IF(T44="","",T44)</f>
        <v>Наименование признака дифференциации</v>
      </c>
      <c r="AO44" s="496"/>
      <c r="AP44" s="496"/>
    </row>
    <row customHeight="1" ht="23.25">
      <c r="A45" s="1380" t="s">
        <v>243</v>
      </c>
      <c r="B45" s="1380" t="s">
        <v>244</v>
      </c>
      <c r="C45" s="1380" t="s">
        <v>245</v>
      </c>
      <c r="D45" s="1380" t="s">
        <v>515</v>
      </c>
      <c r="E45" s="2090"/>
      <c r="F45" s="2090"/>
      <c r="G45" s="2090"/>
      <c r="H45" s="2090"/>
      <c r="I45" s="2092"/>
      <c r="J45" s="2091" t="str">
        <f>I44&amp;".1"</f>
        <v>...1.1</v>
      </c>
      <c r="K45" s="1380"/>
      <c r="L45" s="1381" t="s">
        <v>420</v>
      </c>
      <c r="P45" s="2093"/>
      <c r="Q45" s="2093">
        <v>1</v>
      </c>
      <c r="R45" s="345"/>
      <c r="S45" s="1474" t="str">
        <f>$J45</f>
        <v>...1.1</v>
      </c>
      <c r="T45" s="267" t="s">
        <v>421</v>
      </c>
      <c r="U45" s="280"/>
      <c r="V45" s="2077"/>
      <c r="W45" s="2078"/>
      <c r="X45" s="2078"/>
      <c r="Y45" s="2078"/>
      <c r="Z45" s="2078"/>
      <c r="AA45" s="2078"/>
      <c r="AB45" s="2079"/>
      <c r="AC45" s="2077"/>
      <c r="AD45" s="2078"/>
      <c r="AE45" s="2078"/>
      <c r="AF45" s="2078"/>
      <c r="AG45" s="2078"/>
      <c r="AH45" s="2078"/>
      <c r="AI45" s="2078"/>
      <c r="AJ45" s="2079"/>
      <c r="AK45" s="1324" t="s">
        <v>504</v>
      </c>
      <c r="AM45" s="496"/>
      <c r="AN45" s="496" t="str">
        <f>IF(T45="","",T45)</f>
        <v>Группа потребителей</v>
      </c>
      <c r="AO45" s="496"/>
      <c r="AP45" s="496"/>
    </row>
    <row customHeight="1" ht="23.25">
      <c r="A46" s="1380" t="s">
        <v>243</v>
      </c>
      <c r="B46" s="1380" t="s">
        <v>244</v>
      </c>
      <c r="C46" s="1380" t="s">
        <v>245</v>
      </c>
      <c r="D46" s="1380" t="s">
        <v>515</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61</v>
      </c>
      <c r="AA46" s="2094"/>
      <c r="AB46" s="1963" t="s">
        <v>61</v>
      </c>
      <c r="AC46" s="746"/>
      <c r="AD46" s="746"/>
      <c r="AE46" s="1272"/>
      <c r="AF46" s="2094"/>
      <c r="AG46" s="1963" t="s">
        <v>61</v>
      </c>
      <c r="AH46" s="2096"/>
      <c r="AI46" s="1963" t="s">
        <v>61</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243</v>
      </c>
      <c r="B47" s="1380" t="s">
        <v>244</v>
      </c>
      <c r="C47" s="1380" t="s">
        <v>245</v>
      </c>
      <c r="D47" s="1380" t="s">
        <v>515</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243</v>
      </c>
      <c r="B48" s="1380" t="s">
        <v>244</v>
      </c>
      <c r="C48" s="1380" t="s">
        <v>245</v>
      </c>
      <c r="D48" s="1380" t="s">
        <v>515</v>
      </c>
      <c r="E48" s="2090"/>
      <c r="F48" s="2090"/>
      <c r="G48" s="2090"/>
      <c r="H48" s="2090"/>
      <c r="I48" s="2092"/>
      <c r="J48" s="2091"/>
      <c r="K48" s="1380"/>
      <c r="L48" s="1381"/>
      <c r="P48" s="2093"/>
      <c r="Q48" s="2093"/>
      <c r="R48" s="344"/>
      <c r="S48" s="1295"/>
      <c r="T48" s="268" t="s">
        <v>505</v>
      </c>
      <c r="U48" s="359"/>
      <c r="V48" s="359"/>
      <c r="W48" s="359"/>
      <c r="X48" s="359"/>
      <c r="Y48" s="359"/>
      <c r="Z48" s="359"/>
      <c r="AA48" s="359"/>
      <c r="AB48" s="359"/>
      <c r="AC48" s="359"/>
      <c r="AD48" s="359"/>
      <c r="AE48" s="359"/>
      <c r="AF48" s="359"/>
      <c r="AG48" s="359"/>
      <c r="AH48" s="359"/>
      <c r="AI48" s="359"/>
      <c r="AJ48" s="359"/>
      <c r="AK48" s="1273" t="s">
        <v>506</v>
      </c>
      <c r="AM48" s="496"/>
      <c r="AN48" s="496" t="str">
        <f>IF(T48="","",T48)</f>
        <v>Добавить значение признака дифференциации</v>
      </c>
      <c r="AO48" s="496"/>
      <c r="AP48" s="496"/>
    </row>
    <row customHeight="1" ht="21">
      <c r="A49" s="1380" t="s">
        <v>243</v>
      </c>
      <c r="B49" s="1380" t="s">
        <v>244</v>
      </c>
      <c r="C49" s="1380" t="s">
        <v>245</v>
      </c>
      <c r="D49" s="1380" t="s">
        <v>515</v>
      </c>
      <c r="E49" s="2090"/>
      <c r="F49" s="2090"/>
      <c r="G49" s="2090"/>
      <c r="H49" s="2090"/>
      <c r="I49" s="2091"/>
      <c r="J49" s="1380"/>
      <c r="K49" s="1380"/>
      <c r="L49" s="1381"/>
      <c r="P49" s="2093"/>
      <c r="Q49" s="1467"/>
      <c r="R49" s="344"/>
      <c r="S49" s="1295"/>
      <c r="T49" s="356" t="s">
        <v>426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243</v>
      </c>
      <c r="B50" s="1380" t="s">
        <v>244</v>
      </c>
      <c r="C50" s="1380" t="s">
        <v>245</v>
      </c>
      <c r="D50" s="1380" t="s">
        <v>515</v>
      </c>
      <c r="E50" s="2090"/>
      <c r="F50" s="2090"/>
      <c r="G50" s="2090"/>
      <c r="H50" s="2089"/>
      <c r="I50" s="1380"/>
      <c r="J50" s="1380"/>
      <c r="K50" s="1380"/>
      <c r="L50" s="1381"/>
      <c r="M50" s="1382"/>
      <c r="N50" s="1382"/>
      <c r="O50" s="533"/>
      <c r="P50" s="348"/>
      <c r="Q50" s="367"/>
      <c r="R50" s="343"/>
      <c r="S50" s="1295"/>
      <c r="T50" s="364" t="s">
        <v>507</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243</v>
      </c>
      <c r="B51" s="1360" t="s">
        <v>244</v>
      </c>
      <c r="C51" s="1331"/>
      <c r="D51" s="1331"/>
      <c r="E51" s="2090"/>
      <c r="F51" s="2089"/>
      <c r="G51" s="1331"/>
      <c r="H51" s="1331"/>
      <c r="I51" s="1331"/>
      <c r="J51" s="1331"/>
      <c r="K51" s="1331"/>
      <c r="L51" s="1475"/>
      <c r="M51" s="1338"/>
      <c r="N51" s="1338"/>
      <c r="P51" s="1333"/>
      <c r="Q51" s="1334"/>
      <c r="R51" s="1333"/>
      <c r="S51" s="1339"/>
      <c r="T51" s="1342" t="s">
        <v>161</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243</v>
      </c>
      <c r="B52" s="1360"/>
      <c r="C52" s="1360"/>
      <c r="D52" s="1360"/>
      <c r="E52" s="2089"/>
      <c r="F52" s="1360"/>
      <c r="G52" s="1360"/>
      <c r="H52" s="1360"/>
      <c r="I52" s="1360"/>
      <c r="J52" s="1360"/>
      <c r="K52" s="1360"/>
      <c r="L52" s="1363"/>
      <c r="M52" s="1338"/>
      <c r="N52" s="1338"/>
      <c r="O52" s="514"/>
      <c r="P52" s="376"/>
      <c r="Q52" s="1361"/>
      <c r="R52" s="376"/>
      <c r="S52" s="1339"/>
      <c r="T52" s="1342" t="s">
        <v>162</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179</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704EB3-B9A2-D413-B19C-930B2F400F7D}"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411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412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500</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501</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502</v>
      </c>
      <c r="U5" s="280"/>
      <c r="V5" s="2176"/>
      <c r="W5" s="2177"/>
      <c r="X5" s="2177"/>
      <c r="Y5" s="2177"/>
      <c r="Z5" s="2177"/>
      <c r="AA5" s="2177"/>
      <c r="AB5" s="2178"/>
      <c r="AC5" s="2179"/>
      <c r="AD5" s="2180"/>
      <c r="AE5" s="2180"/>
      <c r="AF5" s="2180"/>
      <c r="AG5" s="2180"/>
      <c r="AH5" s="2180"/>
      <c r="AI5" s="2180"/>
      <c r="AJ5" s="2181"/>
      <c r="AK5" s="1273" t="s">
        <v>503</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420</v>
      </c>
      <c r="P6" s="2093"/>
      <c r="Q6" s="2093">
        <v>1</v>
      </c>
      <c r="R6" s="345"/>
      <c r="S6" s="1474">
        <f>$J6</f>
      </c>
      <c r="T6" s="267" t="s">
        <v>421</v>
      </c>
      <c r="U6" s="280"/>
      <c r="V6" s="2077"/>
      <c r="W6" s="2078"/>
      <c r="X6" s="2078"/>
      <c r="Y6" s="2078"/>
      <c r="Z6" s="2078"/>
      <c r="AA6" s="2078"/>
      <c r="AB6" s="2079"/>
      <c r="AC6" s="2077"/>
      <c r="AD6" s="2078"/>
      <c r="AE6" s="2078"/>
      <c r="AF6" s="2078"/>
      <c r="AG6" s="2078"/>
      <c r="AH6" s="2078"/>
      <c r="AI6" s="2078"/>
      <c r="AJ6" s="2079"/>
      <c r="AK6" s="1324" t="s">
        <v>504</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505</v>
      </c>
      <c r="U9" s="359"/>
      <c r="V9" s="359"/>
      <c r="W9" s="359"/>
      <c r="X9" s="359"/>
      <c r="Y9" s="359"/>
      <c r="Z9" s="359"/>
      <c r="AA9" s="359"/>
      <c r="AB9" s="359"/>
      <c r="AC9" s="359"/>
      <c r="AD9" s="359"/>
      <c r="AE9" s="359"/>
      <c r="AF9" s="359"/>
      <c r="AG9" s="359"/>
      <c r="AH9" s="359"/>
      <c r="AI9" s="359"/>
      <c r="AJ9" s="359"/>
      <c r="AK9" s="1273" t="s">
        <v>506</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426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507</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161</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162</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428</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429</v>
      </c>
      <c r="P20" s="1379"/>
      <c r="Q20" s="1459"/>
      <c r="R20" s="1459"/>
      <c r="S20" s="724"/>
      <c r="T20" s="1155" t="s">
        <v>430</v>
      </c>
      <c r="Z20" s="166" t="s">
        <v>431</v>
      </c>
      <c r="AB20" s="166" t="s">
        <v>432</v>
      </c>
      <c r="AC20" s="1155" t="s">
        <v>430</v>
      </c>
      <c r="AG20" s="166" t="s">
        <v>433</v>
      </c>
      <c r="AI20" s="166" t="s">
        <v>432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тарифам Санкт-Петербурга</v>
      </c>
      <c r="W27" s="2082"/>
      <c r="X27" s="2082"/>
      <c r="Y27" s="2082"/>
      <c r="Z27" s="2082"/>
      <c r="AA27" s="2082"/>
      <c r="AB27" s="314"/>
      <c r="AC27" s="2082" t="str">
        <f>IF(TITLE_NAME_OR_PR_CHANGE="",IF(TITLE_NAME_OR_PR="","",TITLE_NAME_OR_PR),TITLE_NAME_OR_PR_CHANGE)</f>
        <v>Комитет по тарифам Санкт-Петербурга</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434</v>
      </c>
      <c r="T28" s="2080"/>
      <c r="U28" s="1389"/>
      <c r="V28" s="2081" t="str">
        <f>IF(TITLE_DATE_PR_CHANGE="",IF(TITLE_DATE_PR="","",TITLE_DATE_PR),TITLE_DATE_PR_CHANGE)</f>
        <v>45280.49324074074</v>
      </c>
      <c r="W28" s="2081"/>
      <c r="X28" s="2081"/>
      <c r="Y28" s="2081"/>
      <c r="Z28" s="2081"/>
      <c r="AA28" s="2081"/>
      <c r="AB28" s="314"/>
      <c r="AC28" s="2081" t="str">
        <f>IF(TITLE_DATE_PR_CHANGE="",IF(TITLE_DATE_PR="","",TITLE_DATE_PR),TITLE_DATE_PR_CHANGE)</f>
        <v>45280.49324074074</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435</v>
      </c>
      <c r="T29" s="2080"/>
      <c r="U29" s="1389"/>
      <c r="V29" s="2082" t="str">
        <f>IF(TITLE_NUMBER_PR_CHANGE="",IF(TITLE_NUMBER_PR="","",TITLE_NUMBER_PR),TITLE_NUMBER_PR_CHANGE)</f>
        <v>262-р</v>
      </c>
      <c r="W29" s="2082"/>
      <c r="X29" s="2082"/>
      <c r="Y29" s="2082"/>
      <c r="Z29" s="2082"/>
      <c r="AA29" s="2082"/>
      <c r="AB29" s="314"/>
      <c r="AC29" s="2082" t="str">
        <f>IF(TITLE_NUMBER_PR_CHANGE="",IF(TITLE_NUMBER_PR="","",TITLE_NUMBER_PR),TITLE_NUMBER_PR_CHANGE)</f>
        <v>262-р</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https://www.gov.spb.ru/static/writable/documents/2023/12/22/%D0%BE%D1%82_20.12.2023__262-%D1%80.pdf</v>
      </c>
      <c r="W30" s="2082"/>
      <c r="X30" s="2082"/>
      <c r="Y30" s="2082"/>
      <c r="Z30" s="2082"/>
      <c r="AA30" s="2082"/>
      <c r="AB30" s="314"/>
      <c r="AC30" s="2082" t="str">
        <f>IF(TITLE_IST_PUB_CHANGE="",IF(TITLE_IST_PUB="","",TITLE_IST_PUB),TITLE_IST_PUB_CHANGE)</f>
        <v>https://www.gov.spb.ru/static/writable/documents/2023/12/22/%D0%BE%D1%82_20.12.2023__262-%D1%80.pdf</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436</v>
      </c>
      <c r="T32" s="2080"/>
      <c r="U32" s="1389"/>
      <c r="V32" s="2081" t="str">
        <f>IF(TITLE_DATE_PR_CHANGE="",IF(TITLE_DATE_PR="","",TITLE_DATE_PR),TITLE_DATE_PR_CHANGE)</f>
        <v>45280.49324074074</v>
      </c>
      <c r="W32" s="2081"/>
      <c r="X32" s="2081"/>
      <c r="Y32" s="2081"/>
      <c r="Z32" s="2081"/>
      <c r="AA32" s="2081"/>
      <c r="AB32" s="314"/>
      <c r="AC32" s="2081" t="str">
        <f>IF(TITLE_DATE_PR_CHANGE="",IF(TITLE_DATE_PR="","",TITLE_DATE_PR),TITLE_DATE_PR_CHANGE)</f>
        <v>45280.49324074074</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437</v>
      </c>
      <c r="T33" s="2080"/>
      <c r="U33" s="1389"/>
      <c r="V33" s="2082" t="str">
        <f>IF(TITLE_NUMBER_PR_CHANGE="",IF(TITLE_NUMBER_PR="","",TITLE_NUMBER_PR),TITLE_NUMBER_PR_CHANGE)</f>
        <v>262-р</v>
      </c>
      <c r="W33" s="2082"/>
      <c r="X33" s="2082"/>
      <c r="Y33" s="2082"/>
      <c r="Z33" s="2082"/>
      <c r="AA33" s="2082"/>
      <c r="AB33" s="314"/>
      <c r="AC33" s="2082" t="str">
        <f>IF(TITLE_NUMBER_PR_CHANGE="",IF(TITLE_NUMBER_PR="","",TITLE_NUMBER_PR),TITLE_NUMBER_PR_CHANGE)</f>
        <v>262-р</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438</v>
      </c>
      <c r="AC34" s="314"/>
      <c r="AD34" s="314"/>
      <c r="AE34" s="314"/>
      <c r="AF34" s="314"/>
      <c r="AG34" s="314"/>
      <c r="AH34" s="314"/>
      <c r="AI34" s="259" t="s">
        <v>438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312</v>
      </c>
      <c r="T36" s="1953"/>
      <c r="U36" s="1953"/>
      <c r="V36" s="1953"/>
      <c r="W36" s="1953"/>
      <c r="X36" s="1953"/>
      <c r="Y36" s="1953"/>
      <c r="Z36" s="1953"/>
      <c r="AA36" s="1953"/>
      <c r="AB36" s="1953"/>
      <c r="AC36" s="1953"/>
      <c r="AD36" s="1953"/>
      <c r="AE36" s="1953"/>
      <c r="AF36" s="1953"/>
      <c r="AG36" s="1953"/>
      <c r="AH36" s="1953"/>
      <c r="AI36" s="1953"/>
      <c r="AJ36" s="1953"/>
      <c r="AK36" s="1953" t="s">
        <v>313</v>
      </c>
    </row>
    <row customHeight="1" ht="14.25">
      <c r="Q37" s="368"/>
      <c r="R37" s="368"/>
      <c r="S37" s="2107" t="s">
        <v>87</v>
      </c>
      <c r="T37" s="2044" t="s">
        <v>439</v>
      </c>
      <c r="U37" s="281"/>
      <c r="V37" s="2108" t="s">
        <v>440</v>
      </c>
      <c r="W37" s="2109"/>
      <c r="X37" s="2109"/>
      <c r="Y37" s="2109"/>
      <c r="Z37" s="2109"/>
      <c r="AA37" s="2110"/>
      <c r="AB37" s="2111" t="s">
        <v>441</v>
      </c>
      <c r="AC37" s="2108" t="s">
        <v>440</v>
      </c>
      <c r="AD37" s="2109"/>
      <c r="AE37" s="2109"/>
      <c r="AF37" s="2109"/>
      <c r="AG37" s="2109"/>
      <c r="AH37" s="2110"/>
      <c r="AI37" s="2111" t="s">
        <v>442</v>
      </c>
      <c r="AJ37" s="2114" t="s">
        <v>443</v>
      </c>
      <c r="AK37" s="1953"/>
    </row>
    <row customHeight="1" ht="33.75">
      <c r="Q38" s="368"/>
      <c r="R38" s="368"/>
      <c r="S38" s="2107"/>
      <c r="T38" s="2044"/>
      <c r="U38" s="1026"/>
      <c r="V38" s="1469" t="s">
        <v>508</v>
      </c>
      <c r="W38" s="2100" t="s">
        <v>446</v>
      </c>
      <c r="X38" s="2102"/>
      <c r="Y38" s="2100" t="s">
        <v>447</v>
      </c>
      <c r="Z38" s="2101"/>
      <c r="AA38" s="2102"/>
      <c r="AB38" s="2112"/>
      <c r="AC38" s="1469" t="s">
        <v>508</v>
      </c>
      <c r="AD38" s="2100" t="s">
        <v>446</v>
      </c>
      <c r="AE38" s="2102"/>
      <c r="AF38" s="2100" t="s">
        <v>447</v>
      </c>
      <c r="AG38" s="2101"/>
      <c r="AH38" s="2102"/>
      <c r="AI38" s="2112"/>
      <c r="AJ38" s="2115"/>
      <c r="AK38" s="1953"/>
    </row>
    <row customHeight="1" ht="33.75">
      <c r="A39" s="1387"/>
      <c r="B39" s="1387" t="s">
        <v>134</v>
      </c>
      <c r="C39" s="1387" t="s">
        <v>135</v>
      </c>
      <c r="D39" s="1387" t="s">
        <v>136</v>
      </c>
      <c r="E39" s="1381" t="s">
        <v>448</v>
      </c>
      <c r="F39" s="1381" t="s">
        <v>449</v>
      </c>
      <c r="G39" s="1381" t="s">
        <v>450</v>
      </c>
      <c r="H39" s="1381"/>
      <c r="I39" s="1381" t="s">
        <v>509</v>
      </c>
      <c r="J39" s="1381" t="s">
        <v>453</v>
      </c>
      <c r="K39" s="1381" t="s">
        <v>510</v>
      </c>
      <c r="L39" s="1381" t="s">
        <v>429</v>
      </c>
      <c r="Q39" s="368"/>
      <c r="R39" s="368"/>
      <c r="S39" s="2107"/>
      <c r="T39" s="2044"/>
      <c r="U39" s="282"/>
      <c r="V39" s="1469" t="s">
        <v>511</v>
      </c>
      <c r="W39" s="1224" t="s">
        <v>512</v>
      </c>
      <c r="X39" s="1224" t="s">
        <v>513</v>
      </c>
      <c r="Y39" s="1472" t="s">
        <v>457</v>
      </c>
      <c r="Z39" s="2103" t="s">
        <v>458</v>
      </c>
      <c r="AA39" s="2104"/>
      <c r="AB39" s="2113"/>
      <c r="AC39" s="1469" t="s">
        <v>511</v>
      </c>
      <c r="AD39" s="1224" t="s">
        <v>512</v>
      </c>
      <c r="AE39" s="1224" t="s">
        <v>513</v>
      </c>
      <c r="AF39" s="1472" t="s">
        <v>457</v>
      </c>
      <c r="AG39" s="2103" t="s">
        <v>458</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248</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248</v>
      </c>
      <c r="B42" s="1380" t="s">
        <v>249</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411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412</v>
      </c>
      <c r="AM42" s="496"/>
      <c r="AN42" s="496" t="str">
        <f>IF(T42="","",T42)</f>
        <v>Территория действия тарифа</v>
      </c>
      <c r="AO42" s="496"/>
      <c r="AP42" s="496"/>
    </row>
    <row customHeight="1" ht="23.25">
      <c r="A43" s="1380" t="s">
        <v>248</v>
      </c>
      <c r="B43" s="1380" t="s">
        <v>249</v>
      </c>
      <c r="C43" s="1380" t="s">
        <v>250</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500</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501</v>
      </c>
      <c r="AM43" s="496"/>
      <c r="AN43" s="496" t="str">
        <f>IF(T43="","",T43)</f>
        <v>Наименование централизованной системы холодного водоснабжения</v>
      </c>
      <c r="AO43" s="496"/>
      <c r="AP43" s="496"/>
    </row>
    <row customHeight="1" ht="23.25">
      <c r="A44" s="1380" t="s">
        <v>248</v>
      </c>
      <c r="B44" s="1380" t="s">
        <v>249</v>
      </c>
      <c r="C44" s="1380" t="s">
        <v>250</v>
      </c>
      <c r="D44" s="1380" t="s">
        <v>516</v>
      </c>
      <c r="E44" s="2090"/>
      <c r="F44" s="2090"/>
      <c r="G44" s="2090"/>
      <c r="H44" s="2090"/>
      <c r="I44" s="2091" t="str">
        <f>S43&amp;".1"</f>
        <v>...1</v>
      </c>
      <c r="J44" s="1380"/>
      <c r="K44" s="1380"/>
      <c r="L44" s="1381"/>
      <c r="P44" s="2093">
        <v>1</v>
      </c>
      <c r="Q44" s="1467"/>
      <c r="R44" s="344"/>
      <c r="S44" s="1474" t="str">
        <f>$I44</f>
        <v>...1</v>
      </c>
      <c r="T44" s="266" t="s">
        <v>502</v>
      </c>
      <c r="U44" s="280"/>
      <c r="V44" s="2176"/>
      <c r="W44" s="2177"/>
      <c r="X44" s="2177"/>
      <c r="Y44" s="2177"/>
      <c r="Z44" s="2177"/>
      <c r="AA44" s="2177"/>
      <c r="AB44" s="2178"/>
      <c r="AC44" s="2179"/>
      <c r="AD44" s="2180"/>
      <c r="AE44" s="2180"/>
      <c r="AF44" s="2180"/>
      <c r="AG44" s="2180"/>
      <c r="AH44" s="2180"/>
      <c r="AI44" s="2180"/>
      <c r="AJ44" s="2181"/>
      <c r="AK44" s="1273" t="s">
        <v>503</v>
      </c>
      <c r="AM44" s="496"/>
      <c r="AN44" s="496" t="str">
        <f>IF(T44="","",T44)</f>
        <v>Наименование признака дифференциации</v>
      </c>
      <c r="AO44" s="496"/>
      <c r="AP44" s="496"/>
    </row>
    <row customHeight="1" ht="23.25">
      <c r="A45" s="1380" t="s">
        <v>248</v>
      </c>
      <c r="B45" s="1380" t="s">
        <v>249</v>
      </c>
      <c r="C45" s="1380" t="s">
        <v>250</v>
      </c>
      <c r="D45" s="1380" t="s">
        <v>516</v>
      </c>
      <c r="E45" s="2090"/>
      <c r="F45" s="2090"/>
      <c r="G45" s="2090"/>
      <c r="H45" s="2090"/>
      <c r="I45" s="2092"/>
      <c r="J45" s="2091" t="str">
        <f>I44&amp;".1"</f>
        <v>...1.1</v>
      </c>
      <c r="K45" s="1380"/>
      <c r="L45" s="1381" t="s">
        <v>420</v>
      </c>
      <c r="P45" s="2093"/>
      <c r="Q45" s="2093">
        <v>1</v>
      </c>
      <c r="R45" s="345"/>
      <c r="S45" s="1474" t="str">
        <f>$J45</f>
        <v>...1.1</v>
      </c>
      <c r="T45" s="267" t="s">
        <v>421</v>
      </c>
      <c r="U45" s="280"/>
      <c r="V45" s="2077"/>
      <c r="W45" s="2078"/>
      <c r="X45" s="2078"/>
      <c r="Y45" s="2078"/>
      <c r="Z45" s="2078"/>
      <c r="AA45" s="2078"/>
      <c r="AB45" s="2079"/>
      <c r="AC45" s="2077"/>
      <c r="AD45" s="2078"/>
      <c r="AE45" s="2078"/>
      <c r="AF45" s="2078"/>
      <c r="AG45" s="2078"/>
      <c r="AH45" s="2078"/>
      <c r="AI45" s="2078"/>
      <c r="AJ45" s="2079"/>
      <c r="AK45" s="1324" t="s">
        <v>504</v>
      </c>
      <c r="AM45" s="496"/>
      <c r="AN45" s="496" t="str">
        <f>IF(T45="","",T45)</f>
        <v>Группа потребителей</v>
      </c>
      <c r="AO45" s="496"/>
      <c r="AP45" s="496"/>
    </row>
    <row customHeight="1" ht="23.25">
      <c r="A46" s="1380" t="s">
        <v>248</v>
      </c>
      <c r="B46" s="1380" t="s">
        <v>249</v>
      </c>
      <c r="C46" s="1380" t="s">
        <v>250</v>
      </c>
      <c r="D46" s="1380" t="s">
        <v>516</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61</v>
      </c>
      <c r="AA46" s="2094"/>
      <c r="AB46" s="1963" t="s">
        <v>61</v>
      </c>
      <c r="AC46" s="746"/>
      <c r="AD46" s="746"/>
      <c r="AE46" s="1272"/>
      <c r="AF46" s="2094"/>
      <c r="AG46" s="1963" t="s">
        <v>61</v>
      </c>
      <c r="AH46" s="2096"/>
      <c r="AI46" s="1963" t="s">
        <v>61</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248</v>
      </c>
      <c r="B47" s="1380" t="s">
        <v>249</v>
      </c>
      <c r="C47" s="1380" t="s">
        <v>250</v>
      </c>
      <c r="D47" s="1380" t="s">
        <v>516</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248</v>
      </c>
      <c r="B48" s="1380" t="s">
        <v>249</v>
      </c>
      <c r="C48" s="1380" t="s">
        <v>250</v>
      </c>
      <c r="D48" s="1380" t="s">
        <v>516</v>
      </c>
      <c r="E48" s="2090"/>
      <c r="F48" s="2090"/>
      <c r="G48" s="2090"/>
      <c r="H48" s="2090"/>
      <c r="I48" s="2092"/>
      <c r="J48" s="2091"/>
      <c r="K48" s="1380"/>
      <c r="L48" s="1381"/>
      <c r="P48" s="2093"/>
      <c r="Q48" s="2093"/>
      <c r="R48" s="344"/>
      <c r="S48" s="1295"/>
      <c r="T48" s="268" t="s">
        <v>505</v>
      </c>
      <c r="U48" s="359"/>
      <c r="V48" s="359"/>
      <c r="W48" s="359"/>
      <c r="X48" s="359"/>
      <c r="Y48" s="359"/>
      <c r="Z48" s="359"/>
      <c r="AA48" s="359"/>
      <c r="AB48" s="359"/>
      <c r="AC48" s="359"/>
      <c r="AD48" s="359"/>
      <c r="AE48" s="359"/>
      <c r="AF48" s="359"/>
      <c r="AG48" s="359"/>
      <c r="AH48" s="359"/>
      <c r="AI48" s="359"/>
      <c r="AJ48" s="359"/>
      <c r="AK48" s="1273" t="s">
        <v>506</v>
      </c>
      <c r="AM48" s="496"/>
      <c r="AN48" s="496" t="str">
        <f>IF(T48="","",T48)</f>
        <v>Добавить значение признака дифференциации</v>
      </c>
      <c r="AO48" s="496"/>
      <c r="AP48" s="496"/>
    </row>
    <row customHeight="1" ht="21">
      <c r="A49" s="1380" t="s">
        <v>248</v>
      </c>
      <c r="B49" s="1380" t="s">
        <v>249</v>
      </c>
      <c r="C49" s="1380" t="s">
        <v>250</v>
      </c>
      <c r="D49" s="1380" t="s">
        <v>516</v>
      </c>
      <c r="E49" s="2090"/>
      <c r="F49" s="2090"/>
      <c r="G49" s="2090"/>
      <c r="H49" s="2090"/>
      <c r="I49" s="2091"/>
      <c r="J49" s="1380"/>
      <c r="K49" s="1380"/>
      <c r="L49" s="1381"/>
      <c r="P49" s="2093"/>
      <c r="Q49" s="1467"/>
      <c r="R49" s="344"/>
      <c r="S49" s="1295"/>
      <c r="T49" s="356" t="s">
        <v>426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248</v>
      </c>
      <c r="B50" s="1380" t="s">
        <v>249</v>
      </c>
      <c r="C50" s="1380" t="s">
        <v>250</v>
      </c>
      <c r="D50" s="1380" t="s">
        <v>516</v>
      </c>
      <c r="E50" s="2090"/>
      <c r="F50" s="2090"/>
      <c r="G50" s="2090"/>
      <c r="H50" s="2089"/>
      <c r="I50" s="1380"/>
      <c r="J50" s="1380"/>
      <c r="K50" s="1380"/>
      <c r="L50" s="1381"/>
      <c r="M50" s="1382"/>
      <c r="N50" s="1382"/>
      <c r="O50" s="533"/>
      <c r="P50" s="348"/>
      <c r="Q50" s="367"/>
      <c r="R50" s="343"/>
      <c r="S50" s="1295"/>
      <c r="T50" s="364" t="s">
        <v>507</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248</v>
      </c>
      <c r="B51" s="1360" t="s">
        <v>249</v>
      </c>
      <c r="C51" s="1331"/>
      <c r="D51" s="1331"/>
      <c r="E51" s="2090"/>
      <c r="F51" s="2089"/>
      <c r="G51" s="1331"/>
      <c r="H51" s="1331"/>
      <c r="I51" s="1331"/>
      <c r="J51" s="1331"/>
      <c r="K51" s="1331"/>
      <c r="L51" s="1475"/>
      <c r="M51" s="1338"/>
      <c r="N51" s="1338"/>
      <c r="P51" s="1333"/>
      <c r="Q51" s="1334"/>
      <c r="R51" s="1333"/>
      <c r="S51" s="1339"/>
      <c r="T51" s="1342" t="s">
        <v>161</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248</v>
      </c>
      <c r="B52" s="1360"/>
      <c r="C52" s="1360"/>
      <c r="D52" s="1360"/>
      <c r="E52" s="2089"/>
      <c r="F52" s="1360"/>
      <c r="G52" s="1360"/>
      <c r="H52" s="1360"/>
      <c r="I52" s="1360"/>
      <c r="J52" s="1360"/>
      <c r="K52" s="1360"/>
      <c r="L52" s="1363"/>
      <c r="M52" s="1338"/>
      <c r="N52" s="1338"/>
      <c r="O52" s="514"/>
      <c r="P52" s="376"/>
      <c r="Q52" s="1361"/>
      <c r="R52" s="376"/>
      <c r="S52" s="1339"/>
      <c r="T52" s="1342" t="s">
        <v>162</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179</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493DCAB-066C-9976-2BE3-35DC45E95D2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474">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470"/>
      <c r="Q3" s="340"/>
      <c r="R3" s="341"/>
      <c r="S3" s="1474">
        <f>INDEX(PT_DIFFERENTIATION_NUM_TER,MATCH(B3,PT_DIFFERENTIATION_TER_ID,0))</f>
      </c>
      <c r="T3" s="290" t="s">
        <v>411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412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474">
        <f>INDEX(PT_DIFFERENTIATION_NUM_CS,MATCH(C4,PT_DIFFERENTIATION_CS_ID,0))</f>
      </c>
      <c r="T4" s="291" t="s">
        <v>500</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501</v>
      </c>
      <c r="AM4" s="496"/>
      <c r="AN4" s="496" t="str">
        <f>IF(T4="","",T4)</f>
        <v>Наименование централизованной системы холодного водоснабжения</v>
      </c>
      <c r="AO4" s="496"/>
      <c r="AP4" s="496"/>
    </row>
    <row customHeight="1" ht="23.25" hidden="1">
      <c r="A5" s="1380"/>
      <c r="B5" s="1380"/>
      <c r="C5" s="1380"/>
      <c r="D5" s="1380"/>
      <c r="E5" s="2090"/>
      <c r="F5" s="2090"/>
      <c r="G5" s="2090"/>
      <c r="H5" s="2090"/>
      <c r="I5" s="2091">
        <f>S4&amp;".1"</f>
      </c>
      <c r="J5" s="1380"/>
      <c r="K5" s="1380"/>
      <c r="L5" s="1381"/>
      <c r="P5" s="2093">
        <v>1</v>
      </c>
      <c r="Q5" s="1467"/>
      <c r="R5" s="344"/>
      <c r="S5" s="1474">
        <f>$I5</f>
      </c>
      <c r="T5" s="266" t="s">
        <v>502</v>
      </c>
      <c r="U5" s="280"/>
      <c r="V5" s="2176"/>
      <c r="W5" s="2177"/>
      <c r="X5" s="2177"/>
      <c r="Y5" s="2177"/>
      <c r="Z5" s="2177"/>
      <c r="AA5" s="2177"/>
      <c r="AB5" s="2178"/>
      <c r="AC5" s="2179"/>
      <c r="AD5" s="2180"/>
      <c r="AE5" s="2180"/>
      <c r="AF5" s="2180"/>
      <c r="AG5" s="2180"/>
      <c r="AH5" s="2180"/>
      <c r="AI5" s="2180"/>
      <c r="AJ5" s="2181"/>
      <c r="AK5" s="1273" t="s">
        <v>503</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420</v>
      </c>
      <c r="P6" s="2093"/>
      <c r="Q6" s="2093">
        <v>1</v>
      </c>
      <c r="R6" s="345"/>
      <c r="S6" s="1474">
        <f>$J6</f>
      </c>
      <c r="T6" s="267" t="s">
        <v>421</v>
      </c>
      <c r="U6" s="280"/>
      <c r="V6" s="2077"/>
      <c r="W6" s="2078"/>
      <c r="X6" s="2078"/>
      <c r="Y6" s="2078"/>
      <c r="Z6" s="2078"/>
      <c r="AA6" s="2078"/>
      <c r="AB6" s="2079"/>
      <c r="AC6" s="2077"/>
      <c r="AD6" s="2078"/>
      <c r="AE6" s="2078"/>
      <c r="AF6" s="2078"/>
      <c r="AG6" s="2078"/>
      <c r="AH6" s="2078"/>
      <c r="AI6" s="2078"/>
      <c r="AJ6" s="2079"/>
      <c r="AK6" s="1324" t="s">
        <v>504</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474">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473"/>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505</v>
      </c>
      <c r="U9" s="359"/>
      <c r="V9" s="359"/>
      <c r="W9" s="359"/>
      <c r="X9" s="359"/>
      <c r="Y9" s="359"/>
      <c r="Z9" s="359"/>
      <c r="AA9" s="359"/>
      <c r="AB9" s="359"/>
      <c r="AC9" s="359"/>
      <c r="AD9" s="359"/>
      <c r="AE9" s="359"/>
      <c r="AF9" s="359"/>
      <c r="AG9" s="359"/>
      <c r="AH9" s="359"/>
      <c r="AI9" s="359"/>
      <c r="AJ9" s="359"/>
      <c r="AK9" s="1273" t="s">
        <v>506</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67"/>
      <c r="R10" s="344"/>
      <c r="S10" s="1295"/>
      <c r="T10" s="356" t="s">
        <v>426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507</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475"/>
      <c r="M12" s="1338"/>
      <c r="N12" s="1338"/>
      <c r="P12" s="1333"/>
      <c r="Q12" s="1334"/>
      <c r="R12" s="1333"/>
      <c r="S12" s="1339"/>
      <c r="T12" s="1342" t="s">
        <v>161</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162</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64"/>
      <c r="M18" s="1379"/>
      <c r="N18" s="1379"/>
      <c r="O18" s="1384" t="s">
        <v>428</v>
      </c>
      <c r="P18" s="1379"/>
      <c r="Q18" s="1388"/>
      <c r="R18" s="1388"/>
      <c r="S18" s="724"/>
      <c r="Y18" s="1384"/>
      <c r="AA18" s="1384"/>
      <c r="AB18" s="1383"/>
      <c r="AF18" s="1384"/>
      <c r="AH18" s="1384"/>
      <c r="AI18" s="1383"/>
      <c r="AL18" s="507"/>
      <c r="AM18" s="507"/>
      <c r="AN18" s="507"/>
      <c r="AO18" s="507"/>
      <c r="AP18" s="507"/>
    </row>
    <row s="1383" customFormat="1" customHeight="1" ht="14.25" hidden="1">
      <c r="L19" s="1464"/>
      <c r="M19" s="1379"/>
      <c r="N19" s="1379"/>
      <c r="O19" s="1379"/>
      <c r="P19" s="1379"/>
      <c r="Q19" s="1388"/>
      <c r="R19" s="1388"/>
      <c r="S19" s="724"/>
      <c r="AB19" s="1383"/>
      <c r="AI19" s="1383"/>
      <c r="AL19" s="507"/>
      <c r="AM19" s="507"/>
      <c r="AN19" s="507"/>
      <c r="AO19" s="507"/>
      <c r="AP19" s="507"/>
    </row>
    <row s="1383" customFormat="1" customHeight="1" ht="12" hidden="1">
      <c r="L20" s="1464"/>
      <c r="M20" s="1379"/>
      <c r="N20" s="1379"/>
      <c r="O20" s="1381" t="s">
        <v>429</v>
      </c>
      <c r="P20" s="1379"/>
      <c r="Q20" s="1459"/>
      <c r="R20" s="1459"/>
      <c r="S20" s="724"/>
      <c r="T20" s="1155" t="s">
        <v>430</v>
      </c>
      <c r="Z20" s="166" t="s">
        <v>431</v>
      </c>
      <c r="AB20" s="166" t="s">
        <v>432</v>
      </c>
      <c r="AC20" s="1155" t="s">
        <v>430</v>
      </c>
      <c r="AG20" s="166" t="s">
        <v>433</v>
      </c>
      <c r="AI20" s="166" t="s">
        <v>432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тарифам Санкт-Петербурга</v>
      </c>
      <c r="W27" s="2082"/>
      <c r="X27" s="2082"/>
      <c r="Y27" s="2082"/>
      <c r="Z27" s="2082"/>
      <c r="AA27" s="2082"/>
      <c r="AB27" s="314"/>
      <c r="AC27" s="2082" t="str">
        <f>IF(TITLE_NAME_OR_PR_CHANGE="",IF(TITLE_NAME_OR_PR="","",TITLE_NAME_OR_PR),TITLE_NAME_OR_PR_CHANGE)</f>
        <v>Комитет по тарифам Санкт-Петербурга</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434</v>
      </c>
      <c r="T28" s="2080"/>
      <c r="U28" s="1389"/>
      <c r="V28" s="2081" t="str">
        <f>IF(TITLE_DATE_PR_CHANGE="",IF(TITLE_DATE_PR="","",TITLE_DATE_PR),TITLE_DATE_PR_CHANGE)</f>
        <v>45280.49324074074</v>
      </c>
      <c r="W28" s="2081"/>
      <c r="X28" s="2081"/>
      <c r="Y28" s="2081"/>
      <c r="Z28" s="2081"/>
      <c r="AA28" s="2081"/>
      <c r="AB28" s="314"/>
      <c r="AC28" s="2081" t="str">
        <f>IF(TITLE_DATE_PR_CHANGE="",IF(TITLE_DATE_PR="","",TITLE_DATE_PR),TITLE_DATE_PR_CHANGE)</f>
        <v>45280.49324074074</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435</v>
      </c>
      <c r="T29" s="2080"/>
      <c r="U29" s="1389"/>
      <c r="V29" s="2082" t="str">
        <f>IF(TITLE_NUMBER_PR_CHANGE="",IF(TITLE_NUMBER_PR="","",TITLE_NUMBER_PR),TITLE_NUMBER_PR_CHANGE)</f>
        <v>262-р</v>
      </c>
      <c r="W29" s="2082"/>
      <c r="X29" s="2082"/>
      <c r="Y29" s="2082"/>
      <c r="Z29" s="2082"/>
      <c r="AA29" s="2082"/>
      <c r="AB29" s="314"/>
      <c r="AC29" s="2082" t="str">
        <f>IF(TITLE_NUMBER_PR_CHANGE="",IF(TITLE_NUMBER_PR="","",TITLE_NUMBER_PR),TITLE_NUMBER_PR_CHANGE)</f>
        <v>262-р</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https://www.gov.spb.ru/static/writable/documents/2023/12/22/%D0%BE%D1%82_20.12.2023__262-%D1%80.pdf</v>
      </c>
      <c r="W30" s="2082"/>
      <c r="X30" s="2082"/>
      <c r="Y30" s="2082"/>
      <c r="Z30" s="2082"/>
      <c r="AA30" s="2082"/>
      <c r="AB30" s="314"/>
      <c r="AC30" s="2082" t="str">
        <f>IF(TITLE_IST_PUB_CHANGE="",IF(TITLE_IST_PUB="","",TITLE_IST_PUB),TITLE_IST_PUB_CHANGE)</f>
        <v>https://www.gov.spb.ru/static/writable/documents/2023/12/22/%D0%BE%D1%82_20.12.2023__262-%D1%80.pdf</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436</v>
      </c>
      <c r="T32" s="2080"/>
      <c r="U32" s="1389"/>
      <c r="V32" s="2081" t="str">
        <f>IF(TITLE_DATE_PR_CHANGE="",IF(TITLE_DATE_PR="","",TITLE_DATE_PR),TITLE_DATE_PR_CHANGE)</f>
        <v>45280.49324074074</v>
      </c>
      <c r="W32" s="2081"/>
      <c r="X32" s="2081"/>
      <c r="Y32" s="2081"/>
      <c r="Z32" s="2081"/>
      <c r="AA32" s="2081"/>
      <c r="AB32" s="314"/>
      <c r="AC32" s="2081" t="str">
        <f>IF(TITLE_DATE_PR_CHANGE="",IF(TITLE_DATE_PR="","",TITLE_DATE_PR),TITLE_DATE_PR_CHANGE)</f>
        <v>45280.49324074074</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437</v>
      </c>
      <c r="T33" s="2080"/>
      <c r="U33" s="1389"/>
      <c r="V33" s="2082" t="str">
        <f>IF(TITLE_NUMBER_PR_CHANGE="",IF(TITLE_NUMBER_PR="","",TITLE_NUMBER_PR),TITLE_NUMBER_PR_CHANGE)</f>
        <v>262-р</v>
      </c>
      <c r="W33" s="2082"/>
      <c r="X33" s="2082"/>
      <c r="Y33" s="2082"/>
      <c r="Z33" s="2082"/>
      <c r="AA33" s="2082"/>
      <c r="AB33" s="314"/>
      <c r="AC33" s="2082" t="str">
        <f>IF(TITLE_NUMBER_PR_CHANGE="",IF(TITLE_NUMBER_PR="","",TITLE_NUMBER_PR),TITLE_NUMBER_PR_CHANGE)</f>
        <v>262-р</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471"/>
      <c r="V34" s="314"/>
      <c r="W34" s="314"/>
      <c r="X34" s="314"/>
      <c r="Y34" s="314"/>
      <c r="Z34" s="314"/>
      <c r="AA34" s="314"/>
      <c r="AB34" s="259" t="s">
        <v>438</v>
      </c>
      <c r="AC34" s="314"/>
      <c r="AD34" s="314"/>
      <c r="AE34" s="314"/>
      <c r="AF34" s="314"/>
      <c r="AG34" s="314"/>
      <c r="AH34" s="314"/>
      <c r="AI34" s="259" t="s">
        <v>438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312</v>
      </c>
      <c r="T36" s="1953"/>
      <c r="U36" s="1953"/>
      <c r="V36" s="1953"/>
      <c r="W36" s="1953"/>
      <c r="X36" s="1953"/>
      <c r="Y36" s="1953"/>
      <c r="Z36" s="1953"/>
      <c r="AA36" s="1953"/>
      <c r="AB36" s="1953"/>
      <c r="AC36" s="1953"/>
      <c r="AD36" s="1953"/>
      <c r="AE36" s="1953"/>
      <c r="AF36" s="1953"/>
      <c r="AG36" s="1953"/>
      <c r="AH36" s="1953"/>
      <c r="AI36" s="1953"/>
      <c r="AJ36" s="1953"/>
      <c r="AK36" s="1953" t="s">
        <v>313</v>
      </c>
    </row>
    <row customHeight="1" ht="14.25">
      <c r="Q37" s="368"/>
      <c r="R37" s="368"/>
      <c r="S37" s="2107" t="s">
        <v>87</v>
      </c>
      <c r="T37" s="2044" t="s">
        <v>439</v>
      </c>
      <c r="U37" s="281"/>
      <c r="V37" s="2108" t="s">
        <v>440</v>
      </c>
      <c r="W37" s="2109"/>
      <c r="X37" s="2109"/>
      <c r="Y37" s="2109"/>
      <c r="Z37" s="2109"/>
      <c r="AA37" s="2110"/>
      <c r="AB37" s="2111" t="s">
        <v>441</v>
      </c>
      <c r="AC37" s="2108" t="s">
        <v>440</v>
      </c>
      <c r="AD37" s="2109"/>
      <c r="AE37" s="2109"/>
      <c r="AF37" s="2109"/>
      <c r="AG37" s="2109"/>
      <c r="AH37" s="2110"/>
      <c r="AI37" s="2111" t="s">
        <v>442</v>
      </c>
      <c r="AJ37" s="2114" t="s">
        <v>443</v>
      </c>
      <c r="AK37" s="1953"/>
    </row>
    <row customHeight="1" ht="33.75">
      <c r="Q38" s="368"/>
      <c r="R38" s="368"/>
      <c r="S38" s="2107"/>
      <c r="T38" s="2044"/>
      <c r="U38" s="1026"/>
      <c r="V38" s="1469" t="s">
        <v>508</v>
      </c>
      <c r="W38" s="2100" t="s">
        <v>446</v>
      </c>
      <c r="X38" s="2102"/>
      <c r="Y38" s="2100" t="s">
        <v>447</v>
      </c>
      <c r="Z38" s="2101"/>
      <c r="AA38" s="2102"/>
      <c r="AB38" s="2112"/>
      <c r="AC38" s="1469" t="s">
        <v>508</v>
      </c>
      <c r="AD38" s="2100" t="s">
        <v>446</v>
      </c>
      <c r="AE38" s="2102"/>
      <c r="AF38" s="2100" t="s">
        <v>447</v>
      </c>
      <c r="AG38" s="2101"/>
      <c r="AH38" s="2102"/>
      <c r="AI38" s="2112"/>
      <c r="AJ38" s="2115"/>
      <c r="AK38" s="1953"/>
    </row>
    <row customHeight="1" ht="33.75">
      <c r="A39" s="1387"/>
      <c r="B39" s="1387" t="s">
        <v>134</v>
      </c>
      <c r="C39" s="1387" t="s">
        <v>135</v>
      </c>
      <c r="D39" s="1387" t="s">
        <v>136</v>
      </c>
      <c r="E39" s="1381" t="s">
        <v>448</v>
      </c>
      <c r="F39" s="1381" t="s">
        <v>449</v>
      </c>
      <c r="G39" s="1381" t="s">
        <v>450</v>
      </c>
      <c r="H39" s="1381"/>
      <c r="I39" s="1381" t="s">
        <v>509</v>
      </c>
      <c r="J39" s="1381" t="s">
        <v>453</v>
      </c>
      <c r="K39" s="1381" t="s">
        <v>510</v>
      </c>
      <c r="L39" s="1381" t="s">
        <v>429</v>
      </c>
      <c r="Q39" s="368"/>
      <c r="R39" s="368"/>
      <c r="S39" s="2107"/>
      <c r="T39" s="2044"/>
      <c r="U39" s="282"/>
      <c r="V39" s="1469" t="s">
        <v>511</v>
      </c>
      <c r="W39" s="1224" t="s">
        <v>512</v>
      </c>
      <c r="X39" s="1224" t="s">
        <v>513</v>
      </c>
      <c r="Y39" s="1472" t="s">
        <v>457</v>
      </c>
      <c r="Z39" s="2103" t="s">
        <v>458</v>
      </c>
      <c r="AA39" s="2104"/>
      <c r="AB39" s="2113"/>
      <c r="AC39" s="1469" t="s">
        <v>511</v>
      </c>
      <c r="AD39" s="1224" t="s">
        <v>512</v>
      </c>
      <c r="AE39" s="1224" t="s">
        <v>513</v>
      </c>
      <c r="AF39" s="1472" t="s">
        <v>457</v>
      </c>
      <c r="AG39" s="2103" t="s">
        <v>458</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68">
        <f>OFFSET(V40,0,-1)+1</f>
        <v>3</v>
      </c>
      <c r="W40" s="1468">
        <f>OFFSET(W40,0,-1)+1</f>
        <v>4</v>
      </c>
      <c r="X40" s="1468">
        <f>OFFSET(X40,0,-1)+1</f>
        <v>5</v>
      </c>
      <c r="Y40" s="1468">
        <f>OFFSET(Y40,0,-1)+1</f>
        <v>6</v>
      </c>
      <c r="Z40" s="2105">
        <f>OFFSET(Z40,0,-1)+1</f>
        <v>7</v>
      </c>
      <c r="AA40" s="2105"/>
      <c r="AB40" s="1468">
        <f>OFFSET(AB40,0,-2)+1</f>
        <v>8</v>
      </c>
      <c r="AC40" s="1468">
        <f>OFFSET(AC40,0,-1)+1</f>
        <v>9</v>
      </c>
      <c r="AD40" s="1468">
        <f>OFFSET(AD40,0,-1)+1</f>
        <v>10</v>
      </c>
      <c r="AE40" s="1468">
        <f>OFFSET(AE40,0,-1)+1</f>
        <v>11</v>
      </c>
      <c r="AF40" s="1468">
        <f>OFFSET(AF40,0,-1)+1</f>
        <v>12</v>
      </c>
      <c r="AG40" s="2105">
        <f>OFFSET(AG40,0,-1)+1</f>
        <v>13</v>
      </c>
      <c r="AH40" s="2105"/>
      <c r="AI40" s="1468">
        <f>OFFSET(AI40,0,-2)+1</f>
        <v>14</v>
      </c>
      <c r="AJ40" s="1250">
        <f>OFFSET(AJ40,0,-1)</f>
        <v>14</v>
      </c>
      <c r="AK40" s="1468">
        <f>OFFSET(AK40,0,-1)+1</f>
        <v>15</v>
      </c>
      <c r="AL40" s="507"/>
      <c r="AM40" s="507"/>
      <c r="AN40" s="507"/>
      <c r="AO40" s="507"/>
      <c r="AP40" s="507"/>
    </row>
    <row customHeight="1" ht="23.25">
      <c r="A41" s="1380" t="s">
        <v>253</v>
      </c>
      <c r="B41" s="1380"/>
      <c r="C41" s="1380"/>
      <c r="D41" s="1380"/>
      <c r="E41" s="2089">
        <v>1</v>
      </c>
      <c r="F41" s="1380"/>
      <c r="G41" s="1380"/>
      <c r="H41" s="1380"/>
      <c r="I41" s="1380"/>
      <c r="J41" s="1380"/>
      <c r="K41" s="1380"/>
      <c r="L41" s="1381"/>
      <c r="M41" s="1382"/>
      <c r="N41" s="1382"/>
      <c r="O41" s="1382"/>
      <c r="P41" s="349"/>
      <c r="Q41" s="348"/>
      <c r="R41" s="343"/>
      <c r="S41" s="1474">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253</v>
      </c>
      <c r="B42" s="1380" t="s">
        <v>254</v>
      </c>
      <c r="C42" s="1380"/>
      <c r="D42" s="1380"/>
      <c r="E42" s="2090"/>
      <c r="F42" s="2089">
        <v>1</v>
      </c>
      <c r="G42" s="1380"/>
      <c r="H42" s="1380"/>
      <c r="I42" s="1380"/>
      <c r="J42" s="1380"/>
      <c r="K42" s="1380"/>
      <c r="L42" s="1381"/>
      <c r="M42" s="1382"/>
      <c r="N42" s="1382"/>
      <c r="O42" s="1382"/>
      <c r="P42" s="1470"/>
      <c r="Q42" s="340"/>
      <c r="R42" s="341"/>
      <c r="S42" s="1474" t="str">
        <f>INDEX(PT_DIFFERENTIATION_NUM_TER,MATCH(B42,PT_DIFFERENTIATION_TER_ID,0))</f>
        <v>.</v>
      </c>
      <c r="T42" s="290" t="s">
        <v>411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412</v>
      </c>
      <c r="AM42" s="496"/>
      <c r="AN42" s="496" t="str">
        <f>IF(T42="","",T42)</f>
        <v>Территория действия тарифа</v>
      </c>
      <c r="AO42" s="496"/>
      <c r="AP42" s="496"/>
    </row>
    <row customHeight="1" ht="23.25">
      <c r="A43" s="1380" t="s">
        <v>253</v>
      </c>
      <c r="B43" s="1380" t="s">
        <v>254</v>
      </c>
      <c r="C43" s="1380" t="s">
        <v>255</v>
      </c>
      <c r="D43" s="1380"/>
      <c r="E43" s="2090"/>
      <c r="F43" s="2090"/>
      <c r="G43" s="2089">
        <v>1</v>
      </c>
      <c r="H43" s="1380"/>
      <c r="I43" s="1380"/>
      <c r="J43" s="1380"/>
      <c r="K43" s="1380"/>
      <c r="L43" s="1381"/>
      <c r="M43" s="1382"/>
      <c r="N43" s="1382"/>
      <c r="O43" s="1382"/>
      <c r="P43" s="342"/>
      <c r="Q43" s="340"/>
      <c r="R43" s="341"/>
      <c r="S43" s="1474" t="str">
        <f>INDEX(PT_DIFFERENTIATION_NUM_CS,MATCH(C43,PT_DIFFERENTIATION_CS_ID,0))</f>
        <v>..</v>
      </c>
      <c r="T43" s="291" t="s">
        <v>500</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501</v>
      </c>
      <c r="AM43" s="496"/>
      <c r="AN43" s="496" t="str">
        <f>IF(T43="","",T43)</f>
        <v>Наименование централизованной системы холодного водоснабжения</v>
      </c>
      <c r="AO43" s="496"/>
      <c r="AP43" s="496"/>
    </row>
    <row customHeight="1" ht="23.25">
      <c r="A44" s="1380" t="s">
        <v>253</v>
      </c>
      <c r="B44" s="1380" t="s">
        <v>254</v>
      </c>
      <c r="C44" s="1380" t="s">
        <v>255</v>
      </c>
      <c r="D44" s="1380" t="s">
        <v>517</v>
      </c>
      <c r="E44" s="2090"/>
      <c r="F44" s="2090"/>
      <c r="G44" s="2090"/>
      <c r="H44" s="2090"/>
      <c r="I44" s="2091" t="str">
        <f>S43&amp;".1"</f>
        <v>...1</v>
      </c>
      <c r="J44" s="1380"/>
      <c r="K44" s="1380"/>
      <c r="L44" s="1381"/>
      <c r="P44" s="2093">
        <v>1</v>
      </c>
      <c r="Q44" s="1467"/>
      <c r="R44" s="344"/>
      <c r="S44" s="1474" t="str">
        <f>$I44</f>
        <v>...1</v>
      </c>
      <c r="T44" s="266" t="s">
        <v>502</v>
      </c>
      <c r="U44" s="280"/>
      <c r="V44" s="2176"/>
      <c r="W44" s="2177"/>
      <c r="X44" s="2177"/>
      <c r="Y44" s="2177"/>
      <c r="Z44" s="2177"/>
      <c r="AA44" s="2177"/>
      <c r="AB44" s="2178"/>
      <c r="AC44" s="2179"/>
      <c r="AD44" s="2180"/>
      <c r="AE44" s="2180"/>
      <c r="AF44" s="2180"/>
      <c r="AG44" s="2180"/>
      <c r="AH44" s="2180"/>
      <c r="AI44" s="2180"/>
      <c r="AJ44" s="2181"/>
      <c r="AK44" s="1273" t="s">
        <v>503</v>
      </c>
      <c r="AM44" s="496"/>
      <c r="AN44" s="496" t="str">
        <f>IF(T44="","",T44)</f>
        <v>Наименование признака дифференциации</v>
      </c>
      <c r="AO44" s="496"/>
      <c r="AP44" s="496"/>
    </row>
    <row customHeight="1" ht="23.25">
      <c r="A45" s="1380" t="s">
        <v>253</v>
      </c>
      <c r="B45" s="1380" t="s">
        <v>254</v>
      </c>
      <c r="C45" s="1380" t="s">
        <v>255</v>
      </c>
      <c r="D45" s="1380" t="s">
        <v>517</v>
      </c>
      <c r="E45" s="2090"/>
      <c r="F45" s="2090"/>
      <c r="G45" s="2090"/>
      <c r="H45" s="2090"/>
      <c r="I45" s="2092"/>
      <c r="J45" s="2091" t="str">
        <f>I44&amp;".1"</f>
        <v>...1.1</v>
      </c>
      <c r="K45" s="1380"/>
      <c r="L45" s="1381" t="s">
        <v>420</v>
      </c>
      <c r="P45" s="2093"/>
      <c r="Q45" s="2093">
        <v>1</v>
      </c>
      <c r="R45" s="345"/>
      <c r="S45" s="1474" t="str">
        <f>$J45</f>
        <v>...1.1</v>
      </c>
      <c r="T45" s="267" t="s">
        <v>421</v>
      </c>
      <c r="U45" s="280"/>
      <c r="V45" s="2077"/>
      <c r="W45" s="2078"/>
      <c r="X45" s="2078"/>
      <c r="Y45" s="2078"/>
      <c r="Z45" s="2078"/>
      <c r="AA45" s="2078"/>
      <c r="AB45" s="2079"/>
      <c r="AC45" s="2077"/>
      <c r="AD45" s="2078"/>
      <c r="AE45" s="2078"/>
      <c r="AF45" s="2078"/>
      <c r="AG45" s="2078"/>
      <c r="AH45" s="2078"/>
      <c r="AI45" s="2078"/>
      <c r="AJ45" s="2079"/>
      <c r="AK45" s="1324" t="s">
        <v>504</v>
      </c>
      <c r="AM45" s="496"/>
      <c r="AN45" s="496" t="str">
        <f>IF(T45="","",T45)</f>
        <v>Группа потребителей</v>
      </c>
      <c r="AO45" s="496"/>
      <c r="AP45" s="496"/>
    </row>
    <row customHeight="1" ht="23.25">
      <c r="A46" s="1380" t="s">
        <v>253</v>
      </c>
      <c r="B46" s="1380" t="s">
        <v>254</v>
      </c>
      <c r="C46" s="1380" t="s">
        <v>255</v>
      </c>
      <c r="D46" s="1380" t="s">
        <v>517</v>
      </c>
      <c r="E46" s="2090"/>
      <c r="F46" s="2090"/>
      <c r="G46" s="2090"/>
      <c r="H46" s="2090"/>
      <c r="I46" s="2092"/>
      <c r="J46" s="2092"/>
      <c r="K46" s="2091" t="str">
        <f>J45&amp;".1"</f>
        <v>...1.1.1</v>
      </c>
      <c r="L46" s="1381"/>
      <c r="P46" s="2093"/>
      <c r="Q46" s="2093"/>
      <c r="R46" s="345">
        <v>1</v>
      </c>
      <c r="S46" s="1474" t="str">
        <f>$K46</f>
        <v>...1.1.1</v>
      </c>
      <c r="T46" s="1454"/>
      <c r="U46" s="280"/>
      <c r="V46" s="746"/>
      <c r="W46" s="746"/>
      <c r="X46" s="1272"/>
      <c r="Y46" s="2094"/>
      <c r="Z46" s="1963" t="s">
        <v>61</v>
      </c>
      <c r="AA46" s="2094"/>
      <c r="AB46" s="1963" t="s">
        <v>61</v>
      </c>
      <c r="AC46" s="746"/>
      <c r="AD46" s="746"/>
      <c r="AE46" s="1272"/>
      <c r="AF46" s="2094"/>
      <c r="AG46" s="1963" t="s">
        <v>61</v>
      </c>
      <c r="AH46" s="2096"/>
      <c r="AI46" s="1963" t="s">
        <v>61</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253</v>
      </c>
      <c r="B47" s="1380" t="s">
        <v>254</v>
      </c>
      <c r="C47" s="1380" t="s">
        <v>255</v>
      </c>
      <c r="D47" s="1380" t="s">
        <v>517</v>
      </c>
      <c r="E47" s="2090"/>
      <c r="F47" s="2090"/>
      <c r="G47" s="2090"/>
      <c r="H47" s="2090"/>
      <c r="I47" s="2092"/>
      <c r="J47" s="2092"/>
      <c r="K47" s="2091"/>
      <c r="L47" s="1381"/>
      <c r="P47" s="2093"/>
      <c r="Q47" s="2093"/>
      <c r="R47" s="345"/>
      <c r="S47" s="1473"/>
      <c r="T47" s="280"/>
      <c r="U47" s="280"/>
      <c r="V47" s="312"/>
      <c r="W47" s="312"/>
      <c r="X47" s="316" t="str">
        <f>Y46&amp;"-"&amp;AA46</f>
        <v>-</v>
      </c>
      <c r="Y47" s="2095"/>
      <c r="Z47" s="1963"/>
      <c r="AA47" s="2095"/>
      <c r="AB47" s="1963"/>
      <c r="AC47" s="312"/>
      <c r="AD47" s="312"/>
      <c r="AE47" s="316" t="str">
        <f>AF46&amp;"-"&amp;AH46</f>
        <v>-</v>
      </c>
      <c r="AF47" s="2095"/>
      <c r="AG47" s="1963"/>
      <c r="AH47" s="2097"/>
      <c r="AI47" s="1963"/>
      <c r="AJ47" s="1456"/>
      <c r="AK47" s="2182"/>
      <c r="AM47" s="496"/>
      <c r="AN47" s="496" t="str">
        <f>IF(T47="","",T47)</f>
        <v/>
      </c>
      <c r="AO47" s="496"/>
      <c r="AP47" s="496"/>
    </row>
    <row customHeight="1" ht="21">
      <c r="A48" s="1380" t="s">
        <v>253</v>
      </c>
      <c r="B48" s="1380" t="s">
        <v>254</v>
      </c>
      <c r="C48" s="1380" t="s">
        <v>255</v>
      </c>
      <c r="D48" s="1380" t="s">
        <v>517</v>
      </c>
      <c r="E48" s="2090"/>
      <c r="F48" s="2090"/>
      <c r="G48" s="2090"/>
      <c r="H48" s="2090"/>
      <c r="I48" s="2092"/>
      <c r="J48" s="2091"/>
      <c r="K48" s="1380"/>
      <c r="L48" s="1381"/>
      <c r="P48" s="2093"/>
      <c r="Q48" s="2093"/>
      <c r="R48" s="344"/>
      <c r="S48" s="1295"/>
      <c r="T48" s="268" t="s">
        <v>505</v>
      </c>
      <c r="U48" s="359"/>
      <c r="V48" s="359"/>
      <c r="W48" s="359"/>
      <c r="X48" s="359"/>
      <c r="Y48" s="359"/>
      <c r="Z48" s="359"/>
      <c r="AA48" s="359"/>
      <c r="AB48" s="359"/>
      <c r="AC48" s="359"/>
      <c r="AD48" s="359"/>
      <c r="AE48" s="359"/>
      <c r="AF48" s="359"/>
      <c r="AG48" s="359"/>
      <c r="AH48" s="359"/>
      <c r="AI48" s="359"/>
      <c r="AJ48" s="359"/>
      <c r="AK48" s="1273" t="s">
        <v>506</v>
      </c>
      <c r="AM48" s="496"/>
      <c r="AN48" s="496" t="str">
        <f>IF(T48="","",T48)</f>
        <v>Добавить значение признака дифференциации</v>
      </c>
      <c r="AO48" s="496"/>
      <c r="AP48" s="496"/>
    </row>
    <row customHeight="1" ht="21">
      <c r="A49" s="1380" t="s">
        <v>253</v>
      </c>
      <c r="B49" s="1380" t="s">
        <v>254</v>
      </c>
      <c r="C49" s="1380" t="s">
        <v>255</v>
      </c>
      <c r="D49" s="1380" t="s">
        <v>517</v>
      </c>
      <c r="E49" s="2090"/>
      <c r="F49" s="2090"/>
      <c r="G49" s="2090"/>
      <c r="H49" s="2090"/>
      <c r="I49" s="2091"/>
      <c r="J49" s="1380"/>
      <c r="K49" s="1380"/>
      <c r="L49" s="1381"/>
      <c r="P49" s="2093"/>
      <c r="Q49" s="1467"/>
      <c r="R49" s="344"/>
      <c r="S49" s="1295"/>
      <c r="T49" s="356" t="s">
        <v>426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253</v>
      </c>
      <c r="B50" s="1380" t="s">
        <v>254</v>
      </c>
      <c r="C50" s="1380" t="s">
        <v>255</v>
      </c>
      <c r="D50" s="1380" t="s">
        <v>517</v>
      </c>
      <c r="E50" s="2090"/>
      <c r="F50" s="2090"/>
      <c r="G50" s="2090"/>
      <c r="H50" s="2089"/>
      <c r="I50" s="1380"/>
      <c r="J50" s="1380"/>
      <c r="K50" s="1380"/>
      <c r="L50" s="1381"/>
      <c r="M50" s="1382"/>
      <c r="N50" s="1382"/>
      <c r="O50" s="533"/>
      <c r="P50" s="348"/>
      <c r="Q50" s="367"/>
      <c r="R50" s="343"/>
      <c r="S50" s="1295"/>
      <c r="T50" s="364" t="s">
        <v>507</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253</v>
      </c>
      <c r="B51" s="1360" t="s">
        <v>254</v>
      </c>
      <c r="C51" s="1331"/>
      <c r="D51" s="1331"/>
      <c r="E51" s="2090"/>
      <c r="F51" s="2089"/>
      <c r="G51" s="1331"/>
      <c r="H51" s="1331"/>
      <c r="I51" s="1331"/>
      <c r="J51" s="1331"/>
      <c r="K51" s="1331"/>
      <c r="L51" s="1475"/>
      <c r="M51" s="1338"/>
      <c r="N51" s="1338"/>
      <c r="P51" s="1333"/>
      <c r="Q51" s="1334"/>
      <c r="R51" s="1333"/>
      <c r="S51" s="1339"/>
      <c r="T51" s="1342" t="s">
        <v>161</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253</v>
      </c>
      <c r="B52" s="1360"/>
      <c r="C52" s="1360"/>
      <c r="D52" s="1360"/>
      <c r="E52" s="2089"/>
      <c r="F52" s="1360"/>
      <c r="G52" s="1360"/>
      <c r="H52" s="1360"/>
      <c r="I52" s="1360"/>
      <c r="J52" s="1360"/>
      <c r="K52" s="1360"/>
      <c r="L52" s="1363"/>
      <c r="M52" s="1338"/>
      <c r="N52" s="1338"/>
      <c r="O52" s="514"/>
      <c r="P52" s="376"/>
      <c r="Q52" s="1361"/>
      <c r="R52" s="376"/>
      <c r="S52" s="1339"/>
      <c r="T52" s="1342" t="s">
        <v>162</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475"/>
      <c r="M53" s="1338"/>
      <c r="N53" s="1338"/>
      <c r="P53" s="1333"/>
      <c r="Q53" s="1334"/>
      <c r="R53" s="1333"/>
      <c r="S53" s="1339"/>
      <c r="T53" s="1342" t="s">
        <v>179</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4E7E37-2A07-F25D-1AF8-B42DAA597412}"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482">
        <f>INDEX(PT_DIFFERENTIATION_NUM_NTAR,MATCH(A2,PT_DIFFERENTIATION_NTAR_ID,0))</f>
      </c>
      <c r="T2" s="278" t="s">
        <v>122</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482">
        <f>INDEX(PT_DIFFERENTIATION_NUM_TER,MATCH(B3,PT_DIFFERENTIATION_TER_ID,0))</f>
      </c>
      <c r="T3" s="290" t="s">
        <v>411</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412</v>
      </c>
      <c r="BE3" s="496"/>
      <c r="BF3" s="496" t="str">
        <f>IF(T3="","",T3)</f>
        <v>Территория действия тарифа</v>
      </c>
      <c r="BG3" s="496"/>
      <c r="BH3" s="496"/>
    </row>
    <row customHeight="1" ht="42" hidden="1">
      <c r="A4" s="1380"/>
      <c r="B4" s="1380"/>
      <c r="C4" s="1380"/>
      <c r="D4" s="1380"/>
      <c r="E4" s="2090"/>
      <c r="F4" s="2090"/>
      <c r="G4" s="2089">
        <v>1</v>
      </c>
      <c r="H4" s="1380"/>
      <c r="I4" s="1380"/>
      <c r="J4" s="1380"/>
      <c r="K4" s="1380"/>
      <c r="L4" s="1381"/>
      <c r="M4" s="1382"/>
      <c r="N4" s="1382"/>
      <c r="O4" s="1382"/>
      <c r="P4" s="1429"/>
      <c r="Q4" s="1428"/>
      <c r="R4" s="341"/>
      <c r="S4" s="1482">
        <f>INDEX(PT_DIFFERENTIATION_NUM_CS,MATCH(C4,PT_DIFFERENTIATION_CS_ID,0))</f>
      </c>
      <c r="T4" s="291" t="s">
        <v>500</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501</v>
      </c>
      <c r="BE4" s="496"/>
      <c r="BF4" s="496" t="str">
        <f>IF(T4="","",T4)</f>
        <v>Наименование централизованной системы холодного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416</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417</v>
      </c>
      <c r="M6" s="506"/>
      <c r="N6" s="506"/>
      <c r="O6" s="506"/>
      <c r="P6" s="2093">
        <v>1</v>
      </c>
      <c r="Q6" s="1479"/>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76" t="s">
        <v>61</v>
      </c>
      <c r="AB8" s="1758"/>
      <c r="AC8" s="1476" t="s">
        <v>61</v>
      </c>
      <c r="AD8" s="2026" t="s">
        <v>61</v>
      </c>
      <c r="AE8" s="2162"/>
      <c r="AF8" s="2039">
        <v>1</v>
      </c>
      <c r="AG8" s="2184"/>
      <c r="AH8" s="1963" t="s">
        <v>61</v>
      </c>
      <c r="AI8" s="2162"/>
      <c r="AJ8" s="2039">
        <v>1</v>
      </c>
      <c r="AK8" s="2183" t="s">
        <v>24</v>
      </c>
      <c r="AL8" s="1963" t="s">
        <v>61</v>
      </c>
      <c r="AM8" s="2011"/>
      <c r="AN8" s="2039">
        <v>1</v>
      </c>
      <c r="AO8" s="2188"/>
      <c r="AP8" s="2189" t="s">
        <v>61</v>
      </c>
      <c r="AQ8" s="293"/>
      <c r="AR8" s="1480">
        <v>1</v>
      </c>
      <c r="AS8" s="1483" t="s">
        <v>24</v>
      </c>
      <c r="AT8" s="746"/>
      <c r="AU8" s="1272"/>
      <c r="AV8" s="746"/>
      <c r="AW8" s="1272"/>
      <c r="AX8" s="1758"/>
      <c r="AY8" s="1476" t="s">
        <v>61</v>
      </c>
      <c r="AZ8" s="1758"/>
      <c r="BA8" s="1476" t="s">
        <v>61</v>
      </c>
      <c r="BB8" s="1365"/>
      <c r="BC8" s="2119" t="s">
        <v>518</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519</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520</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521</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522</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486</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79"/>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48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481"/>
      <c r="M17" s="1338"/>
      <c r="N17" s="1338"/>
      <c r="P17" s="1333"/>
      <c r="Q17" s="1334"/>
      <c r="R17" s="1333"/>
      <c r="S17" s="1339"/>
      <c r="T17" s="1342" t="s">
        <v>161</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162</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477" t="s">
        <v>61</v>
      </c>
      <c r="AZ20" s="1760"/>
      <c r="BA20" s="1477" t="s">
        <v>61</v>
      </c>
    </row>
    <row customHeight="1" ht="14.25" hidden="1">
      <c r="BD21" s="492"/>
      <c r="BE21" s="492"/>
      <c r="BF21" s="492"/>
      <c r="BG21" s="492"/>
      <c r="BH21" s="492"/>
    </row>
    <row customHeight="1" ht="14.25" hidden="1">
      <c r="O22" s="1384" t="s">
        <v>428</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429</v>
      </c>
      <c r="P24" s="1525"/>
      <c r="Q24" s="1527"/>
      <c r="R24" s="1527"/>
      <c r="AA24" s="1524" t="s">
        <v>431</v>
      </c>
      <c r="AC24" s="1524" t="s">
        <v>432</v>
      </c>
      <c r="AD24" s="1524" t="s">
        <v>487</v>
      </c>
      <c r="AH24" s="1524" t="s">
        <v>487</v>
      </c>
      <c r="AK24" s="1524" t="s">
        <v>523</v>
      </c>
      <c r="AL24" s="1524" t="s">
        <v>487</v>
      </c>
      <c r="AP24" s="1524" t="s">
        <v>487</v>
      </c>
      <c r="AY24" s="1524" t="s">
        <v>431</v>
      </c>
      <c r="BA24" s="1524" t="s">
        <v>432</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ПАО "ТГК-1" филиал "Невский"</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Комитет по тарифам Санкт-Петербурга</v>
      </c>
      <c r="W31" s="2082"/>
      <c r="X31" s="2082"/>
      <c r="Y31" s="2082"/>
      <c r="Z31" s="2082"/>
      <c r="AA31" s="2082"/>
      <c r="AB31" s="2082"/>
      <c r="AC31" s="314"/>
      <c r="AD31" s="2082" t="str">
        <f>IF(TITLE_NAME_OR_PR_CHANGE="",IF(TITLE_NAME_OR_PR="","",TITLE_NAME_OR_PR),TITLE_NAME_OR_PR_CHANGE)</f>
        <v>Комитет по тарифам Санкт-Петербурга</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434</v>
      </c>
      <c r="T32" s="2080"/>
      <c r="U32" s="1389"/>
      <c r="V32" s="2081" t="str">
        <f>IF(TITLE_DATE_PR_CHANGE="",IF(TITLE_DATE_PR="","",TITLE_DATE_PR),TITLE_DATE_PR_CHANGE)</f>
        <v>45280.49324074074</v>
      </c>
      <c r="W32" s="2081"/>
      <c r="X32" s="2081"/>
      <c r="Y32" s="2081"/>
      <c r="Z32" s="2081"/>
      <c r="AA32" s="2081"/>
      <c r="AB32" s="2081"/>
      <c r="AC32" s="314"/>
      <c r="AD32" s="2081" t="str">
        <f>IF(TITLE_DATE_PR_CHANGE="",IF(TITLE_DATE_PR="","",TITLE_DATE_PR),TITLE_DATE_PR_CHANGE)</f>
        <v>45280.49324074074</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435</v>
      </c>
      <c r="T33" s="2080"/>
      <c r="U33" s="1389"/>
      <c r="V33" s="2082" t="str">
        <f>IF(TITLE_NUMBER_PR_CHANGE="",IF(TITLE_NUMBER_PR="","",TITLE_NUMBER_PR),TITLE_NUMBER_PR_CHANGE)</f>
        <v>262-р</v>
      </c>
      <c r="W33" s="2082"/>
      <c r="X33" s="2082"/>
      <c r="Y33" s="2082"/>
      <c r="Z33" s="2082"/>
      <c r="AA33" s="2082"/>
      <c r="AB33" s="2082"/>
      <c r="AC33" s="314"/>
      <c r="AD33" s="2082" t="str">
        <f>IF(TITLE_NUMBER_PR_CHANGE="",IF(TITLE_NUMBER_PR="","",TITLE_NUMBER_PR),TITLE_NUMBER_PR_CHANGE)</f>
        <v>262-р</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https://www.gov.spb.ru/static/writable/documents/2023/12/22/%D0%BE%D1%82_20.12.2023__262-%D1%80.pdf</v>
      </c>
      <c r="W34" s="2082"/>
      <c r="X34" s="2082"/>
      <c r="Y34" s="2082"/>
      <c r="Z34" s="2082"/>
      <c r="AA34" s="2082"/>
      <c r="AB34" s="2082"/>
      <c r="AC34" s="314"/>
      <c r="AD34" s="2082" t="str">
        <f>IF(TITLE_IST_PUB_CHANGE="",IF(TITLE_IST_PUB="","",TITLE_IST_PUB),TITLE_IST_PUB_CHANGE)</f>
        <v>https://www.gov.spb.ru/static/writable/documents/2023/12/22/%D0%BE%D1%82_20.12.2023__262-%D1%80.pdf</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434</v>
      </c>
      <c r="T36" s="2080"/>
      <c r="U36" s="1389"/>
      <c r="V36" s="2081" t="str">
        <f>IF(TITLE_DATE_PR_CHANGE="",IF(TITLE_DATE_PR="","",TITLE_DATE_PR),TITLE_DATE_PR_CHANGE)</f>
        <v>45280.49324074074</v>
      </c>
      <c r="W36" s="2081"/>
      <c r="X36" s="2081"/>
      <c r="Y36" s="2081"/>
      <c r="Z36" s="2081"/>
      <c r="AA36" s="2081"/>
      <c r="AB36" s="2081"/>
      <c r="AC36" s="314"/>
      <c r="AD36" s="2081" t="str">
        <f>IF(TITLE_DATE_PR_CHANGE="",IF(TITLE_DATE_PR="","",TITLE_DATE_PR),TITLE_DATE_PR_CHANGE)</f>
        <v>45280.49324074074</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435</v>
      </c>
      <c r="T37" s="2080"/>
      <c r="U37" s="1389"/>
      <c r="V37" s="2082" t="str">
        <f>IF(TITLE_NUMBER_PR_CHANGE="",IF(TITLE_NUMBER_PR="","",TITLE_NUMBER_PR),TITLE_NUMBER_PR_CHANGE)</f>
        <v>262-р</v>
      </c>
      <c r="W37" s="2082"/>
      <c r="X37" s="2082"/>
      <c r="Y37" s="2082"/>
      <c r="Z37" s="2082"/>
      <c r="AA37" s="2082"/>
      <c r="AB37" s="2082"/>
      <c r="AC37" s="314"/>
      <c r="AD37" s="2082" t="str">
        <f>IF(TITLE_NUMBER_PR_CHANGE="",IF(TITLE_NUMBER_PR="","",TITLE_NUMBER_PR),TITLE_NUMBER_PR_CHANGE)</f>
        <v>262-р</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471"/>
      <c r="V38" s="314"/>
      <c r="W38" s="314"/>
      <c r="X38" s="314"/>
      <c r="Y38" s="314"/>
      <c r="Z38" s="314"/>
      <c r="AA38" s="314"/>
      <c r="AB38" s="314"/>
      <c r="AC38" s="259" t="s">
        <v>438</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438</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312</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313</v>
      </c>
    </row>
    <row customHeight="1" ht="14.25">
      <c r="Q41" s="272"/>
      <c r="R41" s="368"/>
      <c r="S41" s="2107" t="s">
        <v>87</v>
      </c>
      <c r="T41" s="2044" t="s">
        <v>524</v>
      </c>
      <c r="U41" s="281"/>
      <c r="V41" s="2108" t="s">
        <v>440</v>
      </c>
      <c r="W41" s="2109"/>
      <c r="X41" s="2109"/>
      <c r="Y41" s="2109"/>
      <c r="Z41" s="2109"/>
      <c r="AA41" s="2109"/>
      <c r="AB41" s="2110"/>
      <c r="AC41" s="2111" t="s">
        <v>441</v>
      </c>
      <c r="AD41" s="2155" t="s">
        <v>525</v>
      </c>
      <c r="AE41" s="2128"/>
      <c r="AF41" s="2128"/>
      <c r="AG41" s="2156"/>
      <c r="AH41" s="2155" t="s">
        <v>526</v>
      </c>
      <c r="AI41" s="2128"/>
      <c r="AJ41" s="2128"/>
      <c r="AK41" s="2156"/>
      <c r="AL41" s="2155" t="s">
        <v>527</v>
      </c>
      <c r="AM41" s="2128"/>
      <c r="AN41" s="2128"/>
      <c r="AO41" s="2156"/>
      <c r="AP41" s="2155" t="s">
        <v>528</v>
      </c>
      <c r="AQ41" s="2128"/>
      <c r="AR41" s="2128"/>
      <c r="AS41" s="2156"/>
      <c r="AT41" s="2108" t="s">
        <v>440</v>
      </c>
      <c r="AU41" s="2109"/>
      <c r="AV41" s="2109"/>
      <c r="AW41" s="2109"/>
      <c r="AX41" s="2109"/>
      <c r="AY41" s="2109"/>
      <c r="AZ41" s="2110"/>
      <c r="BA41" s="2111" t="s">
        <v>441</v>
      </c>
      <c r="BB41" s="2114" t="s">
        <v>443</v>
      </c>
      <c r="BC41" s="1953"/>
    </row>
    <row customHeight="1" ht="33.75">
      <c r="Q42" s="272"/>
      <c r="R42" s="368"/>
      <c r="S42" s="2107"/>
      <c r="T42" s="2044"/>
      <c r="U42" s="1026"/>
      <c r="V42" s="2011" t="s">
        <v>529</v>
      </c>
      <c r="W42" s="2012"/>
      <c r="X42" s="2011" t="s">
        <v>530</v>
      </c>
      <c r="Y42" s="2012"/>
      <c r="Z42" s="2126" t="s">
        <v>531</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529</v>
      </c>
      <c r="AU42" s="2012"/>
      <c r="AV42" s="2011" t="s">
        <v>530</v>
      </c>
      <c r="AW42" s="2012"/>
      <c r="AX42" s="2126" t="s">
        <v>531</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134</v>
      </c>
      <c r="C44" s="1387" t="s">
        <v>135</v>
      </c>
      <c r="D44" s="1387" t="s">
        <v>136</v>
      </c>
      <c r="E44" s="1381" t="s">
        <v>448</v>
      </c>
      <c r="F44" s="1381" t="s">
        <v>449</v>
      </c>
      <c r="G44" s="1381" t="s">
        <v>450</v>
      </c>
      <c r="H44" s="1381" t="s">
        <v>451</v>
      </c>
      <c r="I44" s="1381" t="s">
        <v>452</v>
      </c>
      <c r="J44" s="1381" t="s">
        <v>453</v>
      </c>
      <c r="K44" s="1381" t="s">
        <v>454</v>
      </c>
      <c r="L44" s="1381" t="s">
        <v>429</v>
      </c>
      <c r="Q44" s="272"/>
      <c r="R44" s="368"/>
      <c r="S44" s="2107"/>
      <c r="T44" s="2044"/>
      <c r="U44" s="282"/>
      <c r="V44" s="1465" t="s">
        <v>497</v>
      </c>
      <c r="W44" s="1465" t="s">
        <v>498</v>
      </c>
      <c r="X44" s="1465" t="s">
        <v>497</v>
      </c>
      <c r="Y44" s="1465" t="s">
        <v>498</v>
      </c>
      <c r="Z44" s="1472" t="s">
        <v>457</v>
      </c>
      <c r="AA44" s="2103" t="s">
        <v>458</v>
      </c>
      <c r="AB44" s="2104"/>
      <c r="AC44" s="2113"/>
      <c r="AD44" s="2159"/>
      <c r="AE44" s="2160"/>
      <c r="AF44" s="2160"/>
      <c r="AG44" s="2161"/>
      <c r="AH44" s="2159"/>
      <c r="AI44" s="2160"/>
      <c r="AJ44" s="2160"/>
      <c r="AK44" s="2161"/>
      <c r="AL44" s="2159"/>
      <c r="AM44" s="2160"/>
      <c r="AN44" s="2160"/>
      <c r="AO44" s="2161"/>
      <c r="AP44" s="2159"/>
      <c r="AQ44" s="2160"/>
      <c r="AR44" s="2160"/>
      <c r="AS44" s="2161"/>
      <c r="AT44" s="1465" t="s">
        <v>497</v>
      </c>
      <c r="AU44" s="1465" t="s">
        <v>498</v>
      </c>
      <c r="AV44" s="1465" t="s">
        <v>497</v>
      </c>
      <c r="AW44" s="1465" t="s">
        <v>498</v>
      </c>
      <c r="AX44" s="1472" t="s">
        <v>457</v>
      </c>
      <c r="AY44" s="2103" t="s">
        <v>458</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68">
        <f>OFFSET(V45,0,-1)+1</f>
        <v>3</v>
      </c>
      <c r="W45" s="1468">
        <f>OFFSET(W45,0,-1)+1</f>
        <v>4</v>
      </c>
      <c r="X45" s="1468">
        <f>OFFSET(X45,0,-1)+1</f>
        <v>5</v>
      </c>
      <c r="Y45" s="1468">
        <f>OFFSET(Y45,0,-1)+1</f>
        <v>6</v>
      </c>
      <c r="Z45" s="1468">
        <f>OFFSET(Z45,0,-1)+1</f>
        <v>7</v>
      </c>
      <c r="AA45" s="2105">
        <f>OFFSET(AA45,0,-1)+1</f>
        <v>8</v>
      </c>
      <c r="AB45" s="2105"/>
      <c r="AC45" s="1468">
        <f>OFFSET(AC45,0,-2)+1</f>
        <v>9</v>
      </c>
      <c r="AD45" s="1468">
        <f>OFFSET(AD45,0,-1)+1</f>
        <v>10</v>
      </c>
      <c r="AE45" s="1468"/>
      <c r="AF45" s="1468"/>
      <c r="AG45" s="1468"/>
      <c r="AH45" s="1468"/>
      <c r="AI45" s="1468"/>
      <c r="AJ45" s="1468"/>
      <c r="AK45" s="1468"/>
      <c r="AL45" s="1468"/>
      <c r="AM45" s="1468"/>
      <c r="AN45" s="1468"/>
      <c r="AO45" s="1468"/>
      <c r="AP45" s="1468"/>
      <c r="AQ45" s="1468"/>
      <c r="AR45" s="1468"/>
      <c r="AS45" s="1468"/>
      <c r="AT45" s="1468"/>
      <c r="AU45" s="1468"/>
      <c r="AV45" s="1468"/>
      <c r="AW45" s="1468">
        <f>OFFSET(AW45,0,-1)+1</f>
        <v>1</v>
      </c>
      <c r="AX45" s="1468">
        <f>OFFSET(AX45,0,-1)+1</f>
        <v>2</v>
      </c>
      <c r="AY45" s="2105">
        <f>OFFSET(AY45,0,-1)+1</f>
        <v>3</v>
      </c>
      <c r="AZ45" s="2105"/>
      <c r="BA45" s="1468">
        <f>OFFSET(BA45,0,-2)+1</f>
        <v>4</v>
      </c>
      <c r="BB45" s="1250">
        <f>OFFSET(BB45,0,-1)</f>
        <v>4</v>
      </c>
      <c r="BC45" s="1468">
        <f>OFFSET(BC45,0,-1)+1</f>
        <v>5</v>
      </c>
      <c r="BD45" s="507"/>
      <c r="BE45" s="507"/>
      <c r="BF45" s="507"/>
      <c r="BG45" s="507"/>
      <c r="BH45" s="507"/>
    </row>
    <row customHeight="1" ht="21">
      <c r="A46" s="1380" t="s">
        <v>258</v>
      </c>
      <c r="B46" s="1380"/>
      <c r="C46" s="1380"/>
      <c r="D46" s="1380"/>
      <c r="E46" s="2089">
        <v>1</v>
      </c>
      <c r="F46" s="1380"/>
      <c r="G46" s="1380"/>
      <c r="H46" s="1380"/>
      <c r="I46" s="1380"/>
      <c r="J46" s="1380"/>
      <c r="K46" s="1380"/>
      <c r="L46" s="1381"/>
      <c r="M46" s="1382"/>
      <c r="N46" s="1382"/>
      <c r="O46" s="1382"/>
      <c r="P46" s="1426"/>
      <c r="Q46" s="867"/>
      <c r="R46" s="343"/>
      <c r="S46" s="1474">
        <f>INDEX(PT_DIFFERENTIATION_NUM_NTAR,MATCH(A46,PT_DIFFERENTIATION_NTAR_ID,0))</f>
        <v>0</v>
      </c>
      <c r="T46" s="278" t="s">
        <v>122</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258</v>
      </c>
      <c r="B47" s="1380" t="s">
        <v>259</v>
      </c>
      <c r="C47" s="1380"/>
      <c r="D47" s="1380"/>
      <c r="E47" s="2090"/>
      <c r="F47" s="2089">
        <v>1</v>
      </c>
      <c r="G47" s="1380"/>
      <c r="H47" s="1380"/>
      <c r="I47" s="1380"/>
      <c r="J47" s="1380"/>
      <c r="K47" s="1380"/>
      <c r="L47" s="1381"/>
      <c r="M47" s="1382"/>
      <c r="N47" s="1382"/>
      <c r="O47" s="1382"/>
      <c r="P47" s="1427"/>
      <c r="Q47" s="1428"/>
      <c r="R47" s="341"/>
      <c r="S47" s="1474" t="str">
        <f>INDEX(PT_DIFFERENTIATION_NUM_TER,MATCH(B47,PT_DIFFERENTIATION_TER_ID,0))</f>
        <v>.</v>
      </c>
      <c r="T47" s="290" t="s">
        <v>411</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412</v>
      </c>
      <c r="BE47" s="496"/>
      <c r="BF47" s="496" t="str">
        <f>IF(T47="","",T47)</f>
        <v>Территория действия тарифа</v>
      </c>
      <c r="BG47" s="496"/>
      <c r="BH47" s="496"/>
    </row>
    <row customHeight="1" ht="42">
      <c r="A48" s="1380" t="s">
        <v>258</v>
      </c>
      <c r="B48" s="1380" t="s">
        <v>259</v>
      </c>
      <c r="C48" s="1380" t="s">
        <v>260</v>
      </c>
      <c r="D48" s="1380"/>
      <c r="E48" s="2090"/>
      <c r="F48" s="2090"/>
      <c r="G48" s="2089">
        <v>1</v>
      </c>
      <c r="H48" s="1380"/>
      <c r="I48" s="1380"/>
      <c r="J48" s="1380"/>
      <c r="K48" s="1380"/>
      <c r="L48" s="1381"/>
      <c r="M48" s="1382"/>
      <c r="N48" s="1382"/>
      <c r="O48" s="1382"/>
      <c r="P48" s="1429"/>
      <c r="Q48" s="1428"/>
      <c r="R48" s="341"/>
      <c r="S48" s="1474" t="str">
        <f>INDEX(PT_DIFFERENTIATION_NUM_CS,MATCH(C48,PT_DIFFERENTIATION_CS_ID,0))</f>
        <v>..</v>
      </c>
      <c r="T48" s="291" t="s">
        <v>500</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501</v>
      </c>
      <c r="BE48" s="496"/>
      <c r="BF48" s="496" t="str">
        <f>IF(T48="","",T48)</f>
        <v>Наименование централизованной системы холодного водоснабжения</v>
      </c>
      <c r="BG48" s="496"/>
      <c r="BH48" s="496"/>
    </row>
    <row s="1667" customFormat="1" customHeight="1" ht="0">
      <c r="A49" s="1360" t="s">
        <v>258</v>
      </c>
      <c r="B49" s="1360" t="s">
        <v>259</v>
      </c>
      <c r="C49" s="1360" t="s">
        <v>260</v>
      </c>
      <c r="D49" s="1360" t="s">
        <v>532</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416</v>
      </c>
      <c r="BE49" s="496"/>
      <c r="BF49" s="496" t="str">
        <f>IF(T49="","",T49)</f>
        <v/>
      </c>
      <c r="BG49" s="496"/>
      <c r="BH49" s="496"/>
    </row>
    <row s="1667" customFormat="1" customHeight="1" ht="0">
      <c r="A50" s="1360" t="s">
        <v>258</v>
      </c>
      <c r="B50" s="1360" t="s">
        <v>259</v>
      </c>
      <c r="C50" s="1360" t="s">
        <v>260</v>
      </c>
      <c r="D50" s="1360" t="s">
        <v>532</v>
      </c>
      <c r="E50" s="2090"/>
      <c r="F50" s="2090"/>
      <c r="G50" s="2090"/>
      <c r="H50" s="2090"/>
      <c r="I50" s="2091" t="str">
        <f>S49&amp;".1"</f>
        <v>.1</v>
      </c>
      <c r="J50" s="1360"/>
      <c r="K50" s="1360"/>
      <c r="L50" s="1363" t="s">
        <v>417</v>
      </c>
      <c r="M50" s="506"/>
      <c r="N50" s="506"/>
      <c r="O50" s="506"/>
      <c r="P50" s="2093">
        <v>1</v>
      </c>
      <c r="Q50" s="1479"/>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258</v>
      </c>
      <c r="B51" s="1360" t="s">
        <v>259</v>
      </c>
      <c r="C51" s="1360" t="s">
        <v>260</v>
      </c>
      <c r="D51" s="1360" t="s">
        <v>532</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258</v>
      </c>
      <c r="B52" s="1380" t="s">
        <v>259</v>
      </c>
      <c r="C52" s="1380" t="s">
        <v>260</v>
      </c>
      <c r="D52" s="1380" t="s">
        <v>532</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76" t="s">
        <v>61</v>
      </c>
      <c r="AB52" s="1758"/>
      <c r="AC52" s="1476" t="s">
        <v>61</v>
      </c>
      <c r="AD52" s="2026" t="s">
        <v>61</v>
      </c>
      <c r="AE52" s="2162"/>
      <c r="AF52" s="2039">
        <v>1</v>
      </c>
      <c r="AG52" s="2184"/>
      <c r="AH52" s="1963" t="s">
        <v>61</v>
      </c>
      <c r="AI52" s="2162"/>
      <c r="AJ52" s="2039">
        <v>1</v>
      </c>
      <c r="AK52" s="2183" t="s">
        <v>24</v>
      </c>
      <c r="AL52" s="1963" t="s">
        <v>61</v>
      </c>
      <c r="AM52" s="2011"/>
      <c r="AN52" s="2039">
        <v>1</v>
      </c>
      <c r="AO52" s="2188"/>
      <c r="AP52" s="2189" t="s">
        <v>61</v>
      </c>
      <c r="AQ52" s="293"/>
      <c r="AR52" s="1480">
        <v>1</v>
      </c>
      <c r="AS52" s="1483" t="s">
        <v>24</v>
      </c>
      <c r="AT52" s="746"/>
      <c r="AU52" s="1272"/>
      <c r="AV52" s="746"/>
      <c r="AW52" s="1272"/>
      <c r="AX52" s="1758"/>
      <c r="AY52" s="1476" t="s">
        <v>61</v>
      </c>
      <c r="AZ52" s="1758"/>
      <c r="BA52" s="1476" t="s">
        <v>61</v>
      </c>
      <c r="BB52" s="1365"/>
      <c r="BC52" s="2119" t="s">
        <v>518</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519</v>
      </c>
      <c r="AT53" s="1410"/>
      <c r="AU53" s="1513"/>
      <c r="AV53" s="1410"/>
      <c r="AW53" s="1513"/>
      <c r="AX53" s="1410"/>
      <c r="AY53" s="1410"/>
      <c r="AZ53" s="1410"/>
      <c r="BA53" s="1410"/>
      <c r="BB53" s="1414"/>
      <c r="BC53" s="2120"/>
      <c r="BE53" s="496"/>
      <c r="BF53" s="496"/>
      <c r="BG53" s="496"/>
      <c r="BH53" s="496"/>
    </row>
    <row customHeight="1" ht="11.25">
      <c r="A54" s="1380" t="s">
        <v>258</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520</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258</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521</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258</v>
      </c>
      <c r="B56" s="1380" t="s">
        <v>259</v>
      </c>
      <c r="C56" s="1380" t="s">
        <v>260</v>
      </c>
      <c r="D56" s="1380" t="s">
        <v>532</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522</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258</v>
      </c>
      <c r="B57" s="1380" t="s">
        <v>259</v>
      </c>
      <c r="C57" s="1380" t="s">
        <v>260</v>
      </c>
      <c r="D57" s="1380" t="s">
        <v>532</v>
      </c>
      <c r="E57" s="2090"/>
      <c r="F57" s="2090"/>
      <c r="G57" s="2090"/>
      <c r="H57" s="2090"/>
      <c r="I57" s="2092"/>
      <c r="J57" s="2091"/>
      <c r="K57" s="1380"/>
      <c r="L57" s="1381"/>
      <c r="P57" s="2093"/>
      <c r="Q57" s="2093"/>
      <c r="R57" s="344"/>
      <c r="S57" s="1295"/>
      <c r="T57" s="268" t="s">
        <v>486</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258</v>
      </c>
      <c r="B58" s="1360" t="s">
        <v>259</v>
      </c>
      <c r="C58" s="1360" t="s">
        <v>260</v>
      </c>
      <c r="D58" s="1360" t="s">
        <v>532</v>
      </c>
      <c r="E58" s="2090"/>
      <c r="F58" s="2090"/>
      <c r="G58" s="2090"/>
      <c r="H58" s="2090"/>
      <c r="I58" s="2091"/>
      <c r="J58" s="1360"/>
      <c r="K58" s="1360"/>
      <c r="L58" s="1363"/>
      <c r="M58" s="506"/>
      <c r="N58" s="506"/>
      <c r="O58" s="506"/>
      <c r="P58" s="2093"/>
      <c r="Q58" s="1479"/>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258</v>
      </c>
      <c r="B59" s="1360" t="s">
        <v>259</v>
      </c>
      <c r="C59" s="1360" t="s">
        <v>260</v>
      </c>
      <c r="D59" s="1360" t="s">
        <v>532</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258</v>
      </c>
      <c r="B60" s="1360" t="s">
        <v>259</v>
      </c>
      <c r="C60" s="1360" t="s">
        <v>260</v>
      </c>
      <c r="D60" s="1331"/>
      <c r="E60" s="2090"/>
      <c r="F60" s="2090"/>
      <c r="G60" s="2089"/>
      <c r="H60" s="1331"/>
      <c r="I60" s="1331"/>
      <c r="J60" s="1331"/>
      <c r="K60" s="1331"/>
      <c r="L60" s="148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258</v>
      </c>
      <c r="B61" s="1360" t="s">
        <v>259</v>
      </c>
      <c r="C61" s="1331"/>
      <c r="D61" s="1331"/>
      <c r="E61" s="2090"/>
      <c r="F61" s="2089"/>
      <c r="G61" s="1331"/>
      <c r="H61" s="1331"/>
      <c r="I61" s="1331"/>
      <c r="J61" s="1331"/>
      <c r="K61" s="1331"/>
      <c r="L61" s="1481"/>
      <c r="M61" s="1338"/>
      <c r="N61" s="1338"/>
      <c r="P61" s="1333"/>
      <c r="Q61" s="1334"/>
      <c r="R61" s="1333"/>
      <c r="S61" s="1339"/>
      <c r="T61" s="1342" t="s">
        <v>161</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258</v>
      </c>
      <c r="B62" s="1360"/>
      <c r="C62" s="1360"/>
      <c r="D62" s="1360"/>
      <c r="E62" s="2089"/>
      <c r="F62" s="1360"/>
      <c r="G62" s="1360"/>
      <c r="H62" s="1360"/>
      <c r="I62" s="1360"/>
      <c r="J62" s="1360"/>
      <c r="K62" s="1360"/>
      <c r="L62" s="1363"/>
      <c r="M62" s="1338"/>
      <c r="N62" s="1338"/>
      <c r="O62" s="514"/>
      <c r="P62" s="376"/>
      <c r="Q62" s="1361"/>
      <c r="R62" s="376"/>
      <c r="S62" s="1339"/>
      <c r="T62" s="1342" t="s">
        <v>162</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481"/>
      <c r="M63" s="1338"/>
      <c r="N63" s="1338"/>
      <c r="P63" s="1333"/>
      <c r="Q63" s="1334"/>
      <c r="R63" s="1333"/>
      <c r="S63" s="1339"/>
      <c r="T63" s="1342" t="s">
        <v>179</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66"/>
      <c r="U66" s="1466"/>
      <c r="V66" s="1466"/>
      <c r="W66" s="1466"/>
      <c r="X66" s="1466"/>
      <c r="Y66" s="1466"/>
      <c r="Z66" s="1466"/>
      <c r="AA66" s="1466"/>
      <c r="AB66" s="1466"/>
      <c r="AC66" s="1466"/>
      <c r="AD66" s="1466"/>
      <c r="AE66" s="1466"/>
      <c r="AF66" s="1466"/>
      <c r="AG66" s="1466"/>
      <c r="AH66" s="1466"/>
      <c r="AI66" s="1466"/>
      <c r="AJ66" s="1466"/>
      <c r="AK66" s="1466"/>
      <c r="AL66" s="1466"/>
      <c r="AM66" s="1466"/>
      <c r="AN66" s="1466"/>
      <c r="AO66" s="1466"/>
      <c r="AP66" s="1466"/>
      <c r="AQ66" s="1466"/>
      <c r="AR66" s="1466"/>
      <c r="AS66" s="1466"/>
      <c r="AT66" s="1466"/>
      <c r="AU66" s="1466"/>
      <c r="AV66" s="1466"/>
      <c r="AW66" s="1466"/>
      <c r="AX66" s="1466"/>
      <c r="AY66" s="1466"/>
      <c r="AZ66" s="1466"/>
      <c r="BA66" s="1466"/>
      <c r="BB66" s="1466"/>
      <c r="BC66" s="1466"/>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D5927C-F0B3-D8D7-CF57-B86AF1ECE17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411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412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533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534</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502</v>
      </c>
      <c r="U5" s="280"/>
      <c r="V5" s="2176"/>
      <c r="W5" s="2177"/>
      <c r="X5" s="2177"/>
      <c r="Y5" s="2177"/>
      <c r="Z5" s="2177"/>
      <c r="AA5" s="2177"/>
      <c r="AB5" s="2178"/>
      <c r="AC5" s="2179"/>
      <c r="AD5" s="2180"/>
      <c r="AE5" s="2180"/>
      <c r="AF5" s="2180"/>
      <c r="AG5" s="2180"/>
      <c r="AH5" s="2180"/>
      <c r="AI5" s="2180"/>
      <c r="AJ5" s="2181"/>
      <c r="AK5" s="1273" t="s">
        <v>503</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420</v>
      </c>
      <c r="P6" s="2093"/>
      <c r="Q6" s="2093">
        <v>1</v>
      </c>
      <c r="R6" s="345"/>
      <c r="S6" s="1510">
        <f>$J6</f>
      </c>
      <c r="T6" s="267" t="s">
        <v>421</v>
      </c>
      <c r="U6" s="280"/>
      <c r="V6" s="2077"/>
      <c r="W6" s="2078"/>
      <c r="X6" s="2078"/>
      <c r="Y6" s="2078"/>
      <c r="Z6" s="2078"/>
      <c r="AA6" s="2078"/>
      <c r="AB6" s="2079"/>
      <c r="AC6" s="2077"/>
      <c r="AD6" s="2078"/>
      <c r="AE6" s="2078"/>
      <c r="AF6" s="2078"/>
      <c r="AG6" s="2078"/>
      <c r="AH6" s="2078"/>
      <c r="AI6" s="2078"/>
      <c r="AJ6" s="2079"/>
      <c r="AK6" s="1324" t="s">
        <v>504</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505</v>
      </c>
      <c r="U9" s="359"/>
      <c r="V9" s="359"/>
      <c r="W9" s="359"/>
      <c r="X9" s="359"/>
      <c r="Y9" s="359"/>
      <c r="Z9" s="359"/>
      <c r="AA9" s="359"/>
      <c r="AB9" s="359"/>
      <c r="AC9" s="359"/>
      <c r="AD9" s="359"/>
      <c r="AE9" s="359"/>
      <c r="AF9" s="359"/>
      <c r="AG9" s="359"/>
      <c r="AH9" s="359"/>
      <c r="AI9" s="359"/>
      <c r="AJ9" s="359"/>
      <c r="AK9" s="1273" t="s">
        <v>506</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426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507</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161</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162</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428</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429</v>
      </c>
      <c r="P20" s="1379"/>
      <c r="Q20" s="1459"/>
      <c r="R20" s="1459"/>
      <c r="S20" s="724"/>
      <c r="T20" s="1155" t="s">
        <v>430</v>
      </c>
      <c r="Z20" s="166" t="s">
        <v>431</v>
      </c>
      <c r="AB20" s="166" t="s">
        <v>432</v>
      </c>
      <c r="AC20" s="1155" t="s">
        <v>430</v>
      </c>
      <c r="AG20" s="166" t="s">
        <v>433</v>
      </c>
      <c r="AI20" s="166" t="s">
        <v>432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тарифам Санкт-Петербурга</v>
      </c>
      <c r="W27" s="2082"/>
      <c r="X27" s="2082"/>
      <c r="Y27" s="2082"/>
      <c r="Z27" s="2082"/>
      <c r="AA27" s="2082"/>
      <c r="AB27" s="314"/>
      <c r="AC27" s="2082" t="str">
        <f>IF(TITLE_NAME_OR_PR_CHANGE="",IF(TITLE_NAME_OR_PR="","",TITLE_NAME_OR_PR),TITLE_NAME_OR_PR_CHANGE)</f>
        <v>Комитет по тарифам Санкт-Петербурга</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434</v>
      </c>
      <c r="T28" s="2080"/>
      <c r="U28" s="1389"/>
      <c r="V28" s="2081" t="str">
        <f>IF(TITLE_DATE_PR_CHANGE="",IF(TITLE_DATE_PR="","",TITLE_DATE_PR),TITLE_DATE_PR_CHANGE)</f>
        <v>45280.49324074074</v>
      </c>
      <c r="W28" s="2081"/>
      <c r="X28" s="2081"/>
      <c r="Y28" s="2081"/>
      <c r="Z28" s="2081"/>
      <c r="AA28" s="2081"/>
      <c r="AB28" s="314"/>
      <c r="AC28" s="2081" t="str">
        <f>IF(TITLE_DATE_PR_CHANGE="",IF(TITLE_DATE_PR="","",TITLE_DATE_PR),TITLE_DATE_PR_CHANGE)</f>
        <v>45280.49324074074</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435</v>
      </c>
      <c r="T29" s="2080"/>
      <c r="U29" s="1389"/>
      <c r="V29" s="2082" t="str">
        <f>IF(TITLE_NUMBER_PR_CHANGE="",IF(TITLE_NUMBER_PR="","",TITLE_NUMBER_PR),TITLE_NUMBER_PR_CHANGE)</f>
        <v>262-р</v>
      </c>
      <c r="W29" s="2082"/>
      <c r="X29" s="2082"/>
      <c r="Y29" s="2082"/>
      <c r="Z29" s="2082"/>
      <c r="AA29" s="2082"/>
      <c r="AB29" s="314"/>
      <c r="AC29" s="2082" t="str">
        <f>IF(TITLE_NUMBER_PR_CHANGE="",IF(TITLE_NUMBER_PR="","",TITLE_NUMBER_PR),TITLE_NUMBER_PR_CHANGE)</f>
        <v>262-р</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https://www.gov.spb.ru/static/writable/documents/2023/12/22/%D0%BE%D1%82_20.12.2023__262-%D1%80.pdf</v>
      </c>
      <c r="W30" s="2082"/>
      <c r="X30" s="2082"/>
      <c r="Y30" s="2082"/>
      <c r="Z30" s="2082"/>
      <c r="AA30" s="2082"/>
      <c r="AB30" s="314"/>
      <c r="AC30" s="2082" t="str">
        <f>IF(TITLE_IST_PUB_CHANGE="",IF(TITLE_IST_PUB="","",TITLE_IST_PUB),TITLE_IST_PUB_CHANGE)</f>
        <v>https://www.gov.spb.ru/static/writable/documents/2023/12/22/%D0%BE%D1%82_20.12.2023__262-%D1%80.pdf</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436</v>
      </c>
      <c r="T32" s="2080"/>
      <c r="U32" s="1389"/>
      <c r="V32" s="2081" t="str">
        <f>IF(TITLE_DATE_PR_CHANGE="",IF(TITLE_DATE_PR="","",TITLE_DATE_PR),TITLE_DATE_PR_CHANGE)</f>
        <v>45280.49324074074</v>
      </c>
      <c r="W32" s="2081"/>
      <c r="X32" s="2081"/>
      <c r="Y32" s="2081"/>
      <c r="Z32" s="2081"/>
      <c r="AA32" s="2081"/>
      <c r="AB32" s="314"/>
      <c r="AC32" s="2081" t="str">
        <f>IF(TITLE_DATE_PR_CHANGE="",IF(TITLE_DATE_PR="","",TITLE_DATE_PR),TITLE_DATE_PR_CHANGE)</f>
        <v>45280.49324074074</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437</v>
      </c>
      <c r="T33" s="2080"/>
      <c r="U33" s="1389"/>
      <c r="V33" s="2082" t="str">
        <f>IF(TITLE_NUMBER_PR_CHANGE="",IF(TITLE_NUMBER_PR="","",TITLE_NUMBER_PR),TITLE_NUMBER_PR_CHANGE)</f>
        <v>262-р</v>
      </c>
      <c r="W33" s="2082"/>
      <c r="X33" s="2082"/>
      <c r="Y33" s="2082"/>
      <c r="Z33" s="2082"/>
      <c r="AA33" s="2082"/>
      <c r="AB33" s="314"/>
      <c r="AC33" s="2082" t="str">
        <f>IF(TITLE_NUMBER_PR_CHANGE="",IF(TITLE_NUMBER_PR="","",TITLE_NUMBER_PR),TITLE_NUMBER_PR_CHANGE)</f>
        <v>262-р</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438</v>
      </c>
      <c r="AC34" s="314"/>
      <c r="AD34" s="314"/>
      <c r="AE34" s="314"/>
      <c r="AF34" s="314"/>
      <c r="AG34" s="314"/>
      <c r="AH34" s="314"/>
      <c r="AI34" s="259" t="s">
        <v>438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312</v>
      </c>
      <c r="T36" s="1953"/>
      <c r="U36" s="1953"/>
      <c r="V36" s="1953"/>
      <c r="W36" s="1953"/>
      <c r="X36" s="1953"/>
      <c r="Y36" s="1953"/>
      <c r="Z36" s="1953"/>
      <c r="AA36" s="1953"/>
      <c r="AB36" s="1953"/>
      <c r="AC36" s="1953"/>
      <c r="AD36" s="1953"/>
      <c r="AE36" s="1953"/>
      <c r="AF36" s="1953"/>
      <c r="AG36" s="1953"/>
      <c r="AH36" s="1953"/>
      <c r="AI36" s="1953"/>
      <c r="AJ36" s="1953"/>
      <c r="AK36" s="1953" t="s">
        <v>313</v>
      </c>
    </row>
    <row customHeight="1" ht="14.25">
      <c r="Q37" s="368"/>
      <c r="R37" s="368"/>
      <c r="S37" s="2107" t="s">
        <v>87</v>
      </c>
      <c r="T37" s="2044" t="s">
        <v>439</v>
      </c>
      <c r="U37" s="281"/>
      <c r="V37" s="2108" t="s">
        <v>440</v>
      </c>
      <c r="W37" s="2109"/>
      <c r="X37" s="2109"/>
      <c r="Y37" s="2109"/>
      <c r="Z37" s="2109"/>
      <c r="AA37" s="2110"/>
      <c r="AB37" s="2111" t="s">
        <v>441</v>
      </c>
      <c r="AC37" s="2108" t="s">
        <v>440</v>
      </c>
      <c r="AD37" s="2109"/>
      <c r="AE37" s="2109"/>
      <c r="AF37" s="2109"/>
      <c r="AG37" s="2109"/>
      <c r="AH37" s="2110"/>
      <c r="AI37" s="2111" t="s">
        <v>442</v>
      </c>
      <c r="AJ37" s="2114" t="s">
        <v>443</v>
      </c>
      <c r="AK37" s="1953"/>
    </row>
    <row customHeight="1" ht="33.75">
      <c r="Q38" s="368"/>
      <c r="R38" s="368"/>
      <c r="S38" s="2107"/>
      <c r="T38" s="2044"/>
      <c r="U38" s="1026"/>
      <c r="V38" s="1500" t="s">
        <v>508</v>
      </c>
      <c r="W38" s="2100" t="s">
        <v>446</v>
      </c>
      <c r="X38" s="2102"/>
      <c r="Y38" s="2100" t="s">
        <v>447</v>
      </c>
      <c r="Z38" s="2101"/>
      <c r="AA38" s="2102"/>
      <c r="AB38" s="2112"/>
      <c r="AC38" s="1500" t="s">
        <v>508</v>
      </c>
      <c r="AD38" s="2100" t="s">
        <v>446</v>
      </c>
      <c r="AE38" s="2102"/>
      <c r="AF38" s="2100" t="s">
        <v>447</v>
      </c>
      <c r="AG38" s="2101"/>
      <c r="AH38" s="2102"/>
      <c r="AI38" s="2112"/>
      <c r="AJ38" s="2115"/>
      <c r="AK38" s="1953"/>
    </row>
    <row customHeight="1" ht="86.25">
      <c r="A39" s="1387"/>
      <c r="B39" s="1387" t="s">
        <v>134</v>
      </c>
      <c r="C39" s="1387" t="s">
        <v>135</v>
      </c>
      <c r="D39" s="1387" t="s">
        <v>136</v>
      </c>
      <c r="E39" s="1381" t="s">
        <v>448</v>
      </c>
      <c r="F39" s="1381" t="s">
        <v>449</v>
      </c>
      <c r="G39" s="1381" t="s">
        <v>450</v>
      </c>
      <c r="H39" s="1381"/>
      <c r="I39" s="1381" t="s">
        <v>509</v>
      </c>
      <c r="J39" s="1381" t="s">
        <v>453</v>
      </c>
      <c r="K39" s="1381" t="s">
        <v>510</v>
      </c>
      <c r="L39" s="1381" t="s">
        <v>429</v>
      </c>
      <c r="Q39" s="368"/>
      <c r="R39" s="368"/>
      <c r="S39" s="2107"/>
      <c r="T39" s="2044"/>
      <c r="U39" s="282"/>
      <c r="V39" s="1500" t="s">
        <v>535</v>
      </c>
      <c r="W39" s="1224" t="s">
        <v>536</v>
      </c>
      <c r="X39" s="1224" t="s">
        <v>513</v>
      </c>
      <c r="Y39" s="1506" t="s">
        <v>457</v>
      </c>
      <c r="Z39" s="2103" t="s">
        <v>458</v>
      </c>
      <c r="AA39" s="2104"/>
      <c r="AB39" s="2113"/>
      <c r="AC39" s="1500" t="s">
        <v>535</v>
      </c>
      <c r="AD39" s="1224" t="s">
        <v>536</v>
      </c>
      <c r="AE39" s="1224" t="s">
        <v>513</v>
      </c>
      <c r="AF39" s="1506" t="s">
        <v>457</v>
      </c>
      <c r="AG39" s="2103" t="s">
        <v>458</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278</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278</v>
      </c>
      <c r="B42" s="1380" t="s">
        <v>279</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411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412</v>
      </c>
      <c r="AM42" s="496"/>
      <c r="AN42" s="496" t="str">
        <f>IF(T42="","",T42)</f>
        <v>Территория действия тарифа</v>
      </c>
      <c r="AO42" s="496"/>
      <c r="AP42" s="496"/>
    </row>
    <row customHeight="1" ht="23.25">
      <c r="A43" s="1380" t="s">
        <v>278</v>
      </c>
      <c r="B43" s="1380" t="s">
        <v>279</v>
      </c>
      <c r="C43" s="1380" t="s">
        <v>280</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533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534</v>
      </c>
      <c r="AM43" s="496"/>
      <c r="AN43" s="496" t="str">
        <f>IF(T43="","",T43)</f>
        <v>Наименование централизованной системы водоотведения</v>
      </c>
      <c r="AO43" s="496"/>
      <c r="AP43" s="496"/>
    </row>
    <row customHeight="1" ht="23.25">
      <c r="A44" s="1380" t="s">
        <v>278</v>
      </c>
      <c r="B44" s="1380" t="s">
        <v>279</v>
      </c>
      <c r="C44" s="1380" t="s">
        <v>280</v>
      </c>
      <c r="D44" s="1380" t="s">
        <v>537</v>
      </c>
      <c r="E44" s="2090"/>
      <c r="F44" s="2090"/>
      <c r="G44" s="2090"/>
      <c r="H44" s="2090"/>
      <c r="I44" s="2091" t="str">
        <f>S43&amp;".1"</f>
        <v>...1</v>
      </c>
      <c r="J44" s="1380"/>
      <c r="K44" s="1380"/>
      <c r="L44" s="1381"/>
      <c r="P44" s="2093">
        <v>1</v>
      </c>
      <c r="Q44" s="1498"/>
      <c r="R44" s="344"/>
      <c r="S44" s="1510" t="str">
        <f>$I44</f>
        <v>...1</v>
      </c>
      <c r="T44" s="266" t="s">
        <v>502</v>
      </c>
      <c r="U44" s="280"/>
      <c r="V44" s="2176"/>
      <c r="W44" s="2177"/>
      <c r="X44" s="2177"/>
      <c r="Y44" s="2177"/>
      <c r="Z44" s="2177"/>
      <c r="AA44" s="2177"/>
      <c r="AB44" s="2178"/>
      <c r="AC44" s="2179"/>
      <c r="AD44" s="2180"/>
      <c r="AE44" s="2180"/>
      <c r="AF44" s="2180"/>
      <c r="AG44" s="2180"/>
      <c r="AH44" s="2180"/>
      <c r="AI44" s="2180"/>
      <c r="AJ44" s="2181"/>
      <c r="AK44" s="1273" t="s">
        <v>503</v>
      </c>
      <c r="AM44" s="496"/>
      <c r="AN44" s="496" t="str">
        <f>IF(T44="","",T44)</f>
        <v>Наименование признака дифференциации</v>
      </c>
      <c r="AO44" s="496"/>
      <c r="AP44" s="496"/>
    </row>
    <row customHeight="1" ht="23.25">
      <c r="A45" s="1380" t="s">
        <v>278</v>
      </c>
      <c r="B45" s="1380" t="s">
        <v>279</v>
      </c>
      <c r="C45" s="1380" t="s">
        <v>280</v>
      </c>
      <c r="D45" s="1380" t="s">
        <v>537</v>
      </c>
      <c r="E45" s="2090"/>
      <c r="F45" s="2090"/>
      <c r="G45" s="2090"/>
      <c r="H45" s="2090"/>
      <c r="I45" s="2092"/>
      <c r="J45" s="2091" t="str">
        <f>I44&amp;".1"</f>
        <v>...1.1</v>
      </c>
      <c r="K45" s="1380"/>
      <c r="L45" s="1381" t="s">
        <v>420</v>
      </c>
      <c r="P45" s="2093"/>
      <c r="Q45" s="2093">
        <v>1</v>
      </c>
      <c r="R45" s="345"/>
      <c r="S45" s="1510" t="str">
        <f>$J45</f>
        <v>...1.1</v>
      </c>
      <c r="T45" s="267" t="s">
        <v>421</v>
      </c>
      <c r="U45" s="280"/>
      <c r="V45" s="2077"/>
      <c r="W45" s="2078"/>
      <c r="X45" s="2078"/>
      <c r="Y45" s="2078"/>
      <c r="Z45" s="2078"/>
      <c r="AA45" s="2078"/>
      <c r="AB45" s="2079"/>
      <c r="AC45" s="2077"/>
      <c r="AD45" s="2078"/>
      <c r="AE45" s="2078"/>
      <c r="AF45" s="2078"/>
      <c r="AG45" s="2078"/>
      <c r="AH45" s="2078"/>
      <c r="AI45" s="2078"/>
      <c r="AJ45" s="2079"/>
      <c r="AK45" s="1324" t="s">
        <v>504</v>
      </c>
      <c r="AM45" s="496"/>
      <c r="AN45" s="496" t="str">
        <f>IF(T45="","",T45)</f>
        <v>Группа потребителей</v>
      </c>
      <c r="AO45" s="496"/>
      <c r="AP45" s="496"/>
    </row>
    <row customHeight="1" ht="23.25">
      <c r="A46" s="1380" t="s">
        <v>278</v>
      </c>
      <c r="B46" s="1380" t="s">
        <v>279</v>
      </c>
      <c r="C46" s="1380" t="s">
        <v>280</v>
      </c>
      <c r="D46" s="1380" t="s">
        <v>537</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61</v>
      </c>
      <c r="AA46" s="2087"/>
      <c r="AB46" s="2086" t="s">
        <v>61</v>
      </c>
      <c r="AC46" s="746"/>
      <c r="AD46" s="746"/>
      <c r="AE46" s="1272"/>
      <c r="AF46" s="2094"/>
      <c r="AG46" s="1963" t="s">
        <v>61</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278</v>
      </c>
      <c r="B47" s="1380" t="s">
        <v>279</v>
      </c>
      <c r="C47" s="1380" t="s">
        <v>280</v>
      </c>
      <c r="D47" s="1380" t="s">
        <v>537</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278</v>
      </c>
      <c r="B48" s="1380" t="s">
        <v>279</v>
      </c>
      <c r="C48" s="1380" t="s">
        <v>280</v>
      </c>
      <c r="D48" s="1380" t="s">
        <v>537</v>
      </c>
      <c r="E48" s="2090"/>
      <c r="F48" s="2090"/>
      <c r="G48" s="2090"/>
      <c r="H48" s="2090"/>
      <c r="I48" s="2092"/>
      <c r="J48" s="2091"/>
      <c r="K48" s="1380"/>
      <c r="L48" s="1381"/>
      <c r="P48" s="2093"/>
      <c r="Q48" s="2093"/>
      <c r="R48" s="344"/>
      <c r="S48" s="1295"/>
      <c r="T48" s="268" t="s">
        <v>505</v>
      </c>
      <c r="U48" s="359"/>
      <c r="V48" s="359"/>
      <c r="W48" s="359"/>
      <c r="X48" s="359"/>
      <c r="Y48" s="359"/>
      <c r="Z48" s="359"/>
      <c r="AA48" s="359"/>
      <c r="AB48" s="359"/>
      <c r="AC48" s="359"/>
      <c r="AD48" s="359"/>
      <c r="AE48" s="359"/>
      <c r="AF48" s="359"/>
      <c r="AG48" s="359"/>
      <c r="AH48" s="359"/>
      <c r="AI48" s="359"/>
      <c r="AJ48" s="359"/>
      <c r="AK48" s="1273" t="s">
        <v>506</v>
      </c>
      <c r="AM48" s="496"/>
      <c r="AN48" s="496" t="str">
        <f>IF(T48="","",T48)</f>
        <v>Добавить значение признака дифференциации</v>
      </c>
      <c r="AO48" s="496"/>
      <c r="AP48" s="496"/>
    </row>
    <row customHeight="1" ht="21">
      <c r="A49" s="1380" t="s">
        <v>278</v>
      </c>
      <c r="B49" s="1380" t="s">
        <v>279</v>
      </c>
      <c r="C49" s="1380" t="s">
        <v>280</v>
      </c>
      <c r="D49" s="1380" t="s">
        <v>537</v>
      </c>
      <c r="E49" s="2090"/>
      <c r="F49" s="2090"/>
      <c r="G49" s="2090"/>
      <c r="H49" s="2090"/>
      <c r="I49" s="2091"/>
      <c r="J49" s="1380"/>
      <c r="K49" s="1380"/>
      <c r="L49" s="1381"/>
      <c r="P49" s="2093"/>
      <c r="Q49" s="1498"/>
      <c r="R49" s="344"/>
      <c r="S49" s="1295"/>
      <c r="T49" s="356" t="s">
        <v>426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278</v>
      </c>
      <c r="B50" s="1380" t="s">
        <v>279</v>
      </c>
      <c r="C50" s="1380" t="s">
        <v>280</v>
      </c>
      <c r="D50" s="1380" t="s">
        <v>537</v>
      </c>
      <c r="E50" s="2090"/>
      <c r="F50" s="2090"/>
      <c r="G50" s="2090"/>
      <c r="H50" s="2089"/>
      <c r="I50" s="1380"/>
      <c r="J50" s="1380"/>
      <c r="K50" s="1380"/>
      <c r="L50" s="1381"/>
      <c r="M50" s="1382"/>
      <c r="N50" s="1382"/>
      <c r="O50" s="533"/>
      <c r="P50" s="348"/>
      <c r="Q50" s="367"/>
      <c r="R50" s="343"/>
      <c r="S50" s="1295"/>
      <c r="T50" s="364" t="s">
        <v>507</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278</v>
      </c>
      <c r="B51" s="1360" t="s">
        <v>279</v>
      </c>
      <c r="C51" s="1331"/>
      <c r="D51" s="1331"/>
      <c r="E51" s="2090"/>
      <c r="F51" s="2089"/>
      <c r="G51" s="1331"/>
      <c r="H51" s="1331"/>
      <c r="I51" s="1331"/>
      <c r="J51" s="1331"/>
      <c r="K51" s="1331"/>
      <c r="L51" s="1511"/>
      <c r="M51" s="1338"/>
      <c r="N51" s="1338"/>
      <c r="P51" s="1333"/>
      <c r="Q51" s="1334"/>
      <c r="R51" s="1333"/>
      <c r="S51" s="1339"/>
      <c r="T51" s="1342" t="s">
        <v>161</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278</v>
      </c>
      <c r="B52" s="1360"/>
      <c r="C52" s="1360"/>
      <c r="D52" s="1360"/>
      <c r="E52" s="2089"/>
      <c r="F52" s="1360"/>
      <c r="G52" s="1360"/>
      <c r="H52" s="1360"/>
      <c r="I52" s="1360"/>
      <c r="J52" s="1360"/>
      <c r="K52" s="1360"/>
      <c r="L52" s="1363"/>
      <c r="M52" s="1338"/>
      <c r="N52" s="1338"/>
      <c r="O52" s="514"/>
      <c r="P52" s="376"/>
      <c r="Q52" s="1361"/>
      <c r="R52" s="376"/>
      <c r="S52" s="1339"/>
      <c r="T52" s="1342" t="s">
        <v>162</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179</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7354CD-8382-A0C7-4BCA-487FC7F322F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411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412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533</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534</v>
      </c>
      <c r="AM4" s="496"/>
      <c r="AN4" s="496" t="str">
        <f>IF(T4="","",T4)</f>
        <v>Наименование централизованной системы водоотведения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502</v>
      </c>
      <c r="U5" s="280"/>
      <c r="V5" s="2176"/>
      <c r="W5" s="2177"/>
      <c r="X5" s="2177"/>
      <c r="Y5" s="2177"/>
      <c r="Z5" s="2177"/>
      <c r="AA5" s="2177"/>
      <c r="AB5" s="2178"/>
      <c r="AC5" s="2179"/>
      <c r="AD5" s="2180"/>
      <c r="AE5" s="2180"/>
      <c r="AF5" s="2180"/>
      <c r="AG5" s="2180"/>
      <c r="AH5" s="2180"/>
      <c r="AI5" s="2180"/>
      <c r="AJ5" s="2181"/>
      <c r="AK5" s="1273" t="s">
        <v>503</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420</v>
      </c>
      <c r="P6" s="2093"/>
      <c r="Q6" s="2093">
        <v>1</v>
      </c>
      <c r="R6" s="345"/>
      <c r="S6" s="1510">
        <f>$J6</f>
      </c>
      <c r="T6" s="267" t="s">
        <v>421</v>
      </c>
      <c r="U6" s="280"/>
      <c r="V6" s="2077"/>
      <c r="W6" s="2078"/>
      <c r="X6" s="2078"/>
      <c r="Y6" s="2078"/>
      <c r="Z6" s="2078"/>
      <c r="AA6" s="2078"/>
      <c r="AB6" s="2079"/>
      <c r="AC6" s="2077"/>
      <c r="AD6" s="2078"/>
      <c r="AE6" s="2078"/>
      <c r="AF6" s="2078"/>
      <c r="AG6" s="2078"/>
      <c r="AH6" s="2078"/>
      <c r="AI6" s="2078"/>
      <c r="AJ6" s="2079"/>
      <c r="AK6" s="1324" t="s">
        <v>504</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505</v>
      </c>
      <c r="U9" s="359"/>
      <c r="V9" s="359"/>
      <c r="W9" s="359"/>
      <c r="X9" s="359"/>
      <c r="Y9" s="359"/>
      <c r="Z9" s="359"/>
      <c r="AA9" s="359"/>
      <c r="AB9" s="359"/>
      <c r="AC9" s="359"/>
      <c r="AD9" s="359"/>
      <c r="AE9" s="359"/>
      <c r="AF9" s="359"/>
      <c r="AG9" s="359"/>
      <c r="AH9" s="359"/>
      <c r="AI9" s="359"/>
      <c r="AJ9" s="359"/>
      <c r="AK9" s="1273" t="s">
        <v>506</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426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507</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161</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162</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428</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429</v>
      </c>
      <c r="P20" s="1379"/>
      <c r="Q20" s="1459"/>
      <c r="R20" s="1459"/>
      <c r="S20" s="724"/>
      <c r="T20" s="1155" t="s">
        <v>430</v>
      </c>
      <c r="Z20" s="166" t="s">
        <v>431</v>
      </c>
      <c r="AB20" s="166" t="s">
        <v>432</v>
      </c>
      <c r="AC20" s="1155" t="s">
        <v>430</v>
      </c>
      <c r="AG20" s="166" t="s">
        <v>433</v>
      </c>
      <c r="AI20" s="166" t="s">
        <v>432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14.25">
      <c r="Q24" s="368"/>
      <c r="R24" s="368"/>
      <c r="S24" s="2122"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тарифам Санкт-Петербурга</v>
      </c>
      <c r="W27" s="2082"/>
      <c r="X27" s="2082"/>
      <c r="Y27" s="2082"/>
      <c r="Z27" s="2082"/>
      <c r="AA27" s="2082"/>
      <c r="AB27" s="314"/>
      <c r="AC27" s="2082" t="str">
        <f>IF(TITLE_NAME_OR_PR_CHANGE="",IF(TITLE_NAME_OR_PR="","",TITLE_NAME_OR_PR),TITLE_NAME_OR_PR_CHANGE)</f>
        <v>Комитет по тарифам Санкт-Петербурга</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434</v>
      </c>
      <c r="T28" s="2080"/>
      <c r="U28" s="1389"/>
      <c r="V28" s="2081" t="str">
        <f>IF(TITLE_DATE_PR_CHANGE="",IF(TITLE_DATE_PR="","",TITLE_DATE_PR),TITLE_DATE_PR_CHANGE)</f>
        <v>45280.49324074074</v>
      </c>
      <c r="W28" s="2081"/>
      <c r="X28" s="2081"/>
      <c r="Y28" s="2081"/>
      <c r="Z28" s="2081"/>
      <c r="AA28" s="2081"/>
      <c r="AB28" s="314"/>
      <c r="AC28" s="2081" t="str">
        <f>IF(TITLE_DATE_PR_CHANGE="",IF(TITLE_DATE_PR="","",TITLE_DATE_PR),TITLE_DATE_PR_CHANGE)</f>
        <v>45280.49324074074</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435</v>
      </c>
      <c r="T29" s="2080"/>
      <c r="U29" s="1389"/>
      <c r="V29" s="2082" t="str">
        <f>IF(TITLE_NUMBER_PR_CHANGE="",IF(TITLE_NUMBER_PR="","",TITLE_NUMBER_PR),TITLE_NUMBER_PR_CHANGE)</f>
        <v>262-р</v>
      </c>
      <c r="W29" s="2082"/>
      <c r="X29" s="2082"/>
      <c r="Y29" s="2082"/>
      <c r="Z29" s="2082"/>
      <c r="AA29" s="2082"/>
      <c r="AB29" s="314"/>
      <c r="AC29" s="2082" t="str">
        <f>IF(TITLE_NUMBER_PR_CHANGE="",IF(TITLE_NUMBER_PR="","",TITLE_NUMBER_PR),TITLE_NUMBER_PR_CHANGE)</f>
        <v>262-р</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https://www.gov.spb.ru/static/writable/documents/2023/12/22/%D0%BE%D1%82_20.12.2023__262-%D1%80.pdf</v>
      </c>
      <c r="W30" s="2082"/>
      <c r="X30" s="2082"/>
      <c r="Y30" s="2082"/>
      <c r="Z30" s="2082"/>
      <c r="AA30" s="2082"/>
      <c r="AB30" s="314"/>
      <c r="AC30" s="2082" t="str">
        <f>IF(TITLE_IST_PUB_CHANGE="",IF(TITLE_IST_PUB="","",TITLE_IST_PUB),TITLE_IST_PUB_CHANGE)</f>
        <v>https://www.gov.spb.ru/static/writable/documents/2023/12/22/%D0%BE%D1%82_20.12.2023__262-%D1%80.pdf</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436</v>
      </c>
      <c r="T32" s="2080"/>
      <c r="U32" s="1389"/>
      <c r="V32" s="2081" t="str">
        <f>IF(TITLE_DATE_PR_CHANGE="",IF(TITLE_DATE_PR="","",TITLE_DATE_PR),TITLE_DATE_PR_CHANGE)</f>
        <v>45280.49324074074</v>
      </c>
      <c r="W32" s="2081"/>
      <c r="X32" s="2081"/>
      <c r="Y32" s="2081"/>
      <c r="Z32" s="2081"/>
      <c r="AA32" s="2081"/>
      <c r="AB32" s="314"/>
      <c r="AC32" s="2081" t="str">
        <f>IF(TITLE_DATE_PR_CHANGE="",IF(TITLE_DATE_PR="","",TITLE_DATE_PR),TITLE_DATE_PR_CHANGE)</f>
        <v>45280.49324074074</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437</v>
      </c>
      <c r="T33" s="2080"/>
      <c r="U33" s="1389"/>
      <c r="V33" s="2082" t="str">
        <f>IF(TITLE_NUMBER_PR_CHANGE="",IF(TITLE_NUMBER_PR="","",TITLE_NUMBER_PR),TITLE_NUMBER_PR_CHANGE)</f>
        <v>262-р</v>
      </c>
      <c r="W33" s="2082"/>
      <c r="X33" s="2082"/>
      <c r="Y33" s="2082"/>
      <c r="Z33" s="2082"/>
      <c r="AA33" s="2082"/>
      <c r="AB33" s="314"/>
      <c r="AC33" s="2082" t="str">
        <f>IF(TITLE_NUMBER_PR_CHANGE="",IF(TITLE_NUMBER_PR="","",TITLE_NUMBER_PR),TITLE_NUMBER_PR_CHANGE)</f>
        <v>262-р</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438</v>
      </c>
      <c r="AC34" s="314"/>
      <c r="AD34" s="314"/>
      <c r="AE34" s="314"/>
      <c r="AF34" s="314"/>
      <c r="AG34" s="314"/>
      <c r="AH34" s="314"/>
      <c r="AI34" s="259" t="s">
        <v>438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312</v>
      </c>
      <c r="T36" s="1953"/>
      <c r="U36" s="1953"/>
      <c r="V36" s="1953"/>
      <c r="W36" s="1953"/>
      <c r="X36" s="1953"/>
      <c r="Y36" s="1953"/>
      <c r="Z36" s="1953"/>
      <c r="AA36" s="1953"/>
      <c r="AB36" s="1953"/>
      <c r="AC36" s="1953"/>
      <c r="AD36" s="1953"/>
      <c r="AE36" s="1953"/>
      <c r="AF36" s="1953"/>
      <c r="AG36" s="1953"/>
      <c r="AH36" s="1953"/>
      <c r="AI36" s="1953"/>
      <c r="AJ36" s="1953"/>
      <c r="AK36" s="1953" t="s">
        <v>313</v>
      </c>
    </row>
    <row customHeight="1" ht="14.25">
      <c r="Q37" s="368"/>
      <c r="R37" s="368"/>
      <c r="S37" s="2107" t="s">
        <v>87</v>
      </c>
      <c r="T37" s="2044" t="s">
        <v>439</v>
      </c>
      <c r="U37" s="281"/>
      <c r="V37" s="2108" t="s">
        <v>440</v>
      </c>
      <c r="W37" s="2109"/>
      <c r="X37" s="2109"/>
      <c r="Y37" s="2109"/>
      <c r="Z37" s="2109"/>
      <c r="AA37" s="2110"/>
      <c r="AB37" s="2111" t="s">
        <v>441</v>
      </c>
      <c r="AC37" s="2108" t="s">
        <v>440</v>
      </c>
      <c r="AD37" s="2109"/>
      <c r="AE37" s="2109"/>
      <c r="AF37" s="2109"/>
      <c r="AG37" s="2109"/>
      <c r="AH37" s="2110"/>
      <c r="AI37" s="2111" t="s">
        <v>442</v>
      </c>
      <c r="AJ37" s="2114" t="s">
        <v>443</v>
      </c>
      <c r="AK37" s="1953"/>
    </row>
    <row customHeight="1" ht="33.75">
      <c r="Q38" s="368"/>
      <c r="R38" s="368"/>
      <c r="S38" s="2107"/>
      <c r="T38" s="2044"/>
      <c r="U38" s="1026"/>
      <c r="V38" s="1500" t="s">
        <v>508</v>
      </c>
      <c r="W38" s="2100" t="s">
        <v>446</v>
      </c>
      <c r="X38" s="2102"/>
      <c r="Y38" s="2100" t="s">
        <v>447</v>
      </c>
      <c r="Z38" s="2101"/>
      <c r="AA38" s="2102"/>
      <c r="AB38" s="2112"/>
      <c r="AC38" s="1500" t="s">
        <v>508</v>
      </c>
      <c r="AD38" s="2100" t="s">
        <v>446</v>
      </c>
      <c r="AE38" s="2102"/>
      <c r="AF38" s="2100" t="s">
        <v>447</v>
      </c>
      <c r="AG38" s="2101"/>
      <c r="AH38" s="2102"/>
      <c r="AI38" s="2112"/>
      <c r="AJ38" s="2115"/>
      <c r="AK38" s="1953"/>
    </row>
    <row customHeight="1" ht="86.25">
      <c r="A39" s="1387"/>
      <c r="B39" s="1387" t="s">
        <v>134</v>
      </c>
      <c r="C39" s="1387" t="s">
        <v>135</v>
      </c>
      <c r="D39" s="1387" t="s">
        <v>136</v>
      </c>
      <c r="E39" s="1381" t="s">
        <v>448</v>
      </c>
      <c r="F39" s="1381" t="s">
        <v>449</v>
      </c>
      <c r="G39" s="1381" t="s">
        <v>450</v>
      </c>
      <c r="H39" s="1381"/>
      <c r="I39" s="1381" t="s">
        <v>509</v>
      </c>
      <c r="J39" s="1381" t="s">
        <v>453</v>
      </c>
      <c r="K39" s="1381" t="s">
        <v>510</v>
      </c>
      <c r="L39" s="1381" t="s">
        <v>429</v>
      </c>
      <c r="Q39" s="368"/>
      <c r="R39" s="368"/>
      <c r="S39" s="2107"/>
      <c r="T39" s="2044"/>
      <c r="U39" s="282"/>
      <c r="V39" s="1500" t="s">
        <v>535</v>
      </c>
      <c r="W39" s="1224" t="s">
        <v>536</v>
      </c>
      <c r="X39" s="1224" t="s">
        <v>513</v>
      </c>
      <c r="Y39" s="1506" t="s">
        <v>457</v>
      </c>
      <c r="Z39" s="2103" t="s">
        <v>458</v>
      </c>
      <c r="AA39" s="2104"/>
      <c r="AB39" s="2113"/>
      <c r="AC39" s="1500" t="s">
        <v>535</v>
      </c>
      <c r="AD39" s="1224" t="s">
        <v>536</v>
      </c>
      <c r="AE39" s="1224" t="s">
        <v>513</v>
      </c>
      <c r="AF39" s="1506" t="s">
        <v>457</v>
      </c>
      <c r="AG39" s="2103" t="s">
        <v>458</v>
      </c>
      <c r="AH39" s="2104"/>
      <c r="AI39" s="2113"/>
      <c r="AJ39" s="2116"/>
      <c r="AK39" s="1953"/>
    </row>
    <row s="1666" customFormat="1" customHeight="1" ht="0">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283</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283</v>
      </c>
      <c r="B42" s="1380" t="s">
        <v>284</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411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412</v>
      </c>
      <c r="AM42" s="496"/>
      <c r="AN42" s="496" t="str">
        <f>IF(T42="","",T42)</f>
        <v>Территория действия тарифа</v>
      </c>
      <c r="AO42" s="496"/>
      <c r="AP42" s="496"/>
    </row>
    <row customHeight="1" ht="23.25">
      <c r="A43" s="1380" t="s">
        <v>283</v>
      </c>
      <c r="B43" s="1380" t="s">
        <v>284</v>
      </c>
      <c r="C43" s="1380" t="s">
        <v>285</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533</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534</v>
      </c>
      <c r="AM43" s="496"/>
      <c r="AN43" s="496" t="str">
        <f>IF(T43="","",T43)</f>
        <v>Наименование централизованной системы водоотведения</v>
      </c>
      <c r="AO43" s="496"/>
      <c r="AP43" s="496"/>
    </row>
    <row customHeight="1" ht="23.25">
      <c r="A44" s="1380" t="s">
        <v>283</v>
      </c>
      <c r="B44" s="1380" t="s">
        <v>284</v>
      </c>
      <c r="C44" s="1380" t="s">
        <v>285</v>
      </c>
      <c r="D44" s="1380" t="s">
        <v>538</v>
      </c>
      <c r="E44" s="2090"/>
      <c r="F44" s="2090"/>
      <c r="G44" s="2090"/>
      <c r="H44" s="2090"/>
      <c r="I44" s="2091" t="str">
        <f>S43&amp;".1"</f>
        <v>...1</v>
      </c>
      <c r="J44" s="1380"/>
      <c r="K44" s="1380"/>
      <c r="L44" s="1381"/>
      <c r="P44" s="2093">
        <v>1</v>
      </c>
      <c r="Q44" s="1498"/>
      <c r="R44" s="344"/>
      <c r="S44" s="1510" t="str">
        <f>$I44</f>
        <v>...1</v>
      </c>
      <c r="T44" s="266" t="s">
        <v>502</v>
      </c>
      <c r="U44" s="280"/>
      <c r="V44" s="2176"/>
      <c r="W44" s="2177"/>
      <c r="X44" s="2177"/>
      <c r="Y44" s="2177"/>
      <c r="Z44" s="2177"/>
      <c r="AA44" s="2177"/>
      <c r="AB44" s="2178"/>
      <c r="AC44" s="2179"/>
      <c r="AD44" s="2180"/>
      <c r="AE44" s="2180"/>
      <c r="AF44" s="2180"/>
      <c r="AG44" s="2180"/>
      <c r="AH44" s="2180"/>
      <c r="AI44" s="2180"/>
      <c r="AJ44" s="2181"/>
      <c r="AK44" s="1273" t="s">
        <v>503</v>
      </c>
      <c r="AM44" s="496"/>
      <c r="AN44" s="496" t="str">
        <f>IF(T44="","",T44)</f>
        <v>Наименование признака дифференциации</v>
      </c>
      <c r="AO44" s="496"/>
      <c r="AP44" s="496"/>
    </row>
    <row customHeight="1" ht="23.25">
      <c r="A45" s="1380" t="s">
        <v>283</v>
      </c>
      <c r="B45" s="1380" t="s">
        <v>284</v>
      </c>
      <c r="C45" s="1380" t="s">
        <v>285</v>
      </c>
      <c r="D45" s="1380" t="s">
        <v>538</v>
      </c>
      <c r="E45" s="2090"/>
      <c r="F45" s="2090"/>
      <c r="G45" s="2090"/>
      <c r="H45" s="2090"/>
      <c r="I45" s="2092"/>
      <c r="J45" s="2091" t="str">
        <f>I44&amp;".1"</f>
        <v>...1.1</v>
      </c>
      <c r="K45" s="1380"/>
      <c r="L45" s="1381" t="s">
        <v>420</v>
      </c>
      <c r="P45" s="2093"/>
      <c r="Q45" s="2093">
        <v>1</v>
      </c>
      <c r="R45" s="345"/>
      <c r="S45" s="1510" t="str">
        <f>$J45</f>
        <v>...1.1</v>
      </c>
      <c r="T45" s="267" t="s">
        <v>421</v>
      </c>
      <c r="U45" s="280"/>
      <c r="V45" s="2077"/>
      <c r="W45" s="2078"/>
      <c r="X45" s="2078"/>
      <c r="Y45" s="2078"/>
      <c r="Z45" s="2078"/>
      <c r="AA45" s="2078"/>
      <c r="AB45" s="2079"/>
      <c r="AC45" s="2077"/>
      <c r="AD45" s="2078"/>
      <c r="AE45" s="2078"/>
      <c r="AF45" s="2078"/>
      <c r="AG45" s="2078"/>
      <c r="AH45" s="2078"/>
      <c r="AI45" s="2078"/>
      <c r="AJ45" s="2079"/>
      <c r="AK45" s="1324" t="s">
        <v>504</v>
      </c>
      <c r="AM45" s="496"/>
      <c r="AN45" s="496" t="str">
        <f>IF(T45="","",T45)</f>
        <v>Группа потребителей</v>
      </c>
      <c r="AO45" s="496"/>
      <c r="AP45" s="496"/>
    </row>
    <row customHeight="1" ht="23.25">
      <c r="A46" s="1380" t="s">
        <v>283</v>
      </c>
      <c r="B46" s="1380" t="s">
        <v>284</v>
      </c>
      <c r="C46" s="1380" t="s">
        <v>285</v>
      </c>
      <c r="D46" s="1380" t="s">
        <v>538</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61</v>
      </c>
      <c r="AA46" s="2087"/>
      <c r="AB46" s="2086" t="s">
        <v>61</v>
      </c>
      <c r="AC46" s="746"/>
      <c r="AD46" s="746"/>
      <c r="AE46" s="1272"/>
      <c r="AF46" s="2094"/>
      <c r="AG46" s="1963" t="s">
        <v>61</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283</v>
      </c>
      <c r="B47" s="1380" t="s">
        <v>284</v>
      </c>
      <c r="C47" s="1380" t="s">
        <v>285</v>
      </c>
      <c r="D47" s="1380" t="s">
        <v>538</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283</v>
      </c>
      <c r="B48" s="1380" t="s">
        <v>284</v>
      </c>
      <c r="C48" s="1380" t="s">
        <v>285</v>
      </c>
      <c r="D48" s="1380" t="s">
        <v>538</v>
      </c>
      <c r="E48" s="2090"/>
      <c r="F48" s="2090"/>
      <c r="G48" s="2090"/>
      <c r="H48" s="2090"/>
      <c r="I48" s="2092"/>
      <c r="J48" s="2091"/>
      <c r="K48" s="1380"/>
      <c r="L48" s="1381"/>
      <c r="P48" s="2093"/>
      <c r="Q48" s="2093"/>
      <c r="R48" s="344"/>
      <c r="S48" s="1295"/>
      <c r="T48" s="268" t="s">
        <v>505</v>
      </c>
      <c r="U48" s="359"/>
      <c r="V48" s="359"/>
      <c r="W48" s="359"/>
      <c r="X48" s="359"/>
      <c r="Y48" s="359"/>
      <c r="Z48" s="359"/>
      <c r="AA48" s="359"/>
      <c r="AB48" s="359"/>
      <c r="AC48" s="359"/>
      <c r="AD48" s="359"/>
      <c r="AE48" s="359"/>
      <c r="AF48" s="359"/>
      <c r="AG48" s="359"/>
      <c r="AH48" s="359"/>
      <c r="AI48" s="359"/>
      <c r="AJ48" s="359"/>
      <c r="AK48" s="1273" t="s">
        <v>506</v>
      </c>
      <c r="AM48" s="496"/>
      <c r="AN48" s="496" t="str">
        <f>IF(T48="","",T48)</f>
        <v>Добавить значение признака дифференциации</v>
      </c>
      <c r="AO48" s="496"/>
      <c r="AP48" s="496"/>
    </row>
    <row customHeight="1" ht="21">
      <c r="A49" s="1380" t="s">
        <v>283</v>
      </c>
      <c r="B49" s="1380" t="s">
        <v>284</v>
      </c>
      <c r="C49" s="1380" t="s">
        <v>285</v>
      </c>
      <c r="D49" s="1380" t="s">
        <v>538</v>
      </c>
      <c r="E49" s="2090"/>
      <c r="F49" s="2090"/>
      <c r="G49" s="2090"/>
      <c r="H49" s="2090"/>
      <c r="I49" s="2091"/>
      <c r="J49" s="1380"/>
      <c r="K49" s="1380"/>
      <c r="L49" s="1381"/>
      <c r="P49" s="2093"/>
      <c r="Q49" s="1498"/>
      <c r="R49" s="344"/>
      <c r="S49" s="1295"/>
      <c r="T49" s="356" t="s">
        <v>426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283</v>
      </c>
      <c r="B50" s="1380" t="s">
        <v>284</v>
      </c>
      <c r="C50" s="1380" t="s">
        <v>285</v>
      </c>
      <c r="D50" s="1380" t="s">
        <v>538</v>
      </c>
      <c r="E50" s="2090"/>
      <c r="F50" s="2090"/>
      <c r="G50" s="2090"/>
      <c r="H50" s="2089"/>
      <c r="I50" s="1380"/>
      <c r="J50" s="1380"/>
      <c r="K50" s="1380"/>
      <c r="L50" s="1381"/>
      <c r="M50" s="1382"/>
      <c r="N50" s="1382"/>
      <c r="O50" s="533"/>
      <c r="P50" s="348"/>
      <c r="Q50" s="367"/>
      <c r="R50" s="343"/>
      <c r="S50" s="1295"/>
      <c r="T50" s="364" t="s">
        <v>507</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283</v>
      </c>
      <c r="B51" s="1360" t="s">
        <v>284</v>
      </c>
      <c r="C51" s="1331"/>
      <c r="D51" s="1331"/>
      <c r="E51" s="2090"/>
      <c r="F51" s="2089"/>
      <c r="G51" s="1331"/>
      <c r="H51" s="1331"/>
      <c r="I51" s="1331"/>
      <c r="J51" s="1331"/>
      <c r="K51" s="1331"/>
      <c r="L51" s="1511"/>
      <c r="M51" s="1338"/>
      <c r="N51" s="1338"/>
      <c r="P51" s="1333"/>
      <c r="Q51" s="1334"/>
      <c r="R51" s="1333"/>
      <c r="S51" s="1339"/>
      <c r="T51" s="1342" t="s">
        <v>161</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283</v>
      </c>
      <c r="B52" s="1360"/>
      <c r="C52" s="1360"/>
      <c r="D52" s="1360"/>
      <c r="E52" s="2089"/>
      <c r="F52" s="1360"/>
      <c r="G52" s="1360"/>
      <c r="H52" s="1360"/>
      <c r="I52" s="1360"/>
      <c r="J52" s="1360"/>
      <c r="K52" s="1360"/>
      <c r="L52" s="1363"/>
      <c r="M52" s="1338"/>
      <c r="N52" s="1338"/>
      <c r="O52" s="514"/>
      <c r="P52" s="376"/>
      <c r="Q52" s="1361"/>
      <c r="R52" s="376"/>
      <c r="S52" s="1339"/>
      <c r="T52" s="1342" t="s">
        <v>162</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179</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DCD9B6-4B04-0CF6-D7A6-35A72551251F}"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122</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411</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412</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533</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534</v>
      </c>
      <c r="BE4" s="496"/>
      <c r="BF4" s="496" t="str">
        <f>IF(T4="","",T4)</f>
        <v>Наименование централизованной системы водоотведения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416</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417</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61</v>
      </c>
      <c r="AB8" s="1758"/>
      <c r="AC8" s="1486" t="s">
        <v>61</v>
      </c>
      <c r="AD8" s="2026" t="s">
        <v>61</v>
      </c>
      <c r="AE8" s="2162"/>
      <c r="AF8" s="2039">
        <v>1</v>
      </c>
      <c r="AG8" s="2184"/>
      <c r="AH8" s="1963" t="s">
        <v>61</v>
      </c>
      <c r="AI8" s="2162"/>
      <c r="AJ8" s="2039">
        <v>1</v>
      </c>
      <c r="AK8" s="2183" t="s">
        <v>24</v>
      </c>
      <c r="AL8" s="1963" t="s">
        <v>61</v>
      </c>
      <c r="AM8" s="2011"/>
      <c r="AN8" s="2039">
        <v>1</v>
      </c>
      <c r="AO8" s="2188"/>
      <c r="AP8" s="2189" t="s">
        <v>61</v>
      </c>
      <c r="AQ8" s="293"/>
      <c r="AR8" s="1503">
        <v>1</v>
      </c>
      <c r="AS8" s="1509" t="s">
        <v>24</v>
      </c>
      <c r="AT8" s="746"/>
      <c r="AU8" s="1272"/>
      <c r="AV8" s="746"/>
      <c r="AW8" s="1272"/>
      <c r="AX8" s="1758"/>
      <c r="AY8" s="1486" t="s">
        <v>61</v>
      </c>
      <c r="AZ8" s="1758"/>
      <c r="BA8" s="1486" t="s">
        <v>61</v>
      </c>
      <c r="BB8" s="1365"/>
      <c r="BC8" s="2119" t="s">
        <v>518</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519</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539</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540</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522</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486</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161</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162</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502" t="s">
        <v>61</v>
      </c>
      <c r="AZ20" s="1760"/>
      <c r="BA20" s="1502" t="s">
        <v>61</v>
      </c>
    </row>
    <row customHeight="1" ht="14.25" hidden="1">
      <c r="BD21" s="492"/>
      <c r="BE21" s="492"/>
      <c r="BF21" s="492"/>
      <c r="BG21" s="492"/>
      <c r="BH21" s="492"/>
    </row>
    <row customHeight="1" ht="14.25" hidden="1">
      <c r="O22" s="1384" t="s">
        <v>428</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429</v>
      </c>
      <c r="P24" s="1525"/>
      <c r="Q24" s="1527"/>
      <c r="R24" s="1527"/>
      <c r="AA24" s="1524" t="s">
        <v>431</v>
      </c>
      <c r="AC24" s="1524" t="s">
        <v>432</v>
      </c>
      <c r="AD24" s="1524" t="s">
        <v>487</v>
      </c>
      <c r="AH24" s="1524" t="s">
        <v>487</v>
      </c>
      <c r="AK24" s="1524" t="s">
        <v>523</v>
      </c>
      <c r="AL24" s="1524" t="s">
        <v>487</v>
      </c>
      <c r="AP24" s="1524" t="s">
        <v>487</v>
      </c>
      <c r="AY24" s="1524" t="s">
        <v>431</v>
      </c>
      <c r="BA24" s="1524" t="s">
        <v>432</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ПАО "ТГК-1" филиал "Невский"</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Комитет по тарифам Санкт-Петербурга</v>
      </c>
      <c r="W31" s="2082"/>
      <c r="X31" s="2082"/>
      <c r="Y31" s="2082"/>
      <c r="Z31" s="2082"/>
      <c r="AA31" s="2082"/>
      <c r="AB31" s="2082"/>
      <c r="AC31" s="314"/>
      <c r="AD31" s="2082" t="str">
        <f>IF(TITLE_NAME_OR_PR_CHANGE="",IF(TITLE_NAME_OR_PR="","",TITLE_NAME_OR_PR),TITLE_NAME_OR_PR_CHANGE)</f>
        <v>Комитет по тарифам Санкт-Петербурга</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434</v>
      </c>
      <c r="T32" s="2080"/>
      <c r="U32" s="1389"/>
      <c r="V32" s="2081" t="str">
        <f>IF(TITLE_DATE_PR_CHANGE="",IF(TITLE_DATE_PR="","",TITLE_DATE_PR),TITLE_DATE_PR_CHANGE)</f>
        <v>45280.49324074074</v>
      </c>
      <c r="W32" s="2081"/>
      <c r="X32" s="2081"/>
      <c r="Y32" s="2081"/>
      <c r="Z32" s="2081"/>
      <c r="AA32" s="2081"/>
      <c r="AB32" s="2081"/>
      <c r="AC32" s="314"/>
      <c r="AD32" s="2081" t="str">
        <f>IF(TITLE_DATE_PR_CHANGE="",IF(TITLE_DATE_PR="","",TITLE_DATE_PR),TITLE_DATE_PR_CHANGE)</f>
        <v>45280.49324074074</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435</v>
      </c>
      <c r="T33" s="2080"/>
      <c r="U33" s="1389"/>
      <c r="V33" s="2082" t="str">
        <f>IF(TITLE_NUMBER_PR_CHANGE="",IF(TITLE_NUMBER_PR="","",TITLE_NUMBER_PR),TITLE_NUMBER_PR_CHANGE)</f>
        <v>262-р</v>
      </c>
      <c r="W33" s="2082"/>
      <c r="X33" s="2082"/>
      <c r="Y33" s="2082"/>
      <c r="Z33" s="2082"/>
      <c r="AA33" s="2082"/>
      <c r="AB33" s="2082"/>
      <c r="AC33" s="314"/>
      <c r="AD33" s="2082" t="str">
        <f>IF(TITLE_NUMBER_PR_CHANGE="",IF(TITLE_NUMBER_PR="","",TITLE_NUMBER_PR),TITLE_NUMBER_PR_CHANGE)</f>
        <v>262-р</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https://www.gov.spb.ru/static/writable/documents/2023/12/22/%D0%BE%D1%82_20.12.2023__262-%D1%80.pdf</v>
      </c>
      <c r="W34" s="2082"/>
      <c r="X34" s="2082"/>
      <c r="Y34" s="2082"/>
      <c r="Z34" s="2082"/>
      <c r="AA34" s="2082"/>
      <c r="AB34" s="2082"/>
      <c r="AC34" s="314"/>
      <c r="AD34" s="2082" t="str">
        <f>IF(TITLE_IST_PUB_CHANGE="",IF(TITLE_IST_PUB="","",TITLE_IST_PUB),TITLE_IST_PUB_CHANGE)</f>
        <v>https://www.gov.spb.ru/static/writable/documents/2023/12/22/%D0%BE%D1%82_20.12.2023__262-%D1%80.pdf</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434</v>
      </c>
      <c r="T36" s="2080"/>
      <c r="U36" s="1389"/>
      <c r="V36" s="2081" t="str">
        <f>IF(TITLE_DATE_PR_CHANGE="",IF(TITLE_DATE_PR="","",TITLE_DATE_PR),TITLE_DATE_PR_CHANGE)</f>
        <v>45280.49324074074</v>
      </c>
      <c r="W36" s="2081"/>
      <c r="X36" s="2081"/>
      <c r="Y36" s="2081"/>
      <c r="Z36" s="2081"/>
      <c r="AA36" s="2081"/>
      <c r="AB36" s="2081"/>
      <c r="AC36" s="314"/>
      <c r="AD36" s="2081" t="str">
        <f>IF(TITLE_DATE_PR_CHANGE="",IF(TITLE_DATE_PR="","",TITLE_DATE_PR),TITLE_DATE_PR_CHANGE)</f>
        <v>45280.49324074074</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435</v>
      </c>
      <c r="T37" s="2080"/>
      <c r="U37" s="1389"/>
      <c r="V37" s="2082" t="str">
        <f>IF(TITLE_NUMBER_PR_CHANGE="",IF(TITLE_NUMBER_PR="","",TITLE_NUMBER_PR),TITLE_NUMBER_PR_CHANGE)</f>
        <v>262-р</v>
      </c>
      <c r="W37" s="2082"/>
      <c r="X37" s="2082"/>
      <c r="Y37" s="2082"/>
      <c r="Z37" s="2082"/>
      <c r="AA37" s="2082"/>
      <c r="AB37" s="2082"/>
      <c r="AC37" s="314"/>
      <c r="AD37" s="2082" t="str">
        <f>IF(TITLE_NUMBER_PR_CHANGE="",IF(TITLE_NUMBER_PR="","",TITLE_NUMBER_PR),TITLE_NUMBER_PR_CHANGE)</f>
        <v>262-р</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438</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438</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312</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313</v>
      </c>
    </row>
    <row customHeight="1" ht="14.25">
      <c r="Q41" s="272"/>
      <c r="R41" s="368"/>
      <c r="S41" s="2107" t="s">
        <v>87</v>
      </c>
      <c r="T41" s="2044" t="s">
        <v>524</v>
      </c>
      <c r="U41" s="281"/>
      <c r="V41" s="2108" t="s">
        <v>440</v>
      </c>
      <c r="W41" s="2109"/>
      <c r="X41" s="2109"/>
      <c r="Y41" s="2109"/>
      <c r="Z41" s="2109"/>
      <c r="AA41" s="2109"/>
      <c r="AB41" s="2110"/>
      <c r="AC41" s="2111" t="s">
        <v>441</v>
      </c>
      <c r="AD41" s="2155" t="s">
        <v>541</v>
      </c>
      <c r="AE41" s="2128"/>
      <c r="AF41" s="2128"/>
      <c r="AG41" s="2156"/>
      <c r="AH41" s="2155" t="s">
        <v>542</v>
      </c>
      <c r="AI41" s="2128"/>
      <c r="AJ41" s="2128"/>
      <c r="AK41" s="2156"/>
      <c r="AL41" s="2155" t="s">
        <v>543</v>
      </c>
      <c r="AM41" s="2128"/>
      <c r="AN41" s="2128"/>
      <c r="AO41" s="2156"/>
      <c r="AP41" s="2155" t="s">
        <v>528</v>
      </c>
      <c r="AQ41" s="2128"/>
      <c r="AR41" s="2128"/>
      <c r="AS41" s="2156"/>
      <c r="AT41" s="2108" t="s">
        <v>440</v>
      </c>
      <c r="AU41" s="2109"/>
      <c r="AV41" s="2109"/>
      <c r="AW41" s="2109"/>
      <c r="AX41" s="2109"/>
      <c r="AY41" s="2109"/>
      <c r="AZ41" s="2110"/>
      <c r="BA41" s="2111" t="s">
        <v>441</v>
      </c>
      <c r="BB41" s="2114" t="s">
        <v>443</v>
      </c>
      <c r="BC41" s="1953"/>
    </row>
    <row customHeight="1" ht="33.75">
      <c r="Q42" s="272"/>
      <c r="R42" s="368"/>
      <c r="S42" s="2107"/>
      <c r="T42" s="2044"/>
      <c r="U42" s="1026"/>
      <c r="V42" s="2011" t="s">
        <v>529</v>
      </c>
      <c r="W42" s="2012"/>
      <c r="X42" s="2011" t="s">
        <v>530</v>
      </c>
      <c r="Y42" s="2012"/>
      <c r="Z42" s="2126" t="s">
        <v>531</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544</v>
      </c>
      <c r="AU42" s="2012"/>
      <c r="AV42" s="2011" t="s">
        <v>545</v>
      </c>
      <c r="AW42" s="2012"/>
      <c r="AX42" s="2126" t="s">
        <v>531</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134</v>
      </c>
      <c r="C44" s="1387" t="s">
        <v>135</v>
      </c>
      <c r="D44" s="1387" t="s">
        <v>136</v>
      </c>
      <c r="E44" s="1381" t="s">
        <v>448</v>
      </c>
      <c r="F44" s="1381" t="s">
        <v>449</v>
      </c>
      <c r="G44" s="1381" t="s">
        <v>450</v>
      </c>
      <c r="H44" s="1381" t="s">
        <v>451</v>
      </c>
      <c r="I44" s="1381" t="s">
        <v>452</v>
      </c>
      <c r="J44" s="1381" t="s">
        <v>453</v>
      </c>
      <c r="K44" s="1381" t="s">
        <v>454</v>
      </c>
      <c r="L44" s="1381" t="s">
        <v>429</v>
      </c>
      <c r="Q44" s="272"/>
      <c r="R44" s="368"/>
      <c r="S44" s="2107"/>
      <c r="T44" s="2044"/>
      <c r="U44" s="282"/>
      <c r="V44" s="1496" t="s">
        <v>497</v>
      </c>
      <c r="W44" s="1496" t="s">
        <v>498</v>
      </c>
      <c r="X44" s="1496" t="s">
        <v>497</v>
      </c>
      <c r="Y44" s="1496" t="s">
        <v>498</v>
      </c>
      <c r="Z44" s="1506" t="s">
        <v>457</v>
      </c>
      <c r="AA44" s="2103" t="s">
        <v>458</v>
      </c>
      <c r="AB44" s="2104"/>
      <c r="AC44" s="2113"/>
      <c r="AD44" s="2159"/>
      <c r="AE44" s="2160"/>
      <c r="AF44" s="2160"/>
      <c r="AG44" s="2161"/>
      <c r="AH44" s="2159"/>
      <c r="AI44" s="2160"/>
      <c r="AJ44" s="2160"/>
      <c r="AK44" s="2161"/>
      <c r="AL44" s="2159"/>
      <c r="AM44" s="2160"/>
      <c r="AN44" s="2160"/>
      <c r="AO44" s="2161"/>
      <c r="AP44" s="2159"/>
      <c r="AQ44" s="2160"/>
      <c r="AR44" s="2160"/>
      <c r="AS44" s="2161"/>
      <c r="AT44" s="1496" t="s">
        <v>497</v>
      </c>
      <c r="AU44" s="1496" t="s">
        <v>498</v>
      </c>
      <c r="AV44" s="1496" t="s">
        <v>497</v>
      </c>
      <c r="AW44" s="1496" t="s">
        <v>498</v>
      </c>
      <c r="AX44" s="1506" t="s">
        <v>457</v>
      </c>
      <c r="AY44" s="2103" t="s">
        <v>458</v>
      </c>
      <c r="AZ44" s="2104"/>
      <c r="BA44" s="2113"/>
      <c r="BB44" s="2116"/>
      <c r="BC44" s="1953"/>
    </row>
    <row s="1666" customFormat="1" customHeight="1" ht="11.25" hidden="1">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288</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122</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288</v>
      </c>
      <c r="B47" s="1380" t="s">
        <v>289</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411</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412</v>
      </c>
      <c r="BE47" s="496"/>
      <c r="BF47" s="496" t="str">
        <f>IF(T47="","",T47)</f>
        <v>Территория действия тарифа</v>
      </c>
      <c r="BG47" s="496"/>
      <c r="BH47" s="496"/>
    </row>
    <row customHeight="1" ht="33.75">
      <c r="A48" s="1380" t="s">
        <v>288</v>
      </c>
      <c r="B48" s="1380" t="s">
        <v>289</v>
      </c>
      <c r="C48" s="1380" t="s">
        <v>290</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533</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534</v>
      </c>
      <c r="BE48" s="496"/>
      <c r="BF48" s="496" t="str">
        <f>IF(T48="","",T48)</f>
        <v>Наименование централизованной системы водоотведения</v>
      </c>
      <c r="BG48" s="496"/>
      <c r="BH48" s="496"/>
    </row>
    <row s="1667" customFormat="1" customHeight="1" ht="0">
      <c r="A49" s="1360" t="s">
        <v>288</v>
      </c>
      <c r="B49" s="1360" t="s">
        <v>289</v>
      </c>
      <c r="C49" s="1360" t="s">
        <v>290</v>
      </c>
      <c r="D49" s="1360" t="s">
        <v>546</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416</v>
      </c>
      <c r="BE49" s="496"/>
      <c r="BF49" s="496" t="str">
        <f>IF(T49="","",T49)</f>
        <v/>
      </c>
      <c r="BG49" s="496"/>
      <c r="BH49" s="496"/>
    </row>
    <row s="1667" customFormat="1" customHeight="1" ht="0">
      <c r="A50" s="1360" t="s">
        <v>288</v>
      </c>
      <c r="B50" s="1360" t="s">
        <v>289</v>
      </c>
      <c r="C50" s="1360" t="s">
        <v>290</v>
      </c>
      <c r="D50" s="1360" t="s">
        <v>546</v>
      </c>
      <c r="E50" s="2090"/>
      <c r="F50" s="2090"/>
      <c r="G50" s="2090"/>
      <c r="H50" s="2090"/>
      <c r="I50" s="2091" t="str">
        <f>S49&amp;".1"</f>
        <v>.1</v>
      </c>
      <c r="J50" s="1360"/>
      <c r="K50" s="1360"/>
      <c r="L50" s="1363" t="s">
        <v>417</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288</v>
      </c>
      <c r="B51" s="1360" t="s">
        <v>289</v>
      </c>
      <c r="C51" s="1360" t="s">
        <v>290</v>
      </c>
      <c r="D51" s="1360" t="s">
        <v>546</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288</v>
      </c>
      <c r="B52" s="1380" t="s">
        <v>289</v>
      </c>
      <c r="C52" s="1380" t="s">
        <v>290</v>
      </c>
      <c r="D52" s="1380" t="s">
        <v>546</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61</v>
      </c>
      <c r="AB52" s="1758"/>
      <c r="AC52" s="1486" t="s">
        <v>61</v>
      </c>
      <c r="AD52" s="2026" t="s">
        <v>61</v>
      </c>
      <c r="AE52" s="2162"/>
      <c r="AF52" s="2039">
        <v>1</v>
      </c>
      <c r="AG52" s="2184"/>
      <c r="AH52" s="1963" t="s">
        <v>61</v>
      </c>
      <c r="AI52" s="2162"/>
      <c r="AJ52" s="2039">
        <v>1</v>
      </c>
      <c r="AK52" s="2183" t="s">
        <v>24</v>
      </c>
      <c r="AL52" s="1963" t="s">
        <v>61</v>
      </c>
      <c r="AM52" s="2011"/>
      <c r="AN52" s="2039">
        <v>1</v>
      </c>
      <c r="AO52" s="2188"/>
      <c r="AP52" s="2189" t="s">
        <v>61</v>
      </c>
      <c r="AQ52" s="293"/>
      <c r="AR52" s="1503">
        <v>1</v>
      </c>
      <c r="AS52" s="1509" t="s">
        <v>24</v>
      </c>
      <c r="AT52" s="746"/>
      <c r="AU52" s="1272"/>
      <c r="AV52" s="746"/>
      <c r="AW52" s="1272"/>
      <c r="AX52" s="1758"/>
      <c r="AY52" s="1486" t="s">
        <v>61</v>
      </c>
      <c r="AZ52" s="1758"/>
      <c r="BA52" s="1486" t="s">
        <v>61</v>
      </c>
      <c r="BB52" s="1365"/>
      <c r="BC52" s="2119" t="s">
        <v>518</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519</v>
      </c>
      <c r="AT53" s="1410"/>
      <c r="AU53" s="1513"/>
      <c r="AV53" s="1410"/>
      <c r="AW53" s="1513"/>
      <c r="AX53" s="1410"/>
      <c r="AY53" s="1410"/>
      <c r="AZ53" s="1410"/>
      <c r="BA53" s="1410"/>
      <c r="BB53" s="1414"/>
      <c r="BC53" s="2120"/>
      <c r="BE53" s="496"/>
      <c r="BF53" s="496"/>
      <c r="BG53" s="496"/>
      <c r="BH53" s="496"/>
    </row>
    <row customHeight="1" ht="11.25">
      <c r="A54" s="1380" t="s">
        <v>288</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539</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288</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540</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288</v>
      </c>
      <c r="B56" s="1380" t="s">
        <v>289</v>
      </c>
      <c r="C56" s="1380" t="s">
        <v>290</v>
      </c>
      <c r="D56" s="1380" t="s">
        <v>546</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522</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288</v>
      </c>
      <c r="B57" s="1380" t="s">
        <v>289</v>
      </c>
      <c r="C57" s="1380" t="s">
        <v>290</v>
      </c>
      <c r="D57" s="1380" t="s">
        <v>546</v>
      </c>
      <c r="E57" s="2090"/>
      <c r="F57" s="2090"/>
      <c r="G57" s="2090"/>
      <c r="H57" s="2090"/>
      <c r="I57" s="2092"/>
      <c r="J57" s="2091"/>
      <c r="K57" s="1380"/>
      <c r="L57" s="1381"/>
      <c r="P57" s="2093"/>
      <c r="Q57" s="2093"/>
      <c r="R57" s="344"/>
      <c r="S57" s="1295"/>
      <c r="T57" s="268" t="s">
        <v>486</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288</v>
      </c>
      <c r="B58" s="1360" t="s">
        <v>289</v>
      </c>
      <c r="C58" s="1360" t="s">
        <v>290</v>
      </c>
      <c r="D58" s="1360" t="s">
        <v>546</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288</v>
      </c>
      <c r="B59" s="1360" t="s">
        <v>289</v>
      </c>
      <c r="C59" s="1360" t="s">
        <v>290</v>
      </c>
      <c r="D59" s="1360" t="s">
        <v>546</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288</v>
      </c>
      <c r="B60" s="1360" t="s">
        <v>289</v>
      </c>
      <c r="C60" s="1360" t="s">
        <v>290</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288</v>
      </c>
      <c r="B61" s="1360" t="s">
        <v>289</v>
      </c>
      <c r="C61" s="1331"/>
      <c r="D61" s="1331"/>
      <c r="E61" s="2090"/>
      <c r="F61" s="2089"/>
      <c r="G61" s="1331"/>
      <c r="H61" s="1331"/>
      <c r="I61" s="1331"/>
      <c r="J61" s="1331"/>
      <c r="K61" s="1331"/>
      <c r="L61" s="1511"/>
      <c r="M61" s="1338"/>
      <c r="N61" s="1338"/>
      <c r="P61" s="1333"/>
      <c r="Q61" s="1334"/>
      <c r="R61" s="1333"/>
      <c r="S61" s="1339"/>
      <c r="T61" s="1342" t="s">
        <v>161</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288</v>
      </c>
      <c r="B62" s="1360"/>
      <c r="C62" s="1360"/>
      <c r="D62" s="1360"/>
      <c r="E62" s="2089"/>
      <c r="F62" s="1360"/>
      <c r="G62" s="1360"/>
      <c r="H62" s="1360"/>
      <c r="I62" s="1360"/>
      <c r="J62" s="1360"/>
      <c r="K62" s="1360"/>
      <c r="L62" s="1363"/>
      <c r="M62" s="1338"/>
      <c r="N62" s="1338"/>
      <c r="O62" s="514"/>
      <c r="P62" s="376"/>
      <c r="Q62" s="1361"/>
      <c r="R62" s="376"/>
      <c r="S62" s="1339"/>
      <c r="T62" s="1342" t="s">
        <v>162</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179</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4.2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4.2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795FB5-7359-0E14-F957-E135EB406EE9}"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411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412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547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548</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502</v>
      </c>
      <c r="U5" s="280"/>
      <c r="V5" s="2176"/>
      <c r="W5" s="2177"/>
      <c r="X5" s="2177"/>
      <c r="Y5" s="2177"/>
      <c r="Z5" s="2177"/>
      <c r="AA5" s="2177"/>
      <c r="AB5" s="2178"/>
      <c r="AC5" s="2179"/>
      <c r="AD5" s="2180"/>
      <c r="AE5" s="2180"/>
      <c r="AF5" s="2180"/>
      <c r="AG5" s="2180"/>
      <c r="AH5" s="2180"/>
      <c r="AI5" s="2180"/>
      <c r="AJ5" s="2181"/>
      <c r="AK5" s="1273" t="s">
        <v>503</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420</v>
      </c>
      <c r="P6" s="2093"/>
      <c r="Q6" s="2093">
        <v>1</v>
      </c>
      <c r="R6" s="345"/>
      <c r="S6" s="1510">
        <f>$J6</f>
      </c>
      <c r="T6" s="267" t="s">
        <v>421</v>
      </c>
      <c r="U6" s="280"/>
      <c r="V6" s="2077"/>
      <c r="W6" s="2078"/>
      <c r="X6" s="2078"/>
      <c r="Y6" s="2078"/>
      <c r="Z6" s="2078"/>
      <c r="AA6" s="2078"/>
      <c r="AB6" s="2079"/>
      <c r="AC6" s="2077"/>
      <c r="AD6" s="2078"/>
      <c r="AE6" s="2078"/>
      <c r="AF6" s="2078"/>
      <c r="AG6" s="2078"/>
      <c r="AH6" s="2078"/>
      <c r="AI6" s="2078"/>
      <c r="AJ6" s="2079"/>
      <c r="AK6" s="1324" t="s">
        <v>504</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505</v>
      </c>
      <c r="U9" s="359"/>
      <c r="V9" s="359"/>
      <c r="W9" s="359"/>
      <c r="X9" s="359"/>
      <c r="Y9" s="359"/>
      <c r="Z9" s="359"/>
      <c r="AA9" s="359"/>
      <c r="AB9" s="359"/>
      <c r="AC9" s="359"/>
      <c r="AD9" s="359"/>
      <c r="AE9" s="359"/>
      <c r="AF9" s="359"/>
      <c r="AG9" s="359"/>
      <c r="AH9" s="359"/>
      <c r="AI9" s="359"/>
      <c r="AJ9" s="359"/>
      <c r="AK9" s="1273" t="s">
        <v>506</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426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507</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161</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162</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428</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429</v>
      </c>
      <c r="P20" s="1379"/>
      <c r="Q20" s="1459"/>
      <c r="R20" s="1459"/>
      <c r="S20" s="724"/>
      <c r="T20" s="1155" t="s">
        <v>430</v>
      </c>
      <c r="Z20" s="166" t="s">
        <v>431</v>
      </c>
      <c r="AB20" s="166" t="s">
        <v>432</v>
      </c>
      <c r="AC20" s="1155" t="s">
        <v>430</v>
      </c>
      <c r="AG20" s="166" t="s">
        <v>433</v>
      </c>
      <c r="AI20" s="166" t="s">
        <v>432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9.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тарифам Санкт-Петербурга</v>
      </c>
      <c r="W27" s="2082"/>
      <c r="X27" s="2082"/>
      <c r="Y27" s="2082"/>
      <c r="Z27" s="2082"/>
      <c r="AA27" s="2082"/>
      <c r="AB27" s="314"/>
      <c r="AC27" s="2082" t="str">
        <f>IF(TITLE_NAME_OR_PR_CHANGE="",IF(TITLE_NAME_OR_PR="","",TITLE_NAME_OR_PR),TITLE_NAME_OR_PR_CHANGE)</f>
        <v>Комитет по тарифам Санкт-Петербурга</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434</v>
      </c>
      <c r="T28" s="2080"/>
      <c r="U28" s="1389"/>
      <c r="V28" s="2081" t="str">
        <f>IF(TITLE_DATE_PR_CHANGE="",IF(TITLE_DATE_PR="","",TITLE_DATE_PR),TITLE_DATE_PR_CHANGE)</f>
        <v>45280.49324074074</v>
      </c>
      <c r="W28" s="2081"/>
      <c r="X28" s="2081"/>
      <c r="Y28" s="2081"/>
      <c r="Z28" s="2081"/>
      <c r="AA28" s="2081"/>
      <c r="AB28" s="314"/>
      <c r="AC28" s="2081" t="str">
        <f>IF(TITLE_DATE_PR_CHANGE="",IF(TITLE_DATE_PR="","",TITLE_DATE_PR),TITLE_DATE_PR_CHANGE)</f>
        <v>45280.49324074074</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435</v>
      </c>
      <c r="T29" s="2080"/>
      <c r="U29" s="1389"/>
      <c r="V29" s="2082" t="str">
        <f>IF(TITLE_NUMBER_PR_CHANGE="",IF(TITLE_NUMBER_PR="","",TITLE_NUMBER_PR),TITLE_NUMBER_PR_CHANGE)</f>
        <v>262-р</v>
      </c>
      <c r="W29" s="2082"/>
      <c r="X29" s="2082"/>
      <c r="Y29" s="2082"/>
      <c r="Z29" s="2082"/>
      <c r="AA29" s="2082"/>
      <c r="AB29" s="314"/>
      <c r="AC29" s="2082" t="str">
        <f>IF(TITLE_NUMBER_PR_CHANGE="",IF(TITLE_NUMBER_PR="","",TITLE_NUMBER_PR),TITLE_NUMBER_PR_CHANGE)</f>
        <v>262-р</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https://www.gov.spb.ru/static/writable/documents/2023/12/22/%D0%BE%D1%82_20.12.2023__262-%D1%80.pdf</v>
      </c>
      <c r="W30" s="2082"/>
      <c r="X30" s="2082"/>
      <c r="Y30" s="2082"/>
      <c r="Z30" s="2082"/>
      <c r="AA30" s="2082"/>
      <c r="AB30" s="314"/>
      <c r="AC30" s="2082" t="str">
        <f>IF(TITLE_IST_PUB_CHANGE="",IF(TITLE_IST_PUB="","",TITLE_IST_PUB),TITLE_IST_PUB_CHANGE)</f>
        <v>https://www.gov.spb.ru/static/writable/documents/2023/12/22/%D0%BE%D1%82_20.12.2023__262-%D1%80.pdf</v>
      </c>
      <c r="AD30" s="2082"/>
      <c r="AE30" s="2082"/>
      <c r="AF30" s="2082"/>
      <c r="AG30" s="2082"/>
      <c r="AH30" s="2082"/>
      <c r="AI30" s="314"/>
      <c r="AJ30" s="314"/>
      <c r="AK30" s="261"/>
      <c r="AL30" s="360"/>
      <c r="AM30" s="360"/>
      <c r="AN30" s="360"/>
      <c r="AO30" s="360"/>
      <c r="AP30" s="360"/>
    </row>
    <row customHeight="1" ht="14.25" hidden="1">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hidden="1">
      <c r="A32" s="1385"/>
      <c r="B32" s="1385"/>
      <c r="C32" s="1385"/>
      <c r="D32" s="1385"/>
      <c r="E32" s="1385"/>
      <c r="F32" s="1385"/>
      <c r="G32" s="1385"/>
      <c r="H32" s="1385"/>
      <c r="I32" s="1385"/>
      <c r="J32" s="1385"/>
      <c r="K32" s="1385"/>
      <c r="L32" s="1386"/>
      <c r="M32" s="1385"/>
      <c r="N32" s="1385"/>
      <c r="O32" s="1385"/>
      <c r="S32" s="2080" t="s">
        <v>436</v>
      </c>
      <c r="T32" s="2080"/>
      <c r="U32" s="1389"/>
      <c r="V32" s="2081" t="str">
        <f>IF(TITLE_DATE_PR_CHANGE="",IF(TITLE_DATE_PR="","",TITLE_DATE_PR),TITLE_DATE_PR_CHANGE)</f>
        <v>45280.49324074074</v>
      </c>
      <c r="W32" s="2081"/>
      <c r="X32" s="2081"/>
      <c r="Y32" s="2081"/>
      <c r="Z32" s="2081"/>
      <c r="AA32" s="2081"/>
      <c r="AB32" s="314"/>
      <c r="AC32" s="2081" t="str">
        <f>IF(TITLE_DATE_PR_CHANGE="",IF(TITLE_DATE_PR="","",TITLE_DATE_PR),TITLE_DATE_PR_CHANGE)</f>
        <v>45280.49324074074</v>
      </c>
      <c r="AD32" s="2081"/>
      <c r="AE32" s="2081"/>
      <c r="AF32" s="2081"/>
      <c r="AG32" s="2081"/>
      <c r="AH32" s="2081"/>
      <c r="AI32" s="314"/>
      <c r="AJ32" s="314"/>
      <c r="AK32" s="261"/>
      <c r="AL32" s="360"/>
      <c r="AM32" s="360"/>
      <c r="AN32" s="360"/>
      <c r="AO32" s="360"/>
      <c r="AP32" s="360"/>
    </row>
    <row s="1877" customFormat="1" customHeight="1" ht="18.75" hidden="1">
      <c r="A33" s="1385"/>
      <c r="B33" s="1385"/>
      <c r="C33" s="1385"/>
      <c r="D33" s="1385"/>
      <c r="E33" s="1385"/>
      <c r="F33" s="1385"/>
      <c r="G33" s="1385"/>
      <c r="H33" s="1385"/>
      <c r="I33" s="1385"/>
      <c r="J33" s="1385"/>
      <c r="K33" s="1385"/>
      <c r="L33" s="1386"/>
      <c r="M33" s="1385"/>
      <c r="N33" s="1385"/>
      <c r="O33" s="1385"/>
      <c r="S33" s="2080" t="s">
        <v>437</v>
      </c>
      <c r="T33" s="2080"/>
      <c r="U33" s="1389"/>
      <c r="V33" s="2082" t="str">
        <f>IF(TITLE_NUMBER_PR_CHANGE="",IF(TITLE_NUMBER_PR="","",TITLE_NUMBER_PR),TITLE_NUMBER_PR_CHANGE)</f>
        <v>262-р</v>
      </c>
      <c r="W33" s="2082"/>
      <c r="X33" s="2082"/>
      <c r="Y33" s="2082"/>
      <c r="Z33" s="2082"/>
      <c r="AA33" s="2082"/>
      <c r="AB33" s="314"/>
      <c r="AC33" s="2082" t="str">
        <f>IF(TITLE_NUMBER_PR_CHANGE="",IF(TITLE_NUMBER_PR="","",TITLE_NUMBER_PR),TITLE_NUMBER_PR_CHANGE)</f>
        <v>262-р</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438</v>
      </c>
      <c r="AC34" s="314"/>
      <c r="AD34" s="314"/>
      <c r="AE34" s="314"/>
      <c r="AF34" s="314"/>
      <c r="AG34" s="314"/>
      <c r="AH34" s="314"/>
      <c r="AI34" s="259" t="s">
        <v>438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312</v>
      </c>
      <c r="T36" s="1953"/>
      <c r="U36" s="1953"/>
      <c r="V36" s="1953"/>
      <c r="W36" s="1953"/>
      <c r="X36" s="1953"/>
      <c r="Y36" s="1953"/>
      <c r="Z36" s="1953"/>
      <c r="AA36" s="1953"/>
      <c r="AB36" s="1953"/>
      <c r="AC36" s="1953"/>
      <c r="AD36" s="1953"/>
      <c r="AE36" s="1953"/>
      <c r="AF36" s="1953"/>
      <c r="AG36" s="1953"/>
      <c r="AH36" s="1953"/>
      <c r="AI36" s="1953"/>
      <c r="AJ36" s="1953"/>
      <c r="AK36" s="1953" t="s">
        <v>313</v>
      </c>
    </row>
    <row customHeight="1" ht="14.25">
      <c r="Q37" s="368"/>
      <c r="R37" s="368"/>
      <c r="S37" s="2107" t="s">
        <v>87</v>
      </c>
      <c r="T37" s="2044" t="s">
        <v>439</v>
      </c>
      <c r="U37" s="281"/>
      <c r="V37" s="2108" t="s">
        <v>440</v>
      </c>
      <c r="W37" s="2109"/>
      <c r="X37" s="2109"/>
      <c r="Y37" s="2109"/>
      <c r="Z37" s="2109"/>
      <c r="AA37" s="2110"/>
      <c r="AB37" s="2111" t="s">
        <v>441</v>
      </c>
      <c r="AC37" s="2108" t="s">
        <v>440</v>
      </c>
      <c r="AD37" s="2109"/>
      <c r="AE37" s="2109"/>
      <c r="AF37" s="2109"/>
      <c r="AG37" s="2109"/>
      <c r="AH37" s="2110"/>
      <c r="AI37" s="2111" t="s">
        <v>442</v>
      </c>
      <c r="AJ37" s="2114" t="s">
        <v>443</v>
      </c>
      <c r="AK37" s="1953"/>
    </row>
    <row customHeight="1" ht="33.75">
      <c r="Q38" s="368"/>
      <c r="R38" s="368"/>
      <c r="S38" s="2107"/>
      <c r="T38" s="2044"/>
      <c r="U38" s="1026"/>
      <c r="V38" s="1500" t="s">
        <v>549</v>
      </c>
      <c r="W38" s="2100" t="s">
        <v>550</v>
      </c>
      <c r="X38" s="2102"/>
      <c r="Y38" s="2100" t="s">
        <v>447</v>
      </c>
      <c r="Z38" s="2101"/>
      <c r="AA38" s="2102"/>
      <c r="AB38" s="2112"/>
      <c r="AC38" s="1500" t="s">
        <v>549</v>
      </c>
      <c r="AD38" s="2100" t="s">
        <v>550</v>
      </c>
      <c r="AE38" s="2102"/>
      <c r="AF38" s="2100" t="s">
        <v>447</v>
      </c>
      <c r="AG38" s="2101"/>
      <c r="AH38" s="2102"/>
      <c r="AI38" s="2112"/>
      <c r="AJ38" s="2115"/>
      <c r="AK38" s="1953"/>
    </row>
    <row customHeight="1" ht="86.25">
      <c r="A39" s="1387"/>
      <c r="B39" s="1387" t="s">
        <v>134</v>
      </c>
      <c r="C39" s="1387" t="s">
        <v>135</v>
      </c>
      <c r="D39" s="1387" t="s">
        <v>136</v>
      </c>
      <c r="E39" s="1381" t="s">
        <v>448</v>
      </c>
      <c r="F39" s="1381" t="s">
        <v>449</v>
      </c>
      <c r="G39" s="1381" t="s">
        <v>450</v>
      </c>
      <c r="H39" s="1381"/>
      <c r="I39" s="1381" t="s">
        <v>509</v>
      </c>
      <c r="J39" s="1381" t="s">
        <v>453</v>
      </c>
      <c r="K39" s="1381" t="s">
        <v>510</v>
      </c>
      <c r="L39" s="1381" t="s">
        <v>429</v>
      </c>
      <c r="Q39" s="368"/>
      <c r="R39" s="368"/>
      <c r="S39" s="2107"/>
      <c r="T39" s="2044"/>
      <c r="U39" s="282"/>
      <c r="V39" s="1500" t="s">
        <v>551</v>
      </c>
      <c r="W39" s="1224" t="s">
        <v>552</v>
      </c>
      <c r="X39" s="1224" t="s">
        <v>553</v>
      </c>
      <c r="Y39" s="1506" t="s">
        <v>457</v>
      </c>
      <c r="Z39" s="2103" t="s">
        <v>458</v>
      </c>
      <c r="AA39" s="2104"/>
      <c r="AB39" s="2113"/>
      <c r="AC39" s="1500" t="s">
        <v>551</v>
      </c>
      <c r="AD39" s="1224" t="s">
        <v>552</v>
      </c>
      <c r="AE39" s="1224" t="s">
        <v>553</v>
      </c>
      <c r="AF39" s="1506" t="s">
        <v>457</v>
      </c>
      <c r="AG39" s="2103" t="s">
        <v>458</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263</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263</v>
      </c>
      <c r="B42" s="1380" t="s">
        <v>264</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411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412</v>
      </c>
      <c r="AM42" s="496"/>
      <c r="AN42" s="496" t="str">
        <f>IF(T42="","",T42)</f>
        <v>Территория действия тарифа</v>
      </c>
      <c r="AO42" s="496"/>
      <c r="AP42" s="496"/>
    </row>
    <row customHeight="1" ht="23.25">
      <c r="A43" s="1380" t="s">
        <v>263</v>
      </c>
      <c r="B43" s="1380" t="s">
        <v>264</v>
      </c>
      <c r="C43" s="1380" t="s">
        <v>265</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547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548</v>
      </c>
      <c r="AM43" s="496"/>
      <c r="AN43" s="496" t="str">
        <f>IF(T43="","",T43)</f>
        <v>Наименование централизованной системы горячего водоснабжения</v>
      </c>
      <c r="AO43" s="496"/>
      <c r="AP43" s="496"/>
    </row>
    <row customHeight="1" ht="23.25">
      <c r="A44" s="1380" t="s">
        <v>263</v>
      </c>
      <c r="B44" s="1380" t="s">
        <v>264</v>
      </c>
      <c r="C44" s="1380" t="s">
        <v>265</v>
      </c>
      <c r="D44" s="1380" t="s">
        <v>554</v>
      </c>
      <c r="E44" s="2090"/>
      <c r="F44" s="2090"/>
      <c r="G44" s="2090"/>
      <c r="H44" s="2090"/>
      <c r="I44" s="2091" t="str">
        <f>S43&amp;".1"</f>
        <v>...1</v>
      </c>
      <c r="J44" s="1380"/>
      <c r="K44" s="1380"/>
      <c r="L44" s="1381"/>
      <c r="P44" s="2093">
        <v>1</v>
      </c>
      <c r="Q44" s="1498"/>
      <c r="R44" s="344"/>
      <c r="S44" s="1510" t="str">
        <f>$I44</f>
        <v>...1</v>
      </c>
      <c r="T44" s="266" t="s">
        <v>502</v>
      </c>
      <c r="U44" s="280"/>
      <c r="V44" s="2176"/>
      <c r="W44" s="2177"/>
      <c r="X44" s="2177"/>
      <c r="Y44" s="2177"/>
      <c r="Z44" s="2177"/>
      <c r="AA44" s="2177"/>
      <c r="AB44" s="2178"/>
      <c r="AC44" s="2179"/>
      <c r="AD44" s="2180"/>
      <c r="AE44" s="2180"/>
      <c r="AF44" s="2180"/>
      <c r="AG44" s="2180"/>
      <c r="AH44" s="2180"/>
      <c r="AI44" s="2180"/>
      <c r="AJ44" s="2181"/>
      <c r="AK44" s="1273" t="s">
        <v>503</v>
      </c>
      <c r="AM44" s="496"/>
      <c r="AN44" s="496" t="str">
        <f>IF(T44="","",T44)</f>
        <v>Наименование признака дифференциации</v>
      </c>
      <c r="AO44" s="496"/>
      <c r="AP44" s="496"/>
    </row>
    <row customHeight="1" ht="23.25">
      <c r="A45" s="1380" t="s">
        <v>263</v>
      </c>
      <c r="B45" s="1380" t="s">
        <v>264</v>
      </c>
      <c r="C45" s="1380" t="s">
        <v>265</v>
      </c>
      <c r="D45" s="1380" t="s">
        <v>554</v>
      </c>
      <c r="E45" s="2090"/>
      <c r="F45" s="2090"/>
      <c r="G45" s="2090"/>
      <c r="H45" s="2090"/>
      <c r="I45" s="2092"/>
      <c r="J45" s="2091" t="str">
        <f>I44&amp;".1"</f>
        <v>...1.1</v>
      </c>
      <c r="K45" s="1380"/>
      <c r="L45" s="1381" t="s">
        <v>420</v>
      </c>
      <c r="P45" s="2093"/>
      <c r="Q45" s="2093">
        <v>1</v>
      </c>
      <c r="R45" s="345"/>
      <c r="S45" s="1510" t="str">
        <f>$J45</f>
        <v>...1.1</v>
      </c>
      <c r="T45" s="267" t="s">
        <v>421</v>
      </c>
      <c r="U45" s="280"/>
      <c r="V45" s="2077"/>
      <c r="W45" s="2078"/>
      <c r="X45" s="2078"/>
      <c r="Y45" s="2078"/>
      <c r="Z45" s="2078"/>
      <c r="AA45" s="2078"/>
      <c r="AB45" s="2079"/>
      <c r="AC45" s="2077"/>
      <c r="AD45" s="2078"/>
      <c r="AE45" s="2078"/>
      <c r="AF45" s="2078"/>
      <c r="AG45" s="2078"/>
      <c r="AH45" s="2078"/>
      <c r="AI45" s="2078"/>
      <c r="AJ45" s="2079"/>
      <c r="AK45" s="1324" t="s">
        <v>504</v>
      </c>
      <c r="AM45" s="496"/>
      <c r="AN45" s="496" t="str">
        <f>IF(T45="","",T45)</f>
        <v>Группа потребителей</v>
      </c>
      <c r="AO45" s="496"/>
      <c r="AP45" s="496"/>
    </row>
    <row customHeight="1" ht="23.25">
      <c r="A46" s="1380" t="s">
        <v>263</v>
      </c>
      <c r="B46" s="1380" t="s">
        <v>264</v>
      </c>
      <c r="C46" s="1380" t="s">
        <v>265</v>
      </c>
      <c r="D46" s="1380" t="s">
        <v>554</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61</v>
      </c>
      <c r="AA46" s="2087"/>
      <c r="AB46" s="2086" t="s">
        <v>61</v>
      </c>
      <c r="AC46" s="746"/>
      <c r="AD46" s="746"/>
      <c r="AE46" s="1272"/>
      <c r="AF46" s="2094"/>
      <c r="AG46" s="1963" t="s">
        <v>61</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263</v>
      </c>
      <c r="B47" s="1380" t="s">
        <v>264</v>
      </c>
      <c r="C47" s="1380" t="s">
        <v>265</v>
      </c>
      <c r="D47" s="1380" t="s">
        <v>554</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263</v>
      </c>
      <c r="B48" s="1380" t="s">
        <v>264</v>
      </c>
      <c r="C48" s="1380" t="s">
        <v>265</v>
      </c>
      <c r="D48" s="1380" t="s">
        <v>554</v>
      </c>
      <c r="E48" s="2090"/>
      <c r="F48" s="2090"/>
      <c r="G48" s="2090"/>
      <c r="H48" s="2090"/>
      <c r="I48" s="2092"/>
      <c r="J48" s="2091"/>
      <c r="K48" s="1380"/>
      <c r="L48" s="1381"/>
      <c r="P48" s="2093"/>
      <c r="Q48" s="2093"/>
      <c r="R48" s="344"/>
      <c r="S48" s="1295"/>
      <c r="T48" s="268" t="s">
        <v>505</v>
      </c>
      <c r="U48" s="359"/>
      <c r="V48" s="359"/>
      <c r="W48" s="359"/>
      <c r="X48" s="359"/>
      <c r="Y48" s="359"/>
      <c r="Z48" s="359"/>
      <c r="AA48" s="359"/>
      <c r="AB48" s="359"/>
      <c r="AC48" s="359"/>
      <c r="AD48" s="359"/>
      <c r="AE48" s="359"/>
      <c r="AF48" s="359"/>
      <c r="AG48" s="359"/>
      <c r="AH48" s="359"/>
      <c r="AI48" s="359"/>
      <c r="AJ48" s="359"/>
      <c r="AK48" s="1273" t="s">
        <v>506</v>
      </c>
      <c r="AM48" s="496"/>
      <c r="AN48" s="496" t="str">
        <f>IF(T48="","",T48)</f>
        <v>Добавить значение признака дифференциации</v>
      </c>
      <c r="AO48" s="496"/>
      <c r="AP48" s="496"/>
    </row>
    <row customHeight="1" ht="21">
      <c r="A49" s="1380" t="s">
        <v>263</v>
      </c>
      <c r="B49" s="1380" t="s">
        <v>264</v>
      </c>
      <c r="C49" s="1380" t="s">
        <v>265</v>
      </c>
      <c r="D49" s="1380" t="s">
        <v>554</v>
      </c>
      <c r="E49" s="2090"/>
      <c r="F49" s="2090"/>
      <c r="G49" s="2090"/>
      <c r="H49" s="2090"/>
      <c r="I49" s="2091"/>
      <c r="J49" s="1380"/>
      <c r="K49" s="1380"/>
      <c r="L49" s="1381"/>
      <c r="P49" s="2093"/>
      <c r="Q49" s="1498"/>
      <c r="R49" s="344"/>
      <c r="S49" s="1295"/>
      <c r="T49" s="356" t="s">
        <v>426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263</v>
      </c>
      <c r="B50" s="1380" t="s">
        <v>264</v>
      </c>
      <c r="C50" s="1380" t="s">
        <v>265</v>
      </c>
      <c r="D50" s="1380" t="s">
        <v>554</v>
      </c>
      <c r="E50" s="2090"/>
      <c r="F50" s="2090"/>
      <c r="G50" s="2090"/>
      <c r="H50" s="2089"/>
      <c r="I50" s="1380"/>
      <c r="J50" s="1380"/>
      <c r="K50" s="1380"/>
      <c r="L50" s="1381"/>
      <c r="M50" s="1382"/>
      <c r="N50" s="1382"/>
      <c r="O50" s="533"/>
      <c r="P50" s="348"/>
      <c r="Q50" s="367"/>
      <c r="R50" s="343"/>
      <c r="S50" s="1295"/>
      <c r="T50" s="364" t="s">
        <v>507</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263</v>
      </c>
      <c r="B51" s="1360" t="s">
        <v>264</v>
      </c>
      <c r="C51" s="1331"/>
      <c r="D51" s="1331"/>
      <c r="E51" s="2090"/>
      <c r="F51" s="2089"/>
      <c r="G51" s="1331"/>
      <c r="H51" s="1331"/>
      <c r="I51" s="1331"/>
      <c r="J51" s="1331"/>
      <c r="K51" s="1331"/>
      <c r="L51" s="1511"/>
      <c r="M51" s="1338"/>
      <c r="N51" s="1338"/>
      <c r="P51" s="1333"/>
      <c r="Q51" s="1334"/>
      <c r="R51" s="1333"/>
      <c r="S51" s="1339"/>
      <c r="T51" s="1342" t="s">
        <v>161</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263</v>
      </c>
      <c r="B52" s="1360"/>
      <c r="C52" s="1360"/>
      <c r="D52" s="1360"/>
      <c r="E52" s="2089"/>
      <c r="F52" s="1360"/>
      <c r="G52" s="1360"/>
      <c r="H52" s="1360"/>
      <c r="I52" s="1360"/>
      <c r="J52" s="1360"/>
      <c r="K52" s="1360"/>
      <c r="L52" s="1363"/>
      <c r="M52" s="1338"/>
      <c r="N52" s="1338"/>
      <c r="O52" s="514"/>
      <c r="P52" s="376"/>
      <c r="Q52" s="1361"/>
      <c r="R52" s="376"/>
      <c r="S52" s="1339"/>
      <c r="T52" s="1342" t="s">
        <v>162</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179</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852147-AE76-3204-2392-7F121FFEFD2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4.140625" hidden="1" customWidth="1"/>
    <col min="10" max="10" style="1383" width="9.8515625" hidden="1" customWidth="1"/>
    <col min="11" max="11" style="1383" width="14.7109375" hidden="1" customWidth="1"/>
    <col min="12" max="12" style="2417" width="19.140625" hidden="1" customWidth="1"/>
    <col min="13" max="14" style="1801" width="12.28125" hidden="1" customWidth="1"/>
    <col min="15" max="15" style="1801" width="23.421875" hidden="1" customWidth="1"/>
    <col min="16" max="16" style="2216" width="3.7109375" customWidth="1"/>
    <col min="17" max="18" style="332" width="3.7109375" customWidth="1"/>
    <col min="19" max="19" style="2229" width="12.7109375" customWidth="1"/>
    <col min="20" max="20" style="1660" width="35.7109375" customWidth="1"/>
    <col min="21" max="21" style="1660" width="0.140625" customWidth="1"/>
    <col min="22" max="24" style="1660" width="24.7109375" hidden="1" customWidth="1"/>
    <col min="25" max="25" style="1660" width="11.7109375" hidden="1" customWidth="1"/>
    <col min="26" max="26" style="1660" width="3.7109375" hidden="1" customWidth="1"/>
    <col min="27" max="27" style="1660" width="11.7109375" hidden="1" customWidth="1"/>
    <col min="28" max="28" style="1660" width="8.57421875" hidden="1" customWidth="1"/>
    <col min="29" max="31" style="1660" width="24.7109375" customWidth="1"/>
    <col min="32" max="32" style="1660" width="11.7109375" customWidth="1"/>
    <col min="33" max="33" style="1660" width="3.7109375" customWidth="1"/>
    <col min="34" max="34" style="1660" width="11.7109375" customWidth="1"/>
    <col min="35" max="35" style="1660" width="8.57421875" hidden="1" customWidth="1"/>
    <col min="36" max="36" style="1660" width="4.7109375" customWidth="1"/>
    <col min="37" max="37" style="1660" width="115.7109375" customWidth="1"/>
    <col min="38" max="39" style="1667" width="10.57421875"/>
    <col min="40" max="40" style="1667" width="11.140625" customWidth="1"/>
    <col min="41" max="42" style="1667" width="10.57421875"/>
  </cols>
  <sheetData>
    <row customHeight="1" ht="14.25" hidden="1">
      <c r="X1" s="315"/>
      <c r="Y1" s="315"/>
      <c r="AE1" s="315"/>
      <c r="AF1" s="315"/>
    </row>
    <row customHeight="1" ht="23.25" hidden="1">
      <c r="A2" s="1380"/>
      <c r="B2" s="1380"/>
      <c r="C2" s="1380"/>
      <c r="D2" s="1380"/>
      <c r="E2" s="2089">
        <v>1</v>
      </c>
      <c r="F2" s="1380"/>
      <c r="G2" s="1380"/>
      <c r="H2" s="1380"/>
      <c r="I2" s="1380"/>
      <c r="J2" s="1380"/>
      <c r="K2" s="1380"/>
      <c r="L2" s="1381"/>
      <c r="M2" s="1382"/>
      <c r="N2" s="1382"/>
      <c r="O2" s="1382"/>
      <c r="P2" s="349"/>
      <c r="Q2" s="348"/>
      <c r="R2" s="343"/>
      <c r="S2" s="1510">
        <f>INDEX(PT_DIFFERENTIATION_NUM_NTAR,MATCH(A2,PT_DIFFERENTIATION_NTAR_ID,0))</f>
      </c>
      <c r="T2" s="278" t="s">
        <v>122</v>
      </c>
      <c r="U2" s="280"/>
      <c r="V2" s="2083"/>
      <c r="W2" s="2084"/>
      <c r="X2" s="2084"/>
      <c r="Y2" s="2084"/>
      <c r="Z2" s="2084"/>
      <c r="AA2" s="2084"/>
      <c r="AB2" s="2085"/>
      <c r="AC2" s="2083">
        <f>INDEX(PT_DIFFERENTIATION_NTAR,MATCH(A2,PT_DIFFERENTIATION_NTAR_ID,0))</f>
      </c>
      <c r="AD2" s="2084"/>
      <c r="AE2" s="2084"/>
      <c r="AF2" s="2084"/>
      <c r="AG2" s="2084"/>
      <c r="AH2" s="2084"/>
      <c r="AI2" s="2084"/>
      <c r="AJ2" s="2085"/>
      <c r="AK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496"/>
      <c r="AN2" s="496" t="str">
        <f>IF(T2="","",T2)</f>
        <v>Наименование тарифа</v>
      </c>
      <c r="AO2" s="496"/>
      <c r="AP2" s="496"/>
    </row>
    <row customHeight="1" ht="23.25" hidden="1">
      <c r="A3" s="1380"/>
      <c r="B3" s="1380"/>
      <c r="C3" s="1380"/>
      <c r="D3" s="1380"/>
      <c r="E3" s="2090"/>
      <c r="F3" s="2089">
        <v>1</v>
      </c>
      <c r="G3" s="1380"/>
      <c r="H3" s="1380"/>
      <c r="I3" s="1380"/>
      <c r="J3" s="1380"/>
      <c r="K3" s="1380"/>
      <c r="L3" s="1381"/>
      <c r="M3" s="1382"/>
      <c r="N3" s="1382"/>
      <c r="O3" s="1382"/>
      <c r="P3" s="1504"/>
      <c r="Q3" s="340"/>
      <c r="R3" s="341"/>
      <c r="S3" s="1510">
        <f>INDEX(PT_DIFFERENTIATION_NUM_TER,MATCH(B3,PT_DIFFERENTIATION_TER_ID,0))</f>
      </c>
      <c r="T3" s="290" t="s">
        <v>411</v>
      </c>
      <c r="U3" s="280"/>
      <c r="V3" s="2083"/>
      <c r="W3" s="2084"/>
      <c r="X3" s="2084"/>
      <c r="Y3" s="2084"/>
      <c r="Z3" s="2084"/>
      <c r="AA3" s="2084"/>
      <c r="AB3" s="2085"/>
      <c r="AC3" s="2083">
        <f>INDEX(PT_DIFFERENTIATION_TER,MATCH(B3,PT_DIFFERENTIATION_TER_ID,0))</f>
      </c>
      <c r="AD3" s="2084"/>
      <c r="AE3" s="2084"/>
      <c r="AF3" s="2084"/>
      <c r="AG3" s="2084"/>
      <c r="AH3" s="2084"/>
      <c r="AI3" s="2084"/>
      <c r="AJ3" s="2085"/>
      <c r="AK3" s="1273" t="s">
        <v>412</v>
      </c>
      <c r="AM3" s="496"/>
      <c r="AN3" s="496" t="str">
        <f>IF(T3="","",T3)</f>
        <v>Территория действия тарифа</v>
      </c>
      <c r="AO3" s="496"/>
      <c r="AP3" s="496"/>
    </row>
    <row customHeight="1" ht="23.25" hidden="1">
      <c r="A4" s="1380"/>
      <c r="B4" s="1380"/>
      <c r="C4" s="1380"/>
      <c r="D4" s="1380"/>
      <c r="E4" s="2090"/>
      <c r="F4" s="2090"/>
      <c r="G4" s="2089">
        <v>1</v>
      </c>
      <c r="H4" s="1380"/>
      <c r="I4" s="1380"/>
      <c r="J4" s="1380"/>
      <c r="K4" s="1380"/>
      <c r="L4" s="1381"/>
      <c r="M4" s="1382"/>
      <c r="N4" s="1382"/>
      <c r="O4" s="1382"/>
      <c r="P4" s="342"/>
      <c r="Q4" s="340"/>
      <c r="R4" s="341"/>
      <c r="S4" s="1510">
        <f>INDEX(PT_DIFFERENTIATION_NUM_CS,MATCH(C4,PT_DIFFERENTIATION_CS_ID,0))</f>
      </c>
      <c r="T4" s="291" t="s">
        <v>547</v>
      </c>
      <c r="U4" s="280"/>
      <c r="V4" s="2083"/>
      <c r="W4" s="2084"/>
      <c r="X4" s="2084"/>
      <c r="Y4" s="2084"/>
      <c r="Z4" s="2084"/>
      <c r="AA4" s="2084"/>
      <c r="AB4" s="2085"/>
      <c r="AC4" s="2083">
        <f>INDEX(PT_DIFFERENTIATION_CS,MATCH(C4,PT_DIFFERENTIATION_CS_ID,0))</f>
      </c>
      <c r="AD4" s="2084"/>
      <c r="AE4" s="2084"/>
      <c r="AF4" s="2084"/>
      <c r="AG4" s="2084"/>
      <c r="AH4" s="2084"/>
      <c r="AI4" s="2084"/>
      <c r="AJ4" s="2085"/>
      <c r="AK4" s="1273" t="s">
        <v>548</v>
      </c>
      <c r="AM4" s="496"/>
      <c r="AN4" s="496" t="str">
        <f>IF(T4="","",T4)</f>
        <v>Наименование централизованной системы горячего водоснабжения</v>
      </c>
      <c r="AO4" s="496"/>
      <c r="AP4" s="496"/>
    </row>
    <row customHeight="1" ht="23.25" hidden="1">
      <c r="A5" s="1380"/>
      <c r="B5" s="1380"/>
      <c r="C5" s="1380"/>
      <c r="D5" s="1380"/>
      <c r="E5" s="2090"/>
      <c r="F5" s="2090"/>
      <c r="G5" s="2090"/>
      <c r="H5" s="2090"/>
      <c r="I5" s="2091">
        <f>S4&amp;".1"</f>
      </c>
      <c r="J5" s="1380"/>
      <c r="K5" s="1380"/>
      <c r="L5" s="1381"/>
      <c r="P5" s="2093">
        <v>1</v>
      </c>
      <c r="Q5" s="1498"/>
      <c r="R5" s="344"/>
      <c r="S5" s="1510">
        <f>$I5</f>
      </c>
      <c r="T5" s="266" t="s">
        <v>502</v>
      </c>
      <c r="U5" s="280"/>
      <c r="V5" s="2176"/>
      <c r="W5" s="2177"/>
      <c r="X5" s="2177"/>
      <c r="Y5" s="2177"/>
      <c r="Z5" s="2177"/>
      <c r="AA5" s="2177"/>
      <c r="AB5" s="2178"/>
      <c r="AC5" s="2179"/>
      <c r="AD5" s="2180"/>
      <c r="AE5" s="2180"/>
      <c r="AF5" s="2180"/>
      <c r="AG5" s="2180"/>
      <c r="AH5" s="2180"/>
      <c r="AI5" s="2180"/>
      <c r="AJ5" s="2181"/>
      <c r="AK5" s="1273" t="s">
        <v>503</v>
      </c>
      <c r="AM5" s="496"/>
      <c r="AN5" s="496" t="str">
        <f>IF(T5="","",T5)</f>
        <v>Наименование признака дифференциации</v>
      </c>
      <c r="AO5" s="496"/>
      <c r="AP5" s="496"/>
    </row>
    <row customHeight="1" ht="23.25" hidden="1">
      <c r="A6" s="1380"/>
      <c r="B6" s="1380"/>
      <c r="C6" s="1380"/>
      <c r="D6" s="1380"/>
      <c r="E6" s="2090"/>
      <c r="F6" s="2090"/>
      <c r="G6" s="2090"/>
      <c r="H6" s="2090"/>
      <c r="I6" s="2092"/>
      <c r="J6" s="2091">
        <f>I5&amp;".1"</f>
      </c>
      <c r="K6" s="1380"/>
      <c r="L6" s="1381" t="s">
        <v>420</v>
      </c>
      <c r="P6" s="2093"/>
      <c r="Q6" s="2093">
        <v>1</v>
      </c>
      <c r="R6" s="345"/>
      <c r="S6" s="1510">
        <f>$J6</f>
      </c>
      <c r="T6" s="267" t="s">
        <v>421</v>
      </c>
      <c r="U6" s="280"/>
      <c r="V6" s="2077"/>
      <c r="W6" s="2078"/>
      <c r="X6" s="2078"/>
      <c r="Y6" s="2078"/>
      <c r="Z6" s="2078"/>
      <c r="AA6" s="2078"/>
      <c r="AB6" s="2079"/>
      <c r="AC6" s="2077"/>
      <c r="AD6" s="2078"/>
      <c r="AE6" s="2078"/>
      <c r="AF6" s="2078"/>
      <c r="AG6" s="2078"/>
      <c r="AH6" s="2078"/>
      <c r="AI6" s="2078"/>
      <c r="AJ6" s="2079"/>
      <c r="AK6" s="1324" t="s">
        <v>504</v>
      </c>
      <c r="AM6" s="496"/>
      <c r="AN6" s="496" t="str">
        <f>IF(T6="","",T6)</f>
        <v>Группа потребителей</v>
      </c>
      <c r="AO6" s="496"/>
      <c r="AP6" s="496"/>
    </row>
    <row customHeight="1" ht="23.25" hidden="1">
      <c r="A7" s="1380"/>
      <c r="B7" s="1380"/>
      <c r="C7" s="1380"/>
      <c r="D7" s="1380"/>
      <c r="E7" s="2090"/>
      <c r="F7" s="2090"/>
      <c r="G7" s="2090"/>
      <c r="H7" s="2090"/>
      <c r="I7" s="2092"/>
      <c r="J7" s="2092"/>
      <c r="K7" s="2091">
        <f>J6&amp;".1"</f>
      </c>
      <c r="L7" s="1381"/>
      <c r="P7" s="2093"/>
      <c r="Q7" s="2093"/>
      <c r="R7" s="345">
        <v>1</v>
      </c>
      <c r="S7" s="1510">
        <f>$K7</f>
      </c>
      <c r="T7" s="1454"/>
      <c r="U7" s="280"/>
      <c r="V7" s="746"/>
      <c r="W7" s="746"/>
      <c r="X7" s="1272"/>
      <c r="Y7" s="2094"/>
      <c r="Z7" s="1963" t="s">
        <v>61</v>
      </c>
      <c r="AA7" s="2094"/>
      <c r="AB7" s="1963" t="s">
        <v>61</v>
      </c>
      <c r="AC7" s="746"/>
      <c r="AD7" s="746"/>
      <c r="AE7" s="1272"/>
      <c r="AF7" s="2094"/>
      <c r="AG7" s="1963" t="s">
        <v>61</v>
      </c>
      <c r="AH7" s="2096"/>
      <c r="AI7" s="1963" t="s">
        <v>61</v>
      </c>
      <c r="AJ7" s="1455"/>
      <c r="AK7"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07">
        <f>STRCHECKDATE(V8:AJ8)</f>
      </c>
      <c r="AM7" s="496"/>
      <c r="AN7" s="496" t="str">
        <f>IF(T7="","",T7)</f>
        <v/>
      </c>
      <c r="AO7" s="496"/>
      <c r="AP7" s="496"/>
    </row>
    <row customHeight="1" ht="14.25" hidden="1">
      <c r="A8" s="1380"/>
      <c r="B8" s="1380"/>
      <c r="C8" s="1380"/>
      <c r="D8" s="1380"/>
      <c r="E8" s="2090"/>
      <c r="F8" s="2090"/>
      <c r="G8" s="2090"/>
      <c r="H8" s="2090"/>
      <c r="I8" s="2092"/>
      <c r="J8" s="2092"/>
      <c r="K8" s="2091"/>
      <c r="L8" s="1381"/>
      <c r="P8" s="2093"/>
      <c r="Q8" s="2093"/>
      <c r="R8" s="345"/>
      <c r="S8" s="1507"/>
      <c r="T8" s="280"/>
      <c r="U8" s="280"/>
      <c r="V8" s="312"/>
      <c r="W8" s="312"/>
      <c r="X8" s="316" t="str">
        <f>Y7&amp;"-"&amp;AA7</f>
        <v>-</v>
      </c>
      <c r="Y8" s="2095"/>
      <c r="Z8" s="1963"/>
      <c r="AA8" s="2095"/>
      <c r="AB8" s="1963"/>
      <c r="AC8" s="312"/>
      <c r="AD8" s="312"/>
      <c r="AE8" s="316" t="str">
        <f>AF7&amp;"-"&amp;AH7</f>
        <v>-</v>
      </c>
      <c r="AF8" s="2095"/>
      <c r="AG8" s="1963"/>
      <c r="AH8" s="2097"/>
      <c r="AI8" s="1963"/>
      <c r="AJ8" s="1456"/>
      <c r="AK8" s="2182"/>
      <c r="AM8" s="496"/>
      <c r="AN8" s="496" t="str">
        <f>IF(T8="","",T8)</f>
        <v/>
      </c>
      <c r="AO8" s="496"/>
      <c r="AP8" s="496"/>
    </row>
    <row customHeight="1" ht="21" hidden="1">
      <c r="A9" s="1380"/>
      <c r="B9" s="1380"/>
      <c r="C9" s="1380"/>
      <c r="D9" s="1380"/>
      <c r="E9" s="2090"/>
      <c r="F9" s="2090"/>
      <c r="G9" s="2090"/>
      <c r="H9" s="2090"/>
      <c r="I9" s="2092"/>
      <c r="J9" s="2091"/>
      <c r="K9" s="1380"/>
      <c r="L9" s="1381"/>
      <c r="P9" s="2093"/>
      <c r="Q9" s="2093"/>
      <c r="R9" s="344"/>
      <c r="S9" s="1295"/>
      <c r="T9" s="268" t="s">
        <v>505</v>
      </c>
      <c r="U9" s="359"/>
      <c r="V9" s="359"/>
      <c r="W9" s="359"/>
      <c r="X9" s="359"/>
      <c r="Y9" s="359"/>
      <c r="Z9" s="359"/>
      <c r="AA9" s="359"/>
      <c r="AB9" s="359"/>
      <c r="AC9" s="359"/>
      <c r="AD9" s="359"/>
      <c r="AE9" s="359"/>
      <c r="AF9" s="359"/>
      <c r="AG9" s="359"/>
      <c r="AH9" s="359"/>
      <c r="AI9" s="359"/>
      <c r="AJ9" s="359"/>
      <c r="AK9" s="1273" t="s">
        <v>506</v>
      </c>
      <c r="AM9" s="496"/>
      <c r="AN9" s="496" t="str">
        <f>IF(T9="","",T9)</f>
        <v>Добавить значение признака дифференциации</v>
      </c>
      <c r="AO9" s="496"/>
      <c r="AP9" s="496"/>
    </row>
    <row customHeight="1" ht="21" hidden="1">
      <c r="A10" s="1380"/>
      <c r="B10" s="1380"/>
      <c r="C10" s="1380"/>
      <c r="D10" s="1380"/>
      <c r="E10" s="2090"/>
      <c r="F10" s="2090"/>
      <c r="G10" s="2090"/>
      <c r="H10" s="2090"/>
      <c r="I10" s="2091"/>
      <c r="J10" s="1380"/>
      <c r="K10" s="1380"/>
      <c r="L10" s="1381"/>
      <c r="P10" s="2093"/>
      <c r="Q10" s="1498"/>
      <c r="R10" s="344"/>
      <c r="S10" s="1295"/>
      <c r="T10" s="356" t="s">
        <v>426</v>
      </c>
      <c r="U10" s="359"/>
      <c r="V10" s="359"/>
      <c r="W10" s="359"/>
      <c r="X10" s="359"/>
      <c r="Y10" s="359"/>
      <c r="Z10" s="359"/>
      <c r="AA10" s="359"/>
      <c r="AB10" s="358"/>
      <c r="AC10" s="359"/>
      <c r="AD10" s="359"/>
      <c r="AE10" s="359"/>
      <c r="AF10" s="359"/>
      <c r="AG10" s="359"/>
      <c r="AH10" s="359"/>
      <c r="AI10" s="358"/>
      <c r="AJ10" s="359"/>
      <c r="AK10" s="1457"/>
      <c r="AM10" s="496"/>
      <c r="AN10" s="496" t="str">
        <f>IF(T10="","",T10)</f>
        <v>Добавить группу потребителей</v>
      </c>
      <c r="AO10" s="496"/>
      <c r="AP10" s="496"/>
    </row>
    <row customHeight="1" ht="21" hidden="1">
      <c r="A11" s="1380"/>
      <c r="B11" s="1380"/>
      <c r="C11" s="1380"/>
      <c r="D11" s="1380"/>
      <c r="E11" s="2090"/>
      <c r="F11" s="2090"/>
      <c r="G11" s="2090"/>
      <c r="H11" s="2089"/>
      <c r="I11" s="1380"/>
      <c r="J11" s="1380"/>
      <c r="K11" s="1380"/>
      <c r="L11" s="1381"/>
      <c r="M11" s="1382"/>
      <c r="N11" s="1382"/>
      <c r="O11" s="533"/>
      <c r="P11" s="348"/>
      <c r="Q11" s="367"/>
      <c r="R11" s="343"/>
      <c r="S11" s="1295"/>
      <c r="T11" s="364" t="s">
        <v>507</v>
      </c>
      <c r="U11" s="359"/>
      <c r="V11" s="359"/>
      <c r="W11" s="359"/>
      <c r="X11" s="359"/>
      <c r="Y11" s="359"/>
      <c r="Z11" s="359"/>
      <c r="AA11" s="359"/>
      <c r="AB11" s="358"/>
      <c r="AC11" s="359"/>
      <c r="AD11" s="359"/>
      <c r="AE11" s="359"/>
      <c r="AF11" s="359"/>
      <c r="AG11" s="359"/>
      <c r="AH11" s="359"/>
      <c r="AI11" s="358"/>
      <c r="AJ11" s="359"/>
      <c r="AK11" s="283"/>
      <c r="AM11" s="496"/>
      <c r="AN11" s="496" t="str">
        <f>IF(T11="","",T11)</f>
        <v>Добавить наименование признака дифференциации</v>
      </c>
      <c r="AO11" s="496"/>
      <c r="AP11" s="496"/>
    </row>
    <row s="1667" customFormat="1" customHeight="1" ht="14.25" hidden="1">
      <c r="A12" s="1360"/>
      <c r="B12" s="1360"/>
      <c r="C12" s="1331"/>
      <c r="D12" s="1331"/>
      <c r="E12" s="2090"/>
      <c r="F12" s="2089"/>
      <c r="G12" s="1331"/>
      <c r="H12" s="1331"/>
      <c r="I12" s="1331"/>
      <c r="J12" s="1331"/>
      <c r="K12" s="1331"/>
      <c r="L12" s="1511"/>
      <c r="M12" s="1338"/>
      <c r="N12" s="1338"/>
      <c r="P12" s="1333"/>
      <c r="Q12" s="1334"/>
      <c r="R12" s="1333"/>
      <c r="S12" s="1339"/>
      <c r="T12" s="1342" t="s">
        <v>161</v>
      </c>
      <c r="U12" s="1341"/>
      <c r="V12" s="1341"/>
      <c r="W12" s="1341"/>
      <c r="X12" s="1341"/>
      <c r="Y12" s="1341"/>
      <c r="Z12" s="1341"/>
      <c r="AA12" s="1341"/>
      <c r="AB12" s="1341"/>
      <c r="AC12" s="1341"/>
      <c r="AD12" s="1341"/>
      <c r="AE12" s="1341"/>
      <c r="AF12" s="1341"/>
      <c r="AG12" s="1341"/>
      <c r="AH12" s="1341"/>
      <c r="AI12" s="1341"/>
      <c r="AJ12" s="1341"/>
      <c r="AK12" s="1341"/>
      <c r="AM12" s="783"/>
      <c r="AN12" s="783" t="str">
        <f>IF(T12="","",T12)</f>
        <v>Добавить централизованную систему для дифференциации</v>
      </c>
      <c r="AO12" s="783"/>
      <c r="AP12" s="783"/>
    </row>
    <row s="1667" customFormat="1" customHeight="1" ht="14.25" hidden="1">
      <c r="A13" s="1360"/>
      <c r="B13" s="1360"/>
      <c r="C13" s="1360"/>
      <c r="D13" s="1360"/>
      <c r="E13" s="2089"/>
      <c r="F13" s="1360"/>
      <c r="G13" s="1360"/>
      <c r="H13" s="1360"/>
      <c r="I13" s="1360"/>
      <c r="J13" s="1360"/>
      <c r="K13" s="1360"/>
      <c r="L13" s="1363"/>
      <c r="M13" s="1338"/>
      <c r="N13" s="1338"/>
      <c r="O13" s="514"/>
      <c r="P13" s="376"/>
      <c r="Q13" s="1361"/>
      <c r="R13" s="376"/>
      <c r="S13" s="1339"/>
      <c r="T13" s="1342" t="s">
        <v>162</v>
      </c>
      <c r="U13" s="1341"/>
      <c r="V13" s="1341"/>
      <c r="W13" s="1341"/>
      <c r="X13" s="1341"/>
      <c r="Y13" s="1341"/>
      <c r="Z13" s="1341"/>
      <c r="AA13" s="1341"/>
      <c r="AB13" s="1341"/>
      <c r="AC13" s="1341"/>
      <c r="AD13" s="1341"/>
      <c r="AE13" s="1341"/>
      <c r="AF13" s="1341"/>
      <c r="AG13" s="1341"/>
      <c r="AH13" s="1341"/>
      <c r="AI13" s="1341"/>
      <c r="AJ13" s="1341"/>
      <c r="AK13" s="1341"/>
      <c r="AM13" s="496"/>
      <c r="AN13" s="496" t="str">
        <f>IF(T13="","",T13)</f>
        <v>Добавить территорию для дифференциации</v>
      </c>
      <c r="AO13" s="496"/>
      <c r="AP13" s="496"/>
    </row>
    <row customHeight="1" ht="14.25" hidden="1">
      <c r="AB14" s="315"/>
      <c r="AI14" s="315"/>
    </row>
    <row customHeight="1" ht="14.25" hidden="1">
      <c r="AC15" s="1377"/>
      <c r="AD15" s="1377"/>
      <c r="AE15" s="1378"/>
      <c r="AF15" s="2087"/>
      <c r="AG15" s="2086" t="s">
        <v>61</v>
      </c>
      <c r="AH15" s="2087"/>
      <c r="AI15" s="2086" t="s">
        <v>61</v>
      </c>
    </row>
    <row customHeight="1" ht="14.25" hidden="1">
      <c r="AC16" s="1377"/>
      <c r="AD16" s="1377"/>
      <c r="AE16" s="316" t="str">
        <f>AF15&amp;"-"&amp;AH15</f>
        <v>-</v>
      </c>
      <c r="AF16" s="2086"/>
      <c r="AG16" s="2086"/>
      <c r="AH16" s="2086"/>
      <c r="AI16" s="2086"/>
    </row>
    <row customHeight="1" ht="14.25" hidden="1">
      <c r="AI17" s="315"/>
    </row>
    <row s="1383" customFormat="1" customHeight="1" ht="22.5" hidden="1">
      <c r="L18" s="1495"/>
      <c r="M18" s="1379"/>
      <c r="N18" s="1379"/>
      <c r="O18" s="1384" t="s">
        <v>428</v>
      </c>
      <c r="P18" s="1379"/>
      <c r="Q18" s="1388"/>
      <c r="R18" s="1388"/>
      <c r="S18" s="724"/>
      <c r="Y18" s="1384"/>
      <c r="AA18" s="1384"/>
      <c r="AB18" s="1383"/>
      <c r="AF18" s="1384"/>
      <c r="AH18" s="1384"/>
      <c r="AI18" s="1383"/>
      <c r="AL18" s="507"/>
      <c r="AM18" s="507"/>
      <c r="AN18" s="507"/>
      <c r="AO18" s="507"/>
      <c r="AP18" s="507"/>
    </row>
    <row s="1383" customFormat="1" customHeight="1" ht="14.25" hidden="1">
      <c r="L19" s="1495"/>
      <c r="M19" s="1379"/>
      <c r="N19" s="1379"/>
      <c r="O19" s="1379"/>
      <c r="P19" s="1379"/>
      <c r="Q19" s="1388"/>
      <c r="R19" s="1388"/>
      <c r="S19" s="724"/>
      <c r="AB19" s="1383"/>
      <c r="AI19" s="1383"/>
      <c r="AL19" s="507"/>
      <c r="AM19" s="507"/>
      <c r="AN19" s="507"/>
      <c r="AO19" s="507"/>
      <c r="AP19" s="507"/>
    </row>
    <row s="1383" customFormat="1" customHeight="1" ht="12" hidden="1">
      <c r="L20" s="1495"/>
      <c r="M20" s="1379"/>
      <c r="N20" s="1379"/>
      <c r="O20" s="1381" t="s">
        <v>429</v>
      </c>
      <c r="P20" s="1379"/>
      <c r="Q20" s="1459"/>
      <c r="R20" s="1459"/>
      <c r="S20" s="724"/>
      <c r="T20" s="1155" t="s">
        <v>430</v>
      </c>
      <c r="Z20" s="166" t="s">
        <v>431</v>
      </c>
      <c r="AB20" s="166" t="s">
        <v>432</v>
      </c>
      <c r="AC20" s="1155" t="s">
        <v>430</v>
      </c>
      <c r="AG20" s="166" t="s">
        <v>433</v>
      </c>
      <c r="AI20" s="166" t="s">
        <v>432</v>
      </c>
    </row>
    <row customHeight="1" ht="14.25" hidden="1">
      <c r="O21" s="1381"/>
    </row>
    <row customHeight="1" ht="14.25" hidden="1">
      <c r="O22" s="1381"/>
    </row>
    <row customHeight="1" ht="14.25">
      <c r="Q23" s="368"/>
      <c r="R23" s="368"/>
      <c r="S23" s="1292"/>
      <c r="T23" s="353"/>
      <c r="U23" s="353"/>
      <c r="V23" s="505"/>
      <c r="W23" s="505"/>
      <c r="X23" s="505"/>
      <c r="Y23" s="505"/>
      <c r="Z23" s="505"/>
      <c r="AA23" s="505"/>
      <c r="AB23" s="505"/>
      <c r="AC23" s="505"/>
      <c r="AD23" s="505"/>
      <c r="AE23" s="505"/>
      <c r="AF23" s="505"/>
      <c r="AG23" s="505"/>
      <c r="AH23" s="505"/>
      <c r="AI23" s="505"/>
    </row>
    <row customHeight="1" ht="26.25">
      <c r="Q24" s="368"/>
      <c r="R24" s="368"/>
      <c r="S24" s="2122"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22"/>
      <c r="U24" s="2122"/>
      <c r="V24" s="2122"/>
      <c r="W24" s="2122"/>
      <c r="X24" s="2122"/>
      <c r="Y24" s="2122"/>
      <c r="Z24" s="2122"/>
      <c r="AA24" s="2122"/>
      <c r="AB24" s="2122"/>
      <c r="AC24" s="2122"/>
      <c r="AD24" s="2122"/>
      <c r="AE24" s="2122"/>
      <c r="AF24" s="2122"/>
      <c r="AG24" s="2122"/>
      <c r="AH24" s="2122"/>
      <c r="AI24" s="1248"/>
    </row>
    <row customHeight="1" ht="14.25">
      <c r="Q25" s="368"/>
      <c r="R25" s="368"/>
      <c r="S25" s="2123" t="str">
        <f>IF(org=0,"Не определено",org)</f>
        <v>ПАО "ТГК-1" филиал "Невский"</v>
      </c>
      <c r="T25" s="2123"/>
      <c r="U25" s="2123"/>
      <c r="V25" s="2123"/>
      <c r="W25" s="2123"/>
      <c r="X25" s="2123"/>
      <c r="Y25" s="2123"/>
      <c r="Z25" s="2123"/>
      <c r="AA25" s="2123"/>
      <c r="AB25" s="2123"/>
      <c r="AC25" s="2123"/>
      <c r="AD25" s="2123"/>
      <c r="AE25" s="2123"/>
      <c r="AF25" s="2123"/>
      <c r="AG25" s="2123"/>
      <c r="AH25" s="2123"/>
      <c r="AI25" s="1248"/>
    </row>
    <row customHeight="1" ht="14.25">
      <c r="Q26" s="368"/>
      <c r="R26" s="368"/>
      <c r="S26" s="1292"/>
      <c r="T26" s="353"/>
      <c r="U26" s="353"/>
      <c r="V26" s="308"/>
      <c r="W26" s="308"/>
      <c r="X26" s="308"/>
      <c r="Y26" s="308"/>
      <c r="Z26" s="308"/>
      <c r="AA26" s="308"/>
      <c r="AB26" s="308"/>
      <c r="AC26" s="308"/>
      <c r="AD26" s="308"/>
      <c r="AE26" s="308"/>
      <c r="AF26" s="308"/>
      <c r="AG26" s="308"/>
      <c r="AH26" s="308"/>
      <c r="AI26" s="308"/>
      <c r="AJ26" s="505"/>
    </row>
    <row s="1877" customFormat="1" customHeight="1" ht="25.5">
      <c r="A27" s="1385"/>
      <c r="B27" s="1385"/>
      <c r="C27" s="1385"/>
      <c r="D27" s="1385"/>
      <c r="E27" s="1385"/>
      <c r="F27" s="1385"/>
      <c r="G27" s="1385"/>
      <c r="H27" s="1385"/>
      <c r="I27" s="1385"/>
      <c r="J27" s="1385"/>
      <c r="K27" s="1385"/>
      <c r="L27" s="1386"/>
      <c r="M27" s="1385"/>
      <c r="N27" s="1385"/>
      <c r="O27" s="1385"/>
      <c r="S27" s="2080" t="s">
        <v>38</v>
      </c>
      <c r="T27" s="2080"/>
      <c r="U27" s="1389"/>
      <c r="V27" s="2082" t="str">
        <f>IF(TITLE_NAME_OR_PR_CHANGE="",IF(TITLE_NAME_OR_PR="","",TITLE_NAME_OR_PR),TITLE_NAME_OR_PR_CHANGE)</f>
        <v>Комитет по тарифам Санкт-Петербурга</v>
      </c>
      <c r="W27" s="2082"/>
      <c r="X27" s="2082"/>
      <c r="Y27" s="2082"/>
      <c r="Z27" s="2082"/>
      <c r="AA27" s="2082"/>
      <c r="AB27" s="314"/>
      <c r="AC27" s="2082" t="str">
        <f>IF(TITLE_NAME_OR_PR_CHANGE="",IF(TITLE_NAME_OR_PR="","",TITLE_NAME_OR_PR),TITLE_NAME_OR_PR_CHANGE)</f>
        <v>Комитет по тарифам Санкт-Петербурга</v>
      </c>
      <c r="AD27" s="2082"/>
      <c r="AE27" s="2082"/>
      <c r="AF27" s="2082"/>
      <c r="AG27" s="2082"/>
      <c r="AH27" s="2082"/>
      <c r="AI27" s="314"/>
      <c r="AJ27" s="314"/>
      <c r="AK27" s="261"/>
      <c r="AL27" s="360"/>
      <c r="AM27" s="360"/>
      <c r="AN27" s="360"/>
      <c r="AO27" s="360"/>
      <c r="AP27" s="360"/>
    </row>
    <row s="1877" customFormat="1" customHeight="1" ht="18.75">
      <c r="A28" s="1385"/>
      <c r="B28" s="1385"/>
      <c r="C28" s="1385"/>
      <c r="D28" s="1385"/>
      <c r="E28" s="1385"/>
      <c r="F28" s="1385"/>
      <c r="G28" s="1385"/>
      <c r="H28" s="1385"/>
      <c r="I28" s="1385"/>
      <c r="J28" s="1385"/>
      <c r="K28" s="1385"/>
      <c r="L28" s="1386"/>
      <c r="M28" s="1385"/>
      <c r="N28" s="1385"/>
      <c r="O28" s="1385"/>
      <c r="S28" s="2080" t="s">
        <v>434</v>
      </c>
      <c r="T28" s="2080"/>
      <c r="U28" s="1389"/>
      <c r="V28" s="2081" t="str">
        <f>IF(TITLE_DATE_PR_CHANGE="",IF(TITLE_DATE_PR="","",TITLE_DATE_PR),TITLE_DATE_PR_CHANGE)</f>
        <v>45280.49324074074</v>
      </c>
      <c r="W28" s="2081"/>
      <c r="X28" s="2081"/>
      <c r="Y28" s="2081"/>
      <c r="Z28" s="2081"/>
      <c r="AA28" s="2081"/>
      <c r="AB28" s="314"/>
      <c r="AC28" s="2081" t="str">
        <f>IF(TITLE_DATE_PR_CHANGE="",IF(TITLE_DATE_PR="","",TITLE_DATE_PR),TITLE_DATE_PR_CHANGE)</f>
        <v>45280.49324074074</v>
      </c>
      <c r="AD28" s="2081"/>
      <c r="AE28" s="2081"/>
      <c r="AF28" s="2081"/>
      <c r="AG28" s="2081"/>
      <c r="AH28" s="2081"/>
      <c r="AI28" s="314"/>
      <c r="AJ28" s="314"/>
      <c r="AK28" s="261"/>
      <c r="AL28" s="360"/>
      <c r="AM28" s="360"/>
      <c r="AN28" s="360"/>
      <c r="AO28" s="360"/>
      <c r="AP28" s="360"/>
    </row>
    <row s="1877" customFormat="1" customHeight="1" ht="18.75">
      <c r="A29" s="1385"/>
      <c r="B29" s="1385"/>
      <c r="C29" s="1385"/>
      <c r="D29" s="1385"/>
      <c r="E29" s="1385"/>
      <c r="F29" s="1385"/>
      <c r="G29" s="1385"/>
      <c r="H29" s="1385"/>
      <c r="I29" s="1385"/>
      <c r="J29" s="1385"/>
      <c r="K29" s="1385"/>
      <c r="L29" s="1386"/>
      <c r="M29" s="1385"/>
      <c r="N29" s="1385"/>
      <c r="O29" s="1385"/>
      <c r="S29" s="2080" t="s">
        <v>435</v>
      </c>
      <c r="T29" s="2080"/>
      <c r="U29" s="1389"/>
      <c r="V29" s="2082" t="str">
        <f>IF(TITLE_NUMBER_PR_CHANGE="",IF(TITLE_NUMBER_PR="","",TITLE_NUMBER_PR),TITLE_NUMBER_PR_CHANGE)</f>
        <v>262-р</v>
      </c>
      <c r="W29" s="2082"/>
      <c r="X29" s="2082"/>
      <c r="Y29" s="2082"/>
      <c r="Z29" s="2082"/>
      <c r="AA29" s="2082"/>
      <c r="AB29" s="314"/>
      <c r="AC29" s="2082" t="str">
        <f>IF(TITLE_NUMBER_PR_CHANGE="",IF(TITLE_NUMBER_PR="","",TITLE_NUMBER_PR),TITLE_NUMBER_PR_CHANGE)</f>
        <v>262-р</v>
      </c>
      <c r="AD29" s="2082"/>
      <c r="AE29" s="2082"/>
      <c r="AF29" s="2082"/>
      <c r="AG29" s="2082"/>
      <c r="AH29" s="2082"/>
      <c r="AI29" s="314"/>
      <c r="AJ29" s="314"/>
      <c r="AK29" s="261"/>
      <c r="AL29" s="360"/>
      <c r="AM29" s="360"/>
      <c r="AN29" s="360"/>
      <c r="AO29" s="360"/>
      <c r="AP29" s="360"/>
    </row>
    <row s="1877" customFormat="1" customHeight="1" ht="18.75">
      <c r="A30" s="1385"/>
      <c r="B30" s="1385"/>
      <c r="C30" s="1385"/>
      <c r="D30" s="1385"/>
      <c r="E30" s="1385"/>
      <c r="F30" s="1385"/>
      <c r="G30" s="1385"/>
      <c r="H30" s="1385"/>
      <c r="I30" s="1385"/>
      <c r="J30" s="1385"/>
      <c r="K30" s="1385"/>
      <c r="L30" s="1386"/>
      <c r="M30" s="1385"/>
      <c r="N30" s="1385"/>
      <c r="O30" s="1385"/>
      <c r="S30" s="2080" t="s">
        <v>40</v>
      </c>
      <c r="T30" s="2080"/>
      <c r="U30" s="1389"/>
      <c r="V30" s="2082" t="str">
        <f>IF(TITLE_IST_PUB_CHANGE="",IF(TITLE_IST_PUB="","",TITLE_IST_PUB),TITLE_IST_PUB_CHANGE)</f>
        <v>https://www.gov.spb.ru/static/writable/documents/2023/12/22/%D0%BE%D1%82_20.12.2023__262-%D1%80.pdf</v>
      </c>
      <c r="W30" s="2082"/>
      <c r="X30" s="2082"/>
      <c r="Y30" s="2082"/>
      <c r="Z30" s="2082"/>
      <c r="AA30" s="2082"/>
      <c r="AB30" s="314"/>
      <c r="AC30" s="2082" t="str">
        <f>IF(TITLE_IST_PUB_CHANGE="",IF(TITLE_IST_PUB="","",TITLE_IST_PUB),TITLE_IST_PUB_CHANGE)</f>
        <v>https://www.gov.spb.ru/static/writable/documents/2023/12/22/%D0%BE%D1%82_20.12.2023__262-%D1%80.pdf</v>
      </c>
      <c r="AD30" s="2082"/>
      <c r="AE30" s="2082"/>
      <c r="AF30" s="2082"/>
      <c r="AG30" s="2082"/>
      <c r="AH30" s="2082"/>
      <c r="AI30" s="314"/>
      <c r="AJ30" s="314"/>
      <c r="AK30" s="261"/>
      <c r="AL30" s="360"/>
      <c r="AM30" s="360"/>
      <c r="AN30" s="360"/>
      <c r="AO30" s="360"/>
      <c r="AP30" s="360"/>
    </row>
    <row customHeight="1" ht="14.25">
      <c r="Q31" s="368"/>
      <c r="R31" s="368"/>
      <c r="S31" s="1292"/>
      <c r="T31" s="353"/>
      <c r="U31" s="353"/>
      <c r="V31" s="308"/>
      <c r="W31" s="308"/>
      <c r="X31" s="308"/>
      <c r="Y31" s="308"/>
      <c r="Z31" s="308"/>
      <c r="AA31" s="308"/>
      <c r="AB31" s="308"/>
      <c r="AC31" s="308"/>
      <c r="AD31" s="308"/>
      <c r="AE31" s="308"/>
      <c r="AF31" s="308"/>
      <c r="AG31" s="308"/>
      <c r="AH31" s="308"/>
      <c r="AI31" s="308"/>
      <c r="AJ31" s="505"/>
    </row>
    <row s="1877" customFormat="1" customHeight="1" ht="18.75">
      <c r="A32" s="1385"/>
      <c r="B32" s="1385"/>
      <c r="C32" s="1385"/>
      <c r="D32" s="1385"/>
      <c r="E32" s="1385"/>
      <c r="F32" s="1385"/>
      <c r="G32" s="1385"/>
      <c r="H32" s="1385"/>
      <c r="I32" s="1385"/>
      <c r="J32" s="1385"/>
      <c r="K32" s="1385"/>
      <c r="L32" s="1386"/>
      <c r="M32" s="1385"/>
      <c r="N32" s="1385"/>
      <c r="O32" s="1385"/>
      <c r="S32" s="2080" t="s">
        <v>436</v>
      </c>
      <c r="T32" s="2080"/>
      <c r="U32" s="1389"/>
      <c r="V32" s="2081" t="str">
        <f>IF(TITLE_DATE_PR_CHANGE="",IF(TITLE_DATE_PR="","",TITLE_DATE_PR),TITLE_DATE_PR_CHANGE)</f>
        <v>45280.49324074074</v>
      </c>
      <c r="W32" s="2081"/>
      <c r="X32" s="2081"/>
      <c r="Y32" s="2081"/>
      <c r="Z32" s="2081"/>
      <c r="AA32" s="2081"/>
      <c r="AB32" s="314"/>
      <c r="AC32" s="2081" t="str">
        <f>IF(TITLE_DATE_PR_CHANGE="",IF(TITLE_DATE_PR="","",TITLE_DATE_PR),TITLE_DATE_PR_CHANGE)</f>
        <v>45280.49324074074</v>
      </c>
      <c r="AD32" s="2081"/>
      <c r="AE32" s="2081"/>
      <c r="AF32" s="2081"/>
      <c r="AG32" s="2081"/>
      <c r="AH32" s="2081"/>
      <c r="AI32" s="314"/>
      <c r="AJ32" s="314"/>
      <c r="AK32" s="261"/>
      <c r="AL32" s="360"/>
      <c r="AM32" s="360"/>
      <c r="AN32" s="360"/>
      <c r="AO32" s="360"/>
      <c r="AP32" s="360"/>
    </row>
    <row s="1877" customFormat="1" customHeight="1" ht="18.75">
      <c r="A33" s="1385"/>
      <c r="B33" s="1385"/>
      <c r="C33" s="1385"/>
      <c r="D33" s="1385"/>
      <c r="E33" s="1385"/>
      <c r="F33" s="1385"/>
      <c r="G33" s="1385"/>
      <c r="H33" s="1385"/>
      <c r="I33" s="1385"/>
      <c r="J33" s="1385"/>
      <c r="K33" s="1385"/>
      <c r="L33" s="1386"/>
      <c r="M33" s="1385"/>
      <c r="N33" s="1385"/>
      <c r="O33" s="1385"/>
      <c r="S33" s="2080" t="s">
        <v>437</v>
      </c>
      <c r="T33" s="2080"/>
      <c r="U33" s="1389"/>
      <c r="V33" s="2082" t="str">
        <f>IF(TITLE_NUMBER_PR_CHANGE="",IF(TITLE_NUMBER_PR="","",TITLE_NUMBER_PR),TITLE_NUMBER_PR_CHANGE)</f>
        <v>262-р</v>
      </c>
      <c r="W33" s="2082"/>
      <c r="X33" s="2082"/>
      <c r="Y33" s="2082"/>
      <c r="Z33" s="2082"/>
      <c r="AA33" s="2082"/>
      <c r="AB33" s="314"/>
      <c r="AC33" s="2082" t="str">
        <f>IF(TITLE_NUMBER_PR_CHANGE="",IF(TITLE_NUMBER_PR="","",TITLE_NUMBER_PR),TITLE_NUMBER_PR_CHANGE)</f>
        <v>262-р</v>
      </c>
      <c r="AD33" s="2082"/>
      <c r="AE33" s="2082"/>
      <c r="AF33" s="2082"/>
      <c r="AG33" s="2082"/>
      <c r="AH33" s="2082"/>
      <c r="AI33" s="314"/>
      <c r="AJ33" s="314"/>
      <c r="AK33" s="261"/>
      <c r="AL33" s="360"/>
      <c r="AM33" s="360"/>
      <c r="AN33" s="360"/>
      <c r="AO33" s="360"/>
      <c r="AP33" s="360"/>
    </row>
    <row s="1877" customFormat="1" customHeight="1" ht="0.75">
      <c r="A34" s="1385"/>
      <c r="B34" s="1385"/>
      <c r="C34" s="1385"/>
      <c r="D34" s="1385"/>
      <c r="E34" s="1385"/>
      <c r="F34" s="1385"/>
      <c r="G34" s="1385"/>
      <c r="H34" s="1385"/>
      <c r="I34" s="1385"/>
      <c r="J34" s="1385"/>
      <c r="K34" s="1385"/>
      <c r="L34" s="1386"/>
      <c r="M34" s="1385"/>
      <c r="N34" s="1385"/>
      <c r="O34" s="1385"/>
      <c r="S34" s="310"/>
      <c r="T34" s="310"/>
      <c r="U34" s="1505"/>
      <c r="V34" s="314"/>
      <c r="W34" s="314"/>
      <c r="X34" s="314"/>
      <c r="Y34" s="314"/>
      <c r="Z34" s="314"/>
      <c r="AA34" s="314"/>
      <c r="AB34" s="259" t="s">
        <v>438</v>
      </c>
      <c r="AC34" s="314"/>
      <c r="AD34" s="314"/>
      <c r="AE34" s="314"/>
      <c r="AF34" s="314"/>
      <c r="AG34" s="314"/>
      <c r="AH34" s="314"/>
      <c r="AI34" s="259" t="s">
        <v>438</v>
      </c>
      <c r="AL34" s="360"/>
      <c r="AM34" s="360"/>
      <c r="AN34" s="360"/>
      <c r="AO34" s="360"/>
      <c r="AP34" s="360"/>
    </row>
    <row customHeight="1" ht="14.25">
      <c r="Q35" s="368"/>
      <c r="R35" s="368"/>
      <c r="S35" s="1292"/>
      <c r="T35" s="353"/>
      <c r="U35" s="1249"/>
      <c r="V35" s="2106"/>
      <c r="W35" s="2106"/>
      <c r="X35" s="2106"/>
      <c r="Y35" s="2106"/>
      <c r="Z35" s="2106"/>
      <c r="AA35" s="2106"/>
      <c r="AB35" s="2106"/>
      <c r="AC35" s="2106"/>
      <c r="AD35" s="2106"/>
      <c r="AE35" s="2106"/>
      <c r="AF35" s="2106"/>
      <c r="AG35" s="2106"/>
      <c r="AH35" s="2106"/>
      <c r="AI35" s="2106"/>
    </row>
    <row customHeight="1" ht="14.25">
      <c r="Q36" s="368"/>
      <c r="R36" s="368"/>
      <c r="S36" s="1953" t="s">
        <v>312</v>
      </c>
      <c r="T36" s="1953"/>
      <c r="U36" s="1953"/>
      <c r="V36" s="1953"/>
      <c r="W36" s="1953"/>
      <c r="X36" s="1953"/>
      <c r="Y36" s="1953"/>
      <c r="Z36" s="1953"/>
      <c r="AA36" s="1953"/>
      <c r="AB36" s="1953"/>
      <c r="AC36" s="1953"/>
      <c r="AD36" s="1953"/>
      <c r="AE36" s="1953"/>
      <c r="AF36" s="1953"/>
      <c r="AG36" s="1953"/>
      <c r="AH36" s="1953"/>
      <c r="AI36" s="1953"/>
      <c r="AJ36" s="1953"/>
      <c r="AK36" s="1953" t="s">
        <v>313</v>
      </c>
    </row>
    <row customHeight="1" ht="14.25">
      <c r="Q37" s="368"/>
      <c r="R37" s="368"/>
      <c r="S37" s="2107" t="s">
        <v>87</v>
      </c>
      <c r="T37" s="2044" t="s">
        <v>439</v>
      </c>
      <c r="U37" s="281"/>
      <c r="V37" s="2108" t="s">
        <v>440</v>
      </c>
      <c r="W37" s="2109"/>
      <c r="X37" s="2109"/>
      <c r="Y37" s="2109"/>
      <c r="Z37" s="2109"/>
      <c r="AA37" s="2110"/>
      <c r="AB37" s="2111" t="s">
        <v>441</v>
      </c>
      <c r="AC37" s="2108" t="s">
        <v>440</v>
      </c>
      <c r="AD37" s="2109"/>
      <c r="AE37" s="2109"/>
      <c r="AF37" s="2109"/>
      <c r="AG37" s="2109"/>
      <c r="AH37" s="2110"/>
      <c r="AI37" s="2111" t="s">
        <v>442</v>
      </c>
      <c r="AJ37" s="2114" t="s">
        <v>443</v>
      </c>
      <c r="AK37" s="1953"/>
    </row>
    <row customHeight="1" ht="33.75">
      <c r="Q38" s="368"/>
      <c r="R38" s="368"/>
      <c r="S38" s="2107"/>
      <c r="T38" s="2044"/>
      <c r="U38" s="1026"/>
      <c r="V38" s="1500" t="s">
        <v>549</v>
      </c>
      <c r="W38" s="2100" t="s">
        <v>550</v>
      </c>
      <c r="X38" s="2102"/>
      <c r="Y38" s="2100" t="s">
        <v>447</v>
      </c>
      <c r="Z38" s="2101"/>
      <c r="AA38" s="2102"/>
      <c r="AB38" s="2112"/>
      <c r="AC38" s="1500" t="s">
        <v>549</v>
      </c>
      <c r="AD38" s="2100" t="s">
        <v>550</v>
      </c>
      <c r="AE38" s="2102"/>
      <c r="AF38" s="2100" t="s">
        <v>447</v>
      </c>
      <c r="AG38" s="2101"/>
      <c r="AH38" s="2102"/>
      <c r="AI38" s="2112"/>
      <c r="AJ38" s="2115"/>
      <c r="AK38" s="1953"/>
    </row>
    <row customHeight="1" ht="86.25">
      <c r="A39" s="1387"/>
      <c r="B39" s="1387" t="s">
        <v>134</v>
      </c>
      <c r="C39" s="1387" t="s">
        <v>135</v>
      </c>
      <c r="D39" s="1387" t="s">
        <v>136</v>
      </c>
      <c r="E39" s="1381" t="s">
        <v>448</v>
      </c>
      <c r="F39" s="1381" t="s">
        <v>449</v>
      </c>
      <c r="G39" s="1381" t="s">
        <v>450</v>
      </c>
      <c r="H39" s="1381"/>
      <c r="I39" s="1381" t="s">
        <v>509</v>
      </c>
      <c r="J39" s="1381" t="s">
        <v>453</v>
      </c>
      <c r="K39" s="1381" t="s">
        <v>510</v>
      </c>
      <c r="L39" s="1381" t="s">
        <v>429</v>
      </c>
      <c r="Q39" s="368"/>
      <c r="R39" s="368"/>
      <c r="S39" s="2107"/>
      <c r="T39" s="2044"/>
      <c r="U39" s="282"/>
      <c r="V39" s="1500" t="s">
        <v>551</v>
      </c>
      <c r="W39" s="1224" t="s">
        <v>552</v>
      </c>
      <c r="X39" s="1224" t="s">
        <v>553</v>
      </c>
      <c r="Y39" s="1506" t="s">
        <v>457</v>
      </c>
      <c r="Z39" s="2103" t="s">
        <v>458</v>
      </c>
      <c r="AA39" s="2104"/>
      <c r="AB39" s="2113"/>
      <c r="AC39" s="1500" t="s">
        <v>551</v>
      </c>
      <c r="AD39" s="1224" t="s">
        <v>552</v>
      </c>
      <c r="AE39" s="1224" t="s">
        <v>553</v>
      </c>
      <c r="AF39" s="1506" t="s">
        <v>457</v>
      </c>
      <c r="AG39" s="2103" t="s">
        <v>458</v>
      </c>
      <c r="AH39" s="2104"/>
      <c r="AI39" s="2113"/>
      <c r="AJ39" s="2116"/>
      <c r="AK39" s="1953"/>
    </row>
    <row s="1666" customFormat="1" customHeight="1" ht="11.25" hidden="1">
      <c r="A40" s="1387"/>
      <c r="B40" s="1387"/>
      <c r="C40" s="1387"/>
      <c r="D40" s="1387"/>
      <c r="E40" s="1387"/>
      <c r="F40" s="1387"/>
      <c r="G40" s="1387"/>
      <c r="H40" s="1387"/>
      <c r="I40" s="1387"/>
      <c r="J40" s="1387"/>
      <c r="K40" s="1387"/>
      <c r="L40" s="1381"/>
      <c r="M40" s="1379"/>
      <c r="N40" s="1379"/>
      <c r="O40" s="1379"/>
      <c r="P40" s="1251"/>
      <c r="Q40" s="1252"/>
      <c r="R40" s="1267">
        <v>1</v>
      </c>
      <c r="S40" s="1294" t="s">
        <v>108</v>
      </c>
      <c r="T40" s="1268" t="s">
        <v>109</v>
      </c>
      <c r="U40" s="1250" t="str">
        <f>OFFSET(U40,0,-1)</f>
        <v>2</v>
      </c>
      <c r="V40" s="1499">
        <f>OFFSET(V40,0,-1)+1</f>
        <v>3</v>
      </c>
      <c r="W40" s="1499">
        <f>OFFSET(W40,0,-1)+1</f>
        <v>4</v>
      </c>
      <c r="X40" s="1499">
        <f>OFFSET(X40,0,-1)+1</f>
        <v>5</v>
      </c>
      <c r="Y40" s="1499">
        <f>OFFSET(Y40,0,-1)+1</f>
        <v>6</v>
      </c>
      <c r="Z40" s="2105">
        <f>OFFSET(Z40,0,-1)+1</f>
        <v>7</v>
      </c>
      <c r="AA40" s="2105"/>
      <c r="AB40" s="1499">
        <f>OFFSET(AB40,0,-2)+1</f>
        <v>8</v>
      </c>
      <c r="AC40" s="1499">
        <f>OFFSET(AC40,0,-1)+1</f>
        <v>9</v>
      </c>
      <c r="AD40" s="1499">
        <f>OFFSET(AD40,0,-1)+1</f>
        <v>10</v>
      </c>
      <c r="AE40" s="1499">
        <f>OFFSET(AE40,0,-1)+1</f>
        <v>11</v>
      </c>
      <c r="AF40" s="1499">
        <f>OFFSET(AF40,0,-1)+1</f>
        <v>12</v>
      </c>
      <c r="AG40" s="2105">
        <f>OFFSET(AG40,0,-1)+1</f>
        <v>13</v>
      </c>
      <c r="AH40" s="2105"/>
      <c r="AI40" s="1499">
        <f>OFFSET(AI40,0,-2)+1</f>
        <v>14</v>
      </c>
      <c r="AJ40" s="1250">
        <f>OFFSET(AJ40,0,-1)</f>
        <v>14</v>
      </c>
      <c r="AK40" s="1499">
        <f>OFFSET(AK40,0,-1)+1</f>
        <v>15</v>
      </c>
      <c r="AL40" s="507"/>
      <c r="AM40" s="507"/>
      <c r="AN40" s="507"/>
      <c r="AO40" s="507"/>
      <c r="AP40" s="507"/>
    </row>
    <row customHeight="1" ht="23.25">
      <c r="A41" s="1380" t="s">
        <v>263</v>
      </c>
      <c r="B41" s="1380"/>
      <c r="C41" s="1380"/>
      <c r="D41" s="1380"/>
      <c r="E41" s="2089">
        <v>1</v>
      </c>
      <c r="F41" s="1380"/>
      <c r="G41" s="1380"/>
      <c r="H41" s="1380"/>
      <c r="I41" s="1380"/>
      <c r="J41" s="1380"/>
      <c r="K41" s="1380"/>
      <c r="L41" s="1381"/>
      <c r="M41" s="1382"/>
      <c r="N41" s="1382"/>
      <c r="O41" s="1382"/>
      <c r="P41" s="349"/>
      <c r="Q41" s="348"/>
      <c r="R41" s="343"/>
      <c r="S41" s="1510">
        <f>INDEX(PT_DIFFERENTIATION_NUM_NTAR,MATCH(A41,PT_DIFFERENTIATION_NTAR_ID,0))</f>
        <v>0</v>
      </c>
      <c r="T41" s="278" t="s">
        <v>122</v>
      </c>
      <c r="U41" s="280"/>
      <c r="V41" s="2083"/>
      <c r="W41" s="2084"/>
      <c r="X41" s="2084"/>
      <c r="Y41" s="2084"/>
      <c r="Z41" s="2084"/>
      <c r="AA41" s="2084"/>
      <c r="AB41" s="2085"/>
      <c r="AC41" s="2083" t="str">
        <f>INDEX(PT_DIFFERENTIATION_NTAR,MATCH(A41,PT_DIFFERENTIATION_NTAR_ID,0))</f>
        <v/>
      </c>
      <c r="AD41" s="2084"/>
      <c r="AE41" s="2084"/>
      <c r="AF41" s="2084"/>
      <c r="AG41" s="2084"/>
      <c r="AH41" s="2084"/>
      <c r="AI41" s="2084"/>
      <c r="AJ41" s="2085"/>
      <c r="AK41"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496"/>
      <c r="AN41" s="496" t="str">
        <f>IF(T41="","",T41)</f>
        <v>Наименование тарифа</v>
      </c>
      <c r="AO41" s="496"/>
      <c r="AP41" s="496"/>
    </row>
    <row customHeight="1" ht="23.25">
      <c r="A42" s="1380" t="s">
        <v>263</v>
      </c>
      <c r="B42" s="1380" t="s">
        <v>264</v>
      </c>
      <c r="C42" s="1380"/>
      <c r="D42" s="1380"/>
      <c r="E42" s="2090"/>
      <c r="F42" s="2089">
        <v>1</v>
      </c>
      <c r="G42" s="1380"/>
      <c r="H42" s="1380"/>
      <c r="I42" s="1380"/>
      <c r="J42" s="1380"/>
      <c r="K42" s="1380"/>
      <c r="L42" s="1381"/>
      <c r="M42" s="1382"/>
      <c r="N42" s="1382"/>
      <c r="O42" s="1382"/>
      <c r="P42" s="1504"/>
      <c r="Q42" s="340"/>
      <c r="R42" s="341"/>
      <c r="S42" s="1510" t="str">
        <f>INDEX(PT_DIFFERENTIATION_NUM_TER,MATCH(B42,PT_DIFFERENTIATION_TER_ID,0))</f>
        <v>.</v>
      </c>
      <c r="T42" s="290" t="s">
        <v>411</v>
      </c>
      <c r="U42" s="280"/>
      <c r="V42" s="2083"/>
      <c r="W42" s="2084"/>
      <c r="X42" s="2084"/>
      <c r="Y42" s="2084"/>
      <c r="Z42" s="2084"/>
      <c r="AA42" s="2084"/>
      <c r="AB42" s="2085"/>
      <c r="AC42" s="2083" t="str">
        <f>INDEX(PT_DIFFERENTIATION_TER,MATCH(B42,PT_DIFFERENTIATION_TER_ID,0))</f>
        <v/>
      </c>
      <c r="AD42" s="2084"/>
      <c r="AE42" s="2084"/>
      <c r="AF42" s="2084"/>
      <c r="AG42" s="2084"/>
      <c r="AH42" s="2084"/>
      <c r="AI42" s="2084"/>
      <c r="AJ42" s="2085"/>
      <c r="AK42" s="1273" t="s">
        <v>412</v>
      </c>
      <c r="AM42" s="496"/>
      <c r="AN42" s="496" t="str">
        <f>IF(T42="","",T42)</f>
        <v>Территория действия тарифа</v>
      </c>
      <c r="AO42" s="496"/>
      <c r="AP42" s="496"/>
    </row>
    <row customHeight="1" ht="23.25">
      <c r="A43" s="1380" t="s">
        <v>263</v>
      </c>
      <c r="B43" s="1380" t="s">
        <v>264</v>
      </c>
      <c r="C43" s="1380" t="s">
        <v>265</v>
      </c>
      <c r="D43" s="1380"/>
      <c r="E43" s="2090"/>
      <c r="F43" s="2090"/>
      <c r="G43" s="2089">
        <v>1</v>
      </c>
      <c r="H43" s="1380"/>
      <c r="I43" s="1380"/>
      <c r="J43" s="1380"/>
      <c r="K43" s="1380"/>
      <c r="L43" s="1381"/>
      <c r="M43" s="1382"/>
      <c r="N43" s="1382"/>
      <c r="O43" s="1382"/>
      <c r="P43" s="342"/>
      <c r="Q43" s="340"/>
      <c r="R43" s="341"/>
      <c r="S43" s="1510" t="str">
        <f>INDEX(PT_DIFFERENTIATION_NUM_CS,MATCH(C43,PT_DIFFERENTIATION_CS_ID,0))</f>
        <v>..</v>
      </c>
      <c r="T43" s="291" t="s">
        <v>547</v>
      </c>
      <c r="U43" s="280"/>
      <c r="V43" s="2083"/>
      <c r="W43" s="2084"/>
      <c r="X43" s="2084"/>
      <c r="Y43" s="2084"/>
      <c r="Z43" s="2084"/>
      <c r="AA43" s="2084"/>
      <c r="AB43" s="2085"/>
      <c r="AC43" s="2083" t="str">
        <f>INDEX(PT_DIFFERENTIATION_CS,MATCH(C43,PT_DIFFERENTIATION_CS_ID,0))</f>
        <v/>
      </c>
      <c r="AD43" s="2084"/>
      <c r="AE43" s="2084"/>
      <c r="AF43" s="2084"/>
      <c r="AG43" s="2084"/>
      <c r="AH43" s="2084"/>
      <c r="AI43" s="2084"/>
      <c r="AJ43" s="2085"/>
      <c r="AK43" s="1273" t="s">
        <v>548</v>
      </c>
      <c r="AM43" s="496"/>
      <c r="AN43" s="496" t="str">
        <f>IF(T43="","",T43)</f>
        <v>Наименование централизованной системы горячего водоснабжения</v>
      </c>
      <c r="AO43" s="496"/>
      <c r="AP43" s="496"/>
    </row>
    <row customHeight="1" ht="23.25">
      <c r="A44" s="1380" t="s">
        <v>263</v>
      </c>
      <c r="B44" s="1380" t="s">
        <v>264</v>
      </c>
      <c r="C44" s="1380" t="s">
        <v>265</v>
      </c>
      <c r="D44" s="1380" t="s">
        <v>554</v>
      </c>
      <c r="E44" s="2090"/>
      <c r="F44" s="2090"/>
      <c r="G44" s="2090"/>
      <c r="H44" s="2090"/>
      <c r="I44" s="2091" t="str">
        <f>S43&amp;".1"</f>
        <v>...1</v>
      </c>
      <c r="J44" s="1380"/>
      <c r="K44" s="1380"/>
      <c r="L44" s="1381"/>
      <c r="P44" s="2093">
        <v>1</v>
      </c>
      <c r="Q44" s="1498"/>
      <c r="R44" s="344"/>
      <c r="S44" s="1510" t="str">
        <f>$I44</f>
        <v>...1</v>
      </c>
      <c r="T44" s="266" t="s">
        <v>502</v>
      </c>
      <c r="U44" s="280"/>
      <c r="V44" s="2176"/>
      <c r="W44" s="2177"/>
      <c r="X44" s="2177"/>
      <c r="Y44" s="2177"/>
      <c r="Z44" s="2177"/>
      <c r="AA44" s="2177"/>
      <c r="AB44" s="2178"/>
      <c r="AC44" s="2179"/>
      <c r="AD44" s="2180"/>
      <c r="AE44" s="2180"/>
      <c r="AF44" s="2180"/>
      <c r="AG44" s="2180"/>
      <c r="AH44" s="2180"/>
      <c r="AI44" s="2180"/>
      <c r="AJ44" s="2181"/>
      <c r="AK44" s="1273" t="s">
        <v>503</v>
      </c>
      <c r="AM44" s="496"/>
      <c r="AN44" s="496" t="str">
        <f>IF(T44="","",T44)</f>
        <v>Наименование признака дифференциации</v>
      </c>
      <c r="AO44" s="496"/>
      <c r="AP44" s="496"/>
    </row>
    <row customHeight="1" ht="23.25">
      <c r="A45" s="1380" t="s">
        <v>263</v>
      </c>
      <c r="B45" s="1380" t="s">
        <v>264</v>
      </c>
      <c r="C45" s="1380" t="s">
        <v>265</v>
      </c>
      <c r="D45" s="1380" t="s">
        <v>554</v>
      </c>
      <c r="E45" s="2090"/>
      <c r="F45" s="2090"/>
      <c r="G45" s="2090"/>
      <c r="H45" s="2090"/>
      <c r="I45" s="2092"/>
      <c r="J45" s="2091" t="str">
        <f>I44&amp;".1"</f>
        <v>...1.1</v>
      </c>
      <c r="K45" s="1380"/>
      <c r="L45" s="1381" t="s">
        <v>420</v>
      </c>
      <c r="P45" s="2093"/>
      <c r="Q45" s="2093">
        <v>1</v>
      </c>
      <c r="R45" s="345"/>
      <c r="S45" s="1510" t="str">
        <f>$J45</f>
        <v>...1.1</v>
      </c>
      <c r="T45" s="267" t="s">
        <v>421</v>
      </c>
      <c r="U45" s="280"/>
      <c r="V45" s="2077"/>
      <c r="W45" s="2078"/>
      <c r="X45" s="2078"/>
      <c r="Y45" s="2078"/>
      <c r="Z45" s="2078"/>
      <c r="AA45" s="2078"/>
      <c r="AB45" s="2079"/>
      <c r="AC45" s="2077"/>
      <c r="AD45" s="2078"/>
      <c r="AE45" s="2078"/>
      <c r="AF45" s="2078"/>
      <c r="AG45" s="2078"/>
      <c r="AH45" s="2078"/>
      <c r="AI45" s="2078"/>
      <c r="AJ45" s="2079"/>
      <c r="AK45" s="1324" t="s">
        <v>504</v>
      </c>
      <c r="AM45" s="496"/>
      <c r="AN45" s="496" t="str">
        <f>IF(T45="","",T45)</f>
        <v>Группа потребителей</v>
      </c>
      <c r="AO45" s="496"/>
      <c r="AP45" s="496"/>
    </row>
    <row customHeight="1" ht="23.25">
      <c r="A46" s="1380" t="s">
        <v>263</v>
      </c>
      <c r="B46" s="1380" t="s">
        <v>264</v>
      </c>
      <c r="C46" s="1380" t="s">
        <v>265</v>
      </c>
      <c r="D46" s="1380" t="s">
        <v>554</v>
      </c>
      <c r="E46" s="2090"/>
      <c r="F46" s="2090"/>
      <c r="G46" s="2090"/>
      <c r="H46" s="2090"/>
      <c r="I46" s="2092"/>
      <c r="J46" s="2092"/>
      <c r="K46" s="2091" t="str">
        <f>J45&amp;".1"</f>
        <v>...1.1.1</v>
      </c>
      <c r="L46" s="1381"/>
      <c r="P46" s="2093"/>
      <c r="Q46" s="2093"/>
      <c r="R46" s="345">
        <v>1</v>
      </c>
      <c r="S46" s="1510" t="str">
        <f>$K46</f>
        <v>...1.1.1</v>
      </c>
      <c r="T46" s="1454"/>
      <c r="U46" s="280"/>
      <c r="V46" s="1377"/>
      <c r="W46" s="1377"/>
      <c r="X46" s="1378"/>
      <c r="Y46" s="2087"/>
      <c r="Z46" s="2086" t="s">
        <v>61</v>
      </c>
      <c r="AA46" s="2087"/>
      <c r="AB46" s="2086" t="s">
        <v>61</v>
      </c>
      <c r="AC46" s="746"/>
      <c r="AD46" s="746"/>
      <c r="AE46" s="1272"/>
      <c r="AF46" s="2094"/>
      <c r="AG46" s="1963" t="s">
        <v>61</v>
      </c>
      <c r="AH46" s="2096"/>
      <c r="AI46" s="1963" t="s">
        <v>56</v>
      </c>
      <c r="AJ46" s="1455"/>
      <c r="AK46" s="218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07">
        <f>STRCHECKDATE(V47:AJ47)</f>
      </c>
      <c r="AM46" s="496"/>
      <c r="AN46" s="496" t="str">
        <f>IF(T46="","",T46)</f>
        <v/>
      </c>
      <c r="AO46" s="496"/>
      <c r="AP46" s="496"/>
    </row>
    <row customHeight="1" ht="0">
      <c r="A47" s="1380" t="s">
        <v>263</v>
      </c>
      <c r="B47" s="1380" t="s">
        <v>264</v>
      </c>
      <c r="C47" s="1380" t="s">
        <v>265</v>
      </c>
      <c r="D47" s="1380" t="s">
        <v>554</v>
      </c>
      <c r="E47" s="2090"/>
      <c r="F47" s="2090"/>
      <c r="G47" s="2090"/>
      <c r="H47" s="2090"/>
      <c r="I47" s="2092"/>
      <c r="J47" s="2092"/>
      <c r="K47" s="2091"/>
      <c r="L47" s="1381"/>
      <c r="P47" s="2093"/>
      <c r="Q47" s="2093"/>
      <c r="R47" s="345"/>
      <c r="S47" s="1507"/>
      <c r="T47" s="280"/>
      <c r="U47" s="280"/>
      <c r="V47" s="1377"/>
      <c r="W47" s="1377"/>
      <c r="X47" s="316" t="str">
        <f>Y46&amp;"-"&amp;AA46</f>
        <v>-</v>
      </c>
      <c r="Y47" s="2086"/>
      <c r="Z47" s="2086"/>
      <c r="AA47" s="2086"/>
      <c r="AB47" s="2086"/>
      <c r="AC47" s="312"/>
      <c r="AD47" s="312"/>
      <c r="AE47" s="316" t="str">
        <f>AF46&amp;"-"&amp;AH46</f>
        <v>-</v>
      </c>
      <c r="AF47" s="2095"/>
      <c r="AG47" s="1963"/>
      <c r="AH47" s="2097"/>
      <c r="AI47" s="1963"/>
      <c r="AJ47" s="1456"/>
      <c r="AK47" s="2182"/>
      <c r="AM47" s="496"/>
      <c r="AN47" s="496" t="str">
        <f>IF(T47="","",T47)</f>
        <v/>
      </c>
      <c r="AO47" s="496"/>
      <c r="AP47" s="496"/>
    </row>
    <row customHeight="1" ht="21">
      <c r="A48" s="1380" t="s">
        <v>263</v>
      </c>
      <c r="B48" s="1380" t="s">
        <v>264</v>
      </c>
      <c r="C48" s="1380" t="s">
        <v>265</v>
      </c>
      <c r="D48" s="1380" t="s">
        <v>554</v>
      </c>
      <c r="E48" s="2090"/>
      <c r="F48" s="2090"/>
      <c r="G48" s="2090"/>
      <c r="H48" s="2090"/>
      <c r="I48" s="2092"/>
      <c r="J48" s="2091"/>
      <c r="K48" s="1380"/>
      <c r="L48" s="1381"/>
      <c r="P48" s="2093"/>
      <c r="Q48" s="2093"/>
      <c r="R48" s="344"/>
      <c r="S48" s="1295"/>
      <c r="T48" s="268" t="s">
        <v>505</v>
      </c>
      <c r="U48" s="359"/>
      <c r="V48" s="359"/>
      <c r="W48" s="359"/>
      <c r="X48" s="359"/>
      <c r="Y48" s="359"/>
      <c r="Z48" s="359"/>
      <c r="AA48" s="359"/>
      <c r="AB48" s="359"/>
      <c r="AC48" s="359"/>
      <c r="AD48" s="359"/>
      <c r="AE48" s="359"/>
      <c r="AF48" s="359"/>
      <c r="AG48" s="359"/>
      <c r="AH48" s="359"/>
      <c r="AI48" s="359"/>
      <c r="AJ48" s="359"/>
      <c r="AK48" s="1273" t="s">
        <v>506</v>
      </c>
      <c r="AM48" s="496"/>
      <c r="AN48" s="496" t="str">
        <f>IF(T48="","",T48)</f>
        <v>Добавить значение признака дифференциации</v>
      </c>
      <c r="AO48" s="496"/>
      <c r="AP48" s="496"/>
    </row>
    <row customHeight="1" ht="21">
      <c r="A49" s="1380" t="s">
        <v>263</v>
      </c>
      <c r="B49" s="1380" t="s">
        <v>264</v>
      </c>
      <c r="C49" s="1380" t="s">
        <v>265</v>
      </c>
      <c r="D49" s="1380" t="s">
        <v>554</v>
      </c>
      <c r="E49" s="2090"/>
      <c r="F49" s="2090"/>
      <c r="G49" s="2090"/>
      <c r="H49" s="2090"/>
      <c r="I49" s="2091"/>
      <c r="J49" s="1380"/>
      <c r="K49" s="1380"/>
      <c r="L49" s="1381"/>
      <c r="P49" s="2093"/>
      <c r="Q49" s="1498"/>
      <c r="R49" s="344"/>
      <c r="S49" s="1295"/>
      <c r="T49" s="356" t="s">
        <v>426</v>
      </c>
      <c r="U49" s="359"/>
      <c r="V49" s="359"/>
      <c r="W49" s="359"/>
      <c r="X49" s="359"/>
      <c r="Y49" s="359"/>
      <c r="Z49" s="359"/>
      <c r="AA49" s="359"/>
      <c r="AB49" s="358"/>
      <c r="AC49" s="359"/>
      <c r="AD49" s="359"/>
      <c r="AE49" s="359"/>
      <c r="AF49" s="359"/>
      <c r="AG49" s="359"/>
      <c r="AH49" s="359"/>
      <c r="AI49" s="358"/>
      <c r="AJ49" s="359"/>
      <c r="AK49" s="1457"/>
      <c r="AM49" s="496"/>
      <c r="AN49" s="496" t="str">
        <f>IF(T49="","",T49)</f>
        <v>Добавить группу потребителей</v>
      </c>
      <c r="AO49" s="496"/>
      <c r="AP49" s="496"/>
    </row>
    <row customHeight="1" ht="21">
      <c r="A50" s="1380" t="s">
        <v>263</v>
      </c>
      <c r="B50" s="1380" t="s">
        <v>264</v>
      </c>
      <c r="C50" s="1380" t="s">
        <v>265</v>
      </c>
      <c r="D50" s="1380" t="s">
        <v>554</v>
      </c>
      <c r="E50" s="2090"/>
      <c r="F50" s="2090"/>
      <c r="G50" s="2090"/>
      <c r="H50" s="2089"/>
      <c r="I50" s="1380"/>
      <c r="J50" s="1380"/>
      <c r="K50" s="1380"/>
      <c r="L50" s="1381"/>
      <c r="M50" s="1382"/>
      <c r="N50" s="1382"/>
      <c r="O50" s="533"/>
      <c r="P50" s="348"/>
      <c r="Q50" s="367"/>
      <c r="R50" s="343"/>
      <c r="S50" s="1295"/>
      <c r="T50" s="364" t="s">
        <v>507</v>
      </c>
      <c r="U50" s="359"/>
      <c r="V50" s="359"/>
      <c r="W50" s="359"/>
      <c r="X50" s="359"/>
      <c r="Y50" s="359"/>
      <c r="Z50" s="359"/>
      <c r="AA50" s="359"/>
      <c r="AB50" s="358"/>
      <c r="AC50" s="359"/>
      <c r="AD50" s="359"/>
      <c r="AE50" s="359"/>
      <c r="AF50" s="359"/>
      <c r="AG50" s="359"/>
      <c r="AH50" s="359"/>
      <c r="AI50" s="358"/>
      <c r="AJ50" s="359"/>
      <c r="AK50" s="283"/>
      <c r="AM50" s="496"/>
      <c r="AN50" s="496" t="str">
        <f>IF(T50="","",T50)</f>
        <v>Добавить наименование признака дифференциации</v>
      </c>
      <c r="AO50" s="496"/>
      <c r="AP50" s="496"/>
    </row>
    <row s="1667" customFormat="1" customHeight="1" ht="0">
      <c r="A51" s="1360" t="s">
        <v>263</v>
      </c>
      <c r="B51" s="1360" t="s">
        <v>264</v>
      </c>
      <c r="C51" s="1331"/>
      <c r="D51" s="1331"/>
      <c r="E51" s="2090"/>
      <c r="F51" s="2089"/>
      <c r="G51" s="1331"/>
      <c r="H51" s="1331"/>
      <c r="I51" s="1331"/>
      <c r="J51" s="1331"/>
      <c r="K51" s="1331"/>
      <c r="L51" s="1511"/>
      <c r="M51" s="1338"/>
      <c r="N51" s="1338"/>
      <c r="P51" s="1333"/>
      <c r="Q51" s="1334"/>
      <c r="R51" s="1333"/>
      <c r="S51" s="1339"/>
      <c r="T51" s="1342" t="s">
        <v>161</v>
      </c>
      <c r="U51" s="1341"/>
      <c r="V51" s="1341"/>
      <c r="W51" s="1341"/>
      <c r="X51" s="1341"/>
      <c r="Y51" s="1341"/>
      <c r="Z51" s="1341"/>
      <c r="AA51" s="1341"/>
      <c r="AB51" s="1341"/>
      <c r="AC51" s="1341"/>
      <c r="AD51" s="1341"/>
      <c r="AE51" s="1341"/>
      <c r="AF51" s="1341"/>
      <c r="AG51" s="1341"/>
      <c r="AH51" s="1341"/>
      <c r="AI51" s="1341"/>
      <c r="AJ51" s="1341"/>
      <c r="AK51" s="1341"/>
      <c r="AM51" s="783"/>
      <c r="AN51" s="783" t="str">
        <f>IF(T51="","",T51)</f>
        <v>Добавить централизованную систему для дифференциации</v>
      </c>
      <c r="AO51" s="783"/>
      <c r="AP51" s="783"/>
    </row>
    <row s="1667" customFormat="1" customHeight="1" ht="0">
      <c r="A52" s="1360" t="s">
        <v>263</v>
      </c>
      <c r="B52" s="1360"/>
      <c r="C52" s="1360"/>
      <c r="D52" s="1360"/>
      <c r="E52" s="2089"/>
      <c r="F52" s="1360"/>
      <c r="G52" s="1360"/>
      <c r="H52" s="1360"/>
      <c r="I52" s="1360"/>
      <c r="J52" s="1360"/>
      <c r="K52" s="1360"/>
      <c r="L52" s="1363"/>
      <c r="M52" s="1338"/>
      <c r="N52" s="1338"/>
      <c r="O52" s="514"/>
      <c r="P52" s="376"/>
      <c r="Q52" s="1361"/>
      <c r="R52" s="376"/>
      <c r="S52" s="1339"/>
      <c r="T52" s="1342" t="s">
        <v>162</v>
      </c>
      <c r="U52" s="1341"/>
      <c r="V52" s="1341"/>
      <c r="W52" s="1341"/>
      <c r="X52" s="1341"/>
      <c r="Y52" s="1341"/>
      <c r="Z52" s="1341"/>
      <c r="AA52" s="1341"/>
      <c r="AB52" s="1341"/>
      <c r="AC52" s="1341"/>
      <c r="AD52" s="1341"/>
      <c r="AE52" s="1341"/>
      <c r="AF52" s="1341"/>
      <c r="AG52" s="1341"/>
      <c r="AH52" s="1341"/>
      <c r="AI52" s="1341"/>
      <c r="AJ52" s="1341"/>
      <c r="AK52" s="1341"/>
      <c r="AM52" s="496"/>
      <c r="AN52" s="496" t="str">
        <f>IF(T52="","",T52)</f>
        <v>Добавить территорию для дифференциации</v>
      </c>
      <c r="AO52" s="496"/>
      <c r="AP52" s="496"/>
    </row>
    <row s="1667" customFormat="1" customHeight="1" ht="0">
      <c r="A53" s="1331"/>
      <c r="B53" s="1331"/>
      <c r="C53" s="1331"/>
      <c r="D53" s="1331"/>
      <c r="E53" s="1360"/>
      <c r="F53" s="1331"/>
      <c r="G53" s="1331"/>
      <c r="H53" s="1331"/>
      <c r="I53" s="1331"/>
      <c r="J53" s="1331"/>
      <c r="K53" s="1331"/>
      <c r="L53" s="1511"/>
      <c r="M53" s="1338"/>
      <c r="N53" s="1338"/>
      <c r="P53" s="1333"/>
      <c r="Q53" s="1334"/>
      <c r="R53" s="1333"/>
      <c r="S53" s="1339"/>
      <c r="T53" s="1342" t="s">
        <v>179</v>
      </c>
      <c r="U53" s="1341"/>
      <c r="V53" s="1341"/>
      <c r="W53" s="1341"/>
      <c r="X53" s="1341"/>
      <c r="Y53" s="1341"/>
      <c r="Z53" s="1341"/>
      <c r="AA53" s="1341"/>
      <c r="AB53" s="1341"/>
      <c r="AC53" s="1341"/>
      <c r="AD53" s="1341"/>
      <c r="AE53" s="1341"/>
      <c r="AF53" s="1341"/>
      <c r="AG53" s="1341"/>
      <c r="AH53" s="1341"/>
      <c r="AI53" s="1341"/>
      <c r="AJ53" s="1341"/>
      <c r="AK53" s="1341"/>
      <c r="AM53" s="783"/>
      <c r="AN53" s="783" t="str">
        <f>IF(T53="","",T53)</f>
        <v>Добавить наименование тарифа</v>
      </c>
      <c r="AO53" s="783"/>
      <c r="AP53" s="783"/>
    </row>
    <row customHeight="1" ht="11.25">
      <c r="M54" s="1155"/>
      <c r="N54" s="1155"/>
      <c r="O54" s="533"/>
      <c r="P54" s="1150"/>
      <c r="Q54" s="1150"/>
      <c r="R54" s="1150"/>
      <c r="S54" s="1150"/>
      <c r="AL54" s="1150"/>
      <c r="AM54" s="1150"/>
      <c r="AN54" s="1150"/>
      <c r="AO54" s="1150"/>
      <c r="AP54" s="1150"/>
    </row>
    <row customHeight="1" ht="14.25">
      <c r="O55" s="533"/>
      <c r="S55" s="1260"/>
      <c r="T55" s="2088"/>
      <c r="U55" s="2088"/>
      <c r="V55" s="2088"/>
      <c r="W55" s="2088"/>
      <c r="X55" s="2088"/>
      <c r="Y55" s="2088"/>
      <c r="Z55" s="2088"/>
      <c r="AA55" s="2088"/>
      <c r="AB55" s="2088"/>
      <c r="AC55" s="2088"/>
      <c r="AD55" s="2088"/>
      <c r="AE55" s="2088"/>
      <c r="AF55" s="2088"/>
      <c r="AG55" s="2088"/>
      <c r="AH55" s="2088"/>
      <c r="AI55" s="2088"/>
      <c r="AJ55" s="2088"/>
      <c r="AK55" s="2088"/>
    </row>
    <row customHeight="1" ht="14.25">
      <c r="O56" s="533"/>
    </row>
    <row customHeight="1" ht="14.25">
      <c r="O57" s="533"/>
      <c r="S57" s="1260"/>
      <c r="T57" s="2088"/>
      <c r="U57" s="2088"/>
      <c r="V57" s="2088"/>
      <c r="W57" s="2088"/>
      <c r="X57" s="2088"/>
      <c r="Y57" s="2088"/>
      <c r="Z57" s="2088"/>
      <c r="AA57" s="2088"/>
      <c r="AB57" s="2088"/>
      <c r="AC57" s="2088"/>
      <c r="AD57" s="2088"/>
      <c r="AE57" s="2088"/>
      <c r="AF57" s="2088"/>
      <c r="AG57" s="2088"/>
      <c r="AH57" s="2088"/>
      <c r="AI57" s="2088"/>
      <c r="AJ57" s="2088"/>
      <c r="AK57" s="2088"/>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B01C4D-E466-72A6-899D-E1E56F25D4A3}"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1383" width="11.57421875" hidden="1" customWidth="1"/>
    <col min="2" max="2" style="1383" width="11.00390625" hidden="1" customWidth="1"/>
    <col min="3" max="3" style="1383" width="10.57421875" hidden="1"/>
    <col min="4" max="4" style="1383" width="12.8515625" hidden="1" customWidth="1"/>
    <col min="5" max="5" style="1383" width="10.00390625" hidden="1" customWidth="1"/>
    <col min="6" max="6" style="1383" width="8.7109375" hidden="1" customWidth="1"/>
    <col min="7" max="7" style="1383" width="7.57421875" hidden="1" customWidth="1"/>
    <col min="8" max="8" style="1383" width="11.421875" hidden="1" customWidth="1"/>
    <col min="9" max="9" style="1383" width="12.00390625" hidden="1" customWidth="1"/>
    <col min="10" max="10" style="1383" width="9.8515625" hidden="1" customWidth="1"/>
    <col min="11" max="11" style="1383" width="11.421875" hidden="1" customWidth="1"/>
    <col min="12" max="12" style="2417" width="19.140625" hidden="1" customWidth="1"/>
    <col min="13" max="14" style="1801" width="12.28125" hidden="1" customWidth="1"/>
    <col min="15" max="15" style="1801" width="23.421875" hidden="1" customWidth="1"/>
    <col min="16" max="16" style="1801" width="3.7109375" hidden="1" customWidth="1"/>
    <col min="17" max="17" style="1388" width="3.7109375" hidden="1" customWidth="1"/>
    <col min="18" max="18" style="332" width="3.7109375" customWidth="1"/>
    <col min="19" max="19" style="2229" width="12.7109375" customWidth="1"/>
    <col min="20" max="20" style="1660" width="32.00390625" customWidth="1"/>
    <col min="21" max="21" style="1660" width="0.140625" customWidth="1"/>
    <col min="22" max="25" style="1660" width="21.7109375" hidden="1" customWidth="1"/>
    <col min="26" max="26" style="1660" width="11.7109375" hidden="1" customWidth="1"/>
    <col min="27" max="27" style="1660" width="3.7109375" hidden="1" customWidth="1"/>
    <col min="28" max="28" style="1660" width="11.7109375" hidden="1" customWidth="1"/>
    <col min="29" max="29" style="1660" width="8.57421875" hidden="1" customWidth="1"/>
    <col min="30" max="32" style="1660" width="3.7109375" customWidth="1"/>
    <col min="33" max="33" style="1660" width="24.7109375" customWidth="1"/>
    <col min="34" max="36" style="1660" width="3.7109375" customWidth="1"/>
    <col min="37" max="37" style="1660" width="24.7109375" customWidth="1"/>
    <col min="38" max="40" style="1660" width="3.7109375" customWidth="1"/>
    <col min="41" max="41" style="1660" width="18.8515625" customWidth="1"/>
    <col min="42" max="44" style="1660" width="3.7109375" customWidth="1"/>
    <col min="45" max="45" style="1660" width="18.8515625" customWidth="1"/>
    <col min="46" max="49" style="1660" width="21.7109375" customWidth="1"/>
    <col min="50" max="50" style="1660" width="11.7109375" customWidth="1"/>
    <col min="51" max="51" style="1660" width="3.7109375" customWidth="1"/>
    <col min="52" max="52" style="1660" width="11.7109375" customWidth="1"/>
    <col min="53" max="53" style="1660" width="8.57421875" hidden="1" customWidth="1"/>
    <col min="54" max="54" style="1660" width="4.7109375" customWidth="1"/>
    <col min="55" max="55" style="1660" width="115.7109375" customWidth="1"/>
    <col min="56" max="57" style="1667" width="10.57421875"/>
    <col min="58" max="58" style="1667" width="11.140625" customWidth="1"/>
    <col min="59" max="60" style="1667" width="10.57421875"/>
  </cols>
  <sheetData>
    <row customHeight="1" ht="14.25" hidden="1">
      <c r="W1" s="315"/>
      <c r="Y1" s="315"/>
      <c r="Z1" s="315"/>
      <c r="AW1" s="315"/>
      <c r="AX1" s="315"/>
    </row>
    <row customHeight="1" ht="21" hidden="1">
      <c r="A2" s="1380"/>
      <c r="B2" s="1380"/>
      <c r="C2" s="1380"/>
      <c r="D2" s="1380"/>
      <c r="E2" s="2089">
        <v>1</v>
      </c>
      <c r="F2" s="1380"/>
      <c r="G2" s="1380"/>
      <c r="H2" s="1380"/>
      <c r="I2" s="1380"/>
      <c r="J2" s="1380"/>
      <c r="K2" s="1380"/>
      <c r="L2" s="1381"/>
      <c r="M2" s="1382"/>
      <c r="N2" s="1382"/>
      <c r="O2" s="1382"/>
      <c r="P2" s="1426"/>
      <c r="Q2" s="867"/>
      <c r="R2" s="343"/>
      <c r="S2" s="1510">
        <f>INDEX(PT_DIFFERENTIATION_NUM_NTAR,MATCH(A2,PT_DIFFERENTIATION_NTAR_ID,0))</f>
      </c>
      <c r="T2" s="278" t="s">
        <v>122</v>
      </c>
      <c r="U2" s="280"/>
      <c r="V2" s="2084"/>
      <c r="W2" s="2084"/>
      <c r="X2" s="2084"/>
      <c r="Y2" s="2084"/>
      <c r="Z2" s="2084"/>
      <c r="AA2" s="2084"/>
      <c r="AB2" s="2084"/>
      <c r="AC2" s="2085"/>
      <c r="AD2" s="2083">
        <f>INDEX(PT_DIFFERENTIATION_NTAR,MATCH(A2,PT_DIFFERENTIATION_NTAR_ID,0))</f>
      </c>
      <c r="AE2" s="2084"/>
      <c r="AF2" s="2084"/>
      <c r="AG2" s="2084"/>
      <c r="AH2" s="2084"/>
      <c r="AI2" s="2084"/>
      <c r="AJ2" s="2084"/>
      <c r="AK2" s="2084"/>
      <c r="AL2" s="2084"/>
      <c r="AM2" s="2084"/>
      <c r="AN2" s="2084"/>
      <c r="AO2" s="2084"/>
      <c r="AP2" s="2084"/>
      <c r="AQ2" s="2084"/>
      <c r="AR2" s="2084"/>
      <c r="AS2" s="2084"/>
      <c r="AT2" s="2084"/>
      <c r="AU2" s="2084"/>
      <c r="AV2" s="2084"/>
      <c r="AW2" s="2084"/>
      <c r="AX2" s="2084"/>
      <c r="AY2" s="2084"/>
      <c r="AZ2" s="2084"/>
      <c r="BA2" s="2084"/>
      <c r="BB2" s="2085"/>
      <c r="BC2"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496"/>
      <c r="BF2" s="496" t="str">
        <f>IF(T2="","",T2)</f>
        <v>Наименование тарифа</v>
      </c>
      <c r="BG2" s="496"/>
      <c r="BH2" s="496"/>
    </row>
    <row customHeight="1" ht="21" hidden="1">
      <c r="A3" s="1380"/>
      <c r="B3" s="1380"/>
      <c r="C3" s="1380"/>
      <c r="D3" s="1380"/>
      <c r="E3" s="2090"/>
      <c r="F3" s="2089">
        <v>1</v>
      </c>
      <c r="G3" s="1380"/>
      <c r="H3" s="1380"/>
      <c r="I3" s="1380"/>
      <c r="J3" s="1380"/>
      <c r="K3" s="1380"/>
      <c r="L3" s="1381"/>
      <c r="M3" s="1382"/>
      <c r="N3" s="1382"/>
      <c r="O3" s="1382"/>
      <c r="P3" s="1427"/>
      <c r="Q3" s="1428"/>
      <c r="R3" s="341"/>
      <c r="S3" s="1510">
        <f>INDEX(PT_DIFFERENTIATION_NUM_TER,MATCH(B3,PT_DIFFERENTIATION_TER_ID,0))</f>
      </c>
      <c r="T3" s="290" t="s">
        <v>411</v>
      </c>
      <c r="U3" s="280"/>
      <c r="V3" s="2084"/>
      <c r="W3" s="2084"/>
      <c r="X3" s="2084"/>
      <c r="Y3" s="2084"/>
      <c r="Z3" s="2084"/>
      <c r="AA3" s="2084"/>
      <c r="AB3" s="2084"/>
      <c r="AC3" s="2085"/>
      <c r="AD3" s="2083">
        <f>INDEX(PT_DIFFERENTIATION_TER,MATCH(B3,PT_DIFFERENTIATION_TER_ID,0))</f>
      </c>
      <c r="AE3" s="2084"/>
      <c r="AF3" s="2084"/>
      <c r="AG3" s="2084"/>
      <c r="AH3" s="2084"/>
      <c r="AI3" s="2084"/>
      <c r="AJ3" s="2084"/>
      <c r="AK3" s="2084"/>
      <c r="AL3" s="2084"/>
      <c r="AM3" s="2084"/>
      <c r="AN3" s="2084"/>
      <c r="AO3" s="2084"/>
      <c r="AP3" s="2084"/>
      <c r="AQ3" s="2084"/>
      <c r="AR3" s="2084"/>
      <c r="AS3" s="2084"/>
      <c r="AT3" s="2084"/>
      <c r="AU3" s="2084"/>
      <c r="AV3" s="2084"/>
      <c r="AW3" s="2084"/>
      <c r="AX3" s="2084"/>
      <c r="AY3" s="2084"/>
      <c r="AZ3" s="2084"/>
      <c r="BA3" s="2084"/>
      <c r="BB3" s="2085"/>
      <c r="BC3" s="1273" t="s">
        <v>412</v>
      </c>
      <c r="BE3" s="496"/>
      <c r="BF3" s="496" t="str">
        <f>IF(T3="","",T3)</f>
        <v>Территория действия тарифа</v>
      </c>
      <c r="BG3" s="496"/>
      <c r="BH3" s="496"/>
    </row>
    <row customHeight="1" ht="33.75" hidden="1">
      <c r="A4" s="1380"/>
      <c r="B4" s="1380"/>
      <c r="C4" s="1380"/>
      <c r="D4" s="1380"/>
      <c r="E4" s="2090"/>
      <c r="F4" s="2090"/>
      <c r="G4" s="2089">
        <v>1</v>
      </c>
      <c r="H4" s="1380"/>
      <c r="I4" s="1380"/>
      <c r="J4" s="1380"/>
      <c r="K4" s="1380"/>
      <c r="L4" s="1381"/>
      <c r="M4" s="1382"/>
      <c r="N4" s="1382"/>
      <c r="O4" s="1382"/>
      <c r="P4" s="1429"/>
      <c r="Q4" s="1428"/>
      <c r="R4" s="341"/>
      <c r="S4" s="1510">
        <f>INDEX(PT_DIFFERENTIATION_NUM_CS,MATCH(C4,PT_DIFFERENTIATION_CS_ID,0))</f>
      </c>
      <c r="T4" s="291" t="s">
        <v>547</v>
      </c>
      <c r="U4" s="280"/>
      <c r="V4" s="2084"/>
      <c r="W4" s="2084"/>
      <c r="X4" s="2084"/>
      <c r="Y4" s="2084"/>
      <c r="Z4" s="2084"/>
      <c r="AA4" s="2084"/>
      <c r="AB4" s="2084"/>
      <c r="AC4" s="2085"/>
      <c r="AD4" s="2083">
        <f>INDEX(PT_DIFFERENTIATION_CS,MATCH(C4,PT_DIFFERENTIATION_CS_ID,0))</f>
      </c>
      <c r="AE4" s="2084"/>
      <c r="AF4" s="2084"/>
      <c r="AG4" s="2084"/>
      <c r="AH4" s="2084"/>
      <c r="AI4" s="2084"/>
      <c r="AJ4" s="2084"/>
      <c r="AK4" s="2084"/>
      <c r="AL4" s="2084"/>
      <c r="AM4" s="2084"/>
      <c r="AN4" s="2084"/>
      <c r="AO4" s="2084"/>
      <c r="AP4" s="2084"/>
      <c r="AQ4" s="2084"/>
      <c r="AR4" s="2084"/>
      <c r="AS4" s="2084"/>
      <c r="AT4" s="2084"/>
      <c r="AU4" s="2084"/>
      <c r="AV4" s="2084"/>
      <c r="AW4" s="2084"/>
      <c r="AX4" s="2084"/>
      <c r="AY4" s="2084"/>
      <c r="AZ4" s="2084"/>
      <c r="BA4" s="2084"/>
      <c r="BB4" s="2085"/>
      <c r="BC4" s="1273" t="s">
        <v>548</v>
      </c>
      <c r="BE4" s="496"/>
      <c r="BF4" s="496" t="str">
        <f>IF(T4="","",T4)</f>
        <v>Наименование централизованной системы горячего водоснабжения</v>
      </c>
      <c r="BG4" s="496"/>
      <c r="BH4" s="496"/>
    </row>
    <row s="1667" customFormat="1" customHeight="1" ht="14.25" hidden="1">
      <c r="A5" s="1360"/>
      <c r="B5" s="1360"/>
      <c r="C5" s="1360"/>
      <c r="D5" s="1360"/>
      <c r="E5" s="2090"/>
      <c r="F5" s="2090"/>
      <c r="G5" s="2090"/>
      <c r="H5" s="2089">
        <v>1</v>
      </c>
      <c r="I5" s="1360"/>
      <c r="J5" s="1360"/>
      <c r="K5" s="1360"/>
      <c r="L5" s="1363"/>
      <c r="M5" s="1332"/>
      <c r="N5" s="1332"/>
      <c r="O5" s="1332"/>
      <c r="P5" s="1514"/>
      <c r="Q5" s="1515"/>
      <c r="R5" s="345"/>
      <c r="S5" s="1037"/>
      <c r="T5" s="1516"/>
      <c r="U5" s="1401"/>
      <c r="V5" s="2130"/>
      <c r="W5" s="2130"/>
      <c r="X5" s="2130"/>
      <c r="Y5" s="2130"/>
      <c r="Z5" s="2130"/>
      <c r="AA5" s="2130"/>
      <c r="AB5" s="2130"/>
      <c r="AC5" s="2131"/>
      <c r="AD5" s="2129"/>
      <c r="AE5" s="2130"/>
      <c r="AF5" s="2130"/>
      <c r="AG5" s="2130"/>
      <c r="AH5" s="2130"/>
      <c r="AI5" s="2130"/>
      <c r="AJ5" s="2130"/>
      <c r="AK5" s="2130"/>
      <c r="AL5" s="2130"/>
      <c r="AM5" s="2130"/>
      <c r="AN5" s="2130"/>
      <c r="AO5" s="2130"/>
      <c r="AP5" s="2130"/>
      <c r="AQ5" s="2130"/>
      <c r="AR5" s="2130"/>
      <c r="AS5" s="2130"/>
      <c r="AT5" s="2130"/>
      <c r="AU5" s="2130"/>
      <c r="AV5" s="2130"/>
      <c r="AW5" s="2130"/>
      <c r="AX5" s="2130"/>
      <c r="AY5" s="2130"/>
      <c r="AZ5" s="2130"/>
      <c r="BA5" s="2130"/>
      <c r="BB5" s="2131"/>
      <c r="BC5" s="1402" t="s">
        <v>416</v>
      </c>
      <c r="BE5" s="496"/>
      <c r="BF5" s="496" t="str">
        <f>IF(T5="","",T5)</f>
        <v/>
      </c>
      <c r="BG5" s="496"/>
      <c r="BH5" s="496"/>
    </row>
    <row s="1667" customFormat="1" customHeight="1" ht="14.25" hidden="1">
      <c r="A6" s="1360"/>
      <c r="B6" s="1360"/>
      <c r="C6" s="1360"/>
      <c r="D6" s="1360"/>
      <c r="E6" s="2090"/>
      <c r="F6" s="2090"/>
      <c r="G6" s="2090"/>
      <c r="H6" s="2090"/>
      <c r="I6" s="2091" t="str">
        <f>S5&amp;".1"</f>
        <v>.1</v>
      </c>
      <c r="J6" s="1360"/>
      <c r="K6" s="1360"/>
      <c r="L6" s="1363" t="s">
        <v>417</v>
      </c>
      <c r="M6" s="506"/>
      <c r="N6" s="506"/>
      <c r="O6" s="506"/>
      <c r="P6" s="2093">
        <v>1</v>
      </c>
      <c r="Q6" s="1498"/>
      <c r="R6" s="344"/>
      <c r="S6" s="1037"/>
      <c r="T6" s="1400"/>
      <c r="U6" s="1401"/>
      <c r="V6" s="2130"/>
      <c r="W6" s="2130"/>
      <c r="X6" s="2130"/>
      <c r="Y6" s="2130"/>
      <c r="Z6" s="2130"/>
      <c r="AA6" s="2130"/>
      <c r="AB6" s="2130"/>
      <c r="AC6" s="2131"/>
      <c r="AD6" s="2129"/>
      <c r="AE6" s="2130"/>
      <c r="AF6" s="2130"/>
      <c r="AG6" s="2130"/>
      <c r="AH6" s="2130"/>
      <c r="AI6" s="2130"/>
      <c r="AJ6" s="2130"/>
      <c r="AK6" s="2130"/>
      <c r="AL6" s="2130"/>
      <c r="AM6" s="2130"/>
      <c r="AN6" s="2130"/>
      <c r="AO6" s="2130"/>
      <c r="AP6" s="2130"/>
      <c r="AQ6" s="2130"/>
      <c r="AR6" s="2130"/>
      <c r="AS6" s="2130"/>
      <c r="AT6" s="2130"/>
      <c r="AU6" s="2130"/>
      <c r="AV6" s="2130"/>
      <c r="AW6" s="2130"/>
      <c r="AX6" s="2130"/>
      <c r="AY6" s="2130"/>
      <c r="AZ6" s="2130"/>
      <c r="BA6" s="2130"/>
      <c r="BB6" s="2131"/>
      <c r="BC6" s="1402"/>
      <c r="BE6" s="496"/>
      <c r="BF6" s="496" t="str">
        <f>IF(T6="","",T6)</f>
        <v/>
      </c>
      <c r="BG6" s="496"/>
      <c r="BH6" s="496"/>
    </row>
    <row s="1667" customFormat="1" customHeight="1" ht="14.25" hidden="1">
      <c r="A7" s="1360"/>
      <c r="B7" s="1360"/>
      <c r="C7" s="1360"/>
      <c r="D7" s="1360"/>
      <c r="E7" s="2090"/>
      <c r="F7" s="2090"/>
      <c r="G7" s="2090"/>
      <c r="H7" s="2090"/>
      <c r="I7" s="2092"/>
      <c r="J7" s="2091" t="str">
        <f>S5&amp;".1"</f>
        <v>.1</v>
      </c>
      <c r="K7" s="1360"/>
      <c r="L7" s="1363"/>
      <c r="M7" s="506"/>
      <c r="N7" s="506"/>
      <c r="O7" s="506"/>
      <c r="P7" s="2093"/>
      <c r="Q7" s="2093">
        <v>1</v>
      </c>
      <c r="R7" s="345"/>
      <c r="S7" s="1037"/>
      <c r="T7" s="1416"/>
      <c r="U7" s="1401"/>
      <c r="V7" s="2130"/>
      <c r="W7" s="2130"/>
      <c r="X7" s="2130"/>
      <c r="Y7" s="2130"/>
      <c r="Z7" s="2130"/>
      <c r="AA7" s="2130"/>
      <c r="AB7" s="2130"/>
      <c r="AC7" s="2131"/>
      <c r="AD7" s="2129"/>
      <c r="AE7" s="2130"/>
      <c r="AF7" s="2130"/>
      <c r="AG7" s="2130"/>
      <c r="AH7" s="2130"/>
      <c r="AI7" s="2130"/>
      <c r="AJ7" s="2130"/>
      <c r="AK7" s="2130"/>
      <c r="AL7" s="2130"/>
      <c r="AM7" s="2130"/>
      <c r="AN7" s="2130"/>
      <c r="AO7" s="2130"/>
      <c r="AP7" s="2130"/>
      <c r="AQ7" s="2130"/>
      <c r="AR7" s="2130"/>
      <c r="AS7" s="2130"/>
      <c r="AT7" s="2130"/>
      <c r="AU7" s="2130"/>
      <c r="AV7" s="2130"/>
      <c r="AW7" s="2130"/>
      <c r="AX7" s="2130"/>
      <c r="AY7" s="2130"/>
      <c r="AZ7" s="2130"/>
      <c r="BA7" s="2130"/>
      <c r="BB7" s="2131"/>
      <c r="BC7" s="1402"/>
      <c r="BE7" s="496"/>
      <c r="BF7" s="496" t="str">
        <f>IF(T7="","",T7)</f>
        <v/>
      </c>
      <c r="BG7" s="496"/>
      <c r="BH7" s="496"/>
    </row>
    <row customHeight="1" ht="11.25" hidden="1">
      <c r="A8" s="1380"/>
      <c r="B8" s="1380"/>
      <c r="C8" s="1380"/>
      <c r="D8" s="1380"/>
      <c r="E8" s="2090"/>
      <c r="F8" s="2090"/>
      <c r="G8" s="2090"/>
      <c r="H8" s="2090"/>
      <c r="I8" s="2092"/>
      <c r="J8" s="2092"/>
      <c r="K8" s="2091">
        <f>S4&amp;".1"</f>
      </c>
      <c r="L8" s="1381"/>
      <c r="P8" s="2093"/>
      <c r="Q8" s="2093"/>
      <c r="R8" s="2169">
        <v>1</v>
      </c>
      <c r="S8" s="2166">
        <f>$K8</f>
      </c>
      <c r="T8" s="2185"/>
      <c r="U8" s="280"/>
      <c r="V8" s="746"/>
      <c r="W8" s="1272"/>
      <c r="X8" s="746"/>
      <c r="Y8" s="1272"/>
      <c r="Z8" s="1758"/>
      <c r="AA8" s="1486" t="s">
        <v>61</v>
      </c>
      <c r="AB8" s="1758"/>
      <c r="AC8" s="1486" t="s">
        <v>61</v>
      </c>
      <c r="AD8" s="2026" t="s">
        <v>61</v>
      </c>
      <c r="AE8" s="2162"/>
      <c r="AF8" s="2039">
        <v>1</v>
      </c>
      <c r="AG8" s="2184"/>
      <c r="AH8" s="1963" t="s">
        <v>61</v>
      </c>
      <c r="AI8" s="2162"/>
      <c r="AJ8" s="2039">
        <v>1</v>
      </c>
      <c r="AK8" s="2183" t="s">
        <v>24</v>
      </c>
      <c r="AL8" s="1963" t="s">
        <v>61</v>
      </c>
      <c r="AM8" s="2011"/>
      <c r="AN8" s="2039">
        <v>1</v>
      </c>
      <c r="AO8" s="2188"/>
      <c r="AP8" s="2189" t="s">
        <v>61</v>
      </c>
      <c r="AQ8" s="293"/>
      <c r="AR8" s="1503">
        <v>1</v>
      </c>
      <c r="AS8" s="1509" t="s">
        <v>24</v>
      </c>
      <c r="AT8" s="746"/>
      <c r="AU8" s="1272"/>
      <c r="AV8" s="746"/>
      <c r="AW8" s="1272"/>
      <c r="AX8" s="1758"/>
      <c r="AY8" s="1486" t="s">
        <v>61</v>
      </c>
      <c r="AZ8" s="1758"/>
      <c r="BA8" s="1486" t="s">
        <v>61</v>
      </c>
      <c r="BB8" s="1365"/>
      <c r="BC8" s="2119" t="s">
        <v>518</v>
      </c>
      <c r="BE8" s="496"/>
      <c r="BF8" s="496" t="str">
        <f>IF(T8="","",T8)</f>
        <v/>
      </c>
      <c r="BG8" s="496"/>
      <c r="BH8" s="496"/>
    </row>
    <row customHeight="1" ht="11.25" hidden="1">
      <c r="A9" s="1380"/>
      <c r="B9" s="1380"/>
      <c r="C9" s="1380"/>
      <c r="D9" s="1380"/>
      <c r="E9" s="2090"/>
      <c r="F9" s="2090"/>
      <c r="G9" s="2090"/>
      <c r="H9" s="2090"/>
      <c r="I9" s="2092"/>
      <c r="J9" s="2092"/>
      <c r="K9" s="2091"/>
      <c r="L9" s="1381"/>
      <c r="P9" s="2093"/>
      <c r="Q9" s="2093"/>
      <c r="R9" s="2169"/>
      <c r="S9" s="2167"/>
      <c r="T9" s="2186"/>
      <c r="U9" s="280"/>
      <c r="V9" s="1410"/>
      <c r="W9" s="1513"/>
      <c r="X9" s="1410"/>
      <c r="Y9" s="1513"/>
      <c r="Z9" s="1410"/>
      <c r="AA9" s="1410"/>
      <c r="AB9" s="1410"/>
      <c r="AC9" s="1410"/>
      <c r="AD9" s="2027"/>
      <c r="AE9" s="2162"/>
      <c r="AF9" s="2039"/>
      <c r="AG9" s="2184"/>
      <c r="AH9" s="1963"/>
      <c r="AI9" s="2162"/>
      <c r="AJ9" s="2039"/>
      <c r="AK9" s="2183"/>
      <c r="AL9" s="1963"/>
      <c r="AM9" s="2019"/>
      <c r="AN9" s="2039"/>
      <c r="AO9" s="2188"/>
      <c r="AP9" s="2190"/>
      <c r="AQ9" s="300"/>
      <c r="AR9" s="413"/>
      <c r="AS9" s="413" t="s">
        <v>519</v>
      </c>
      <c r="AT9" s="1410"/>
      <c r="AU9" s="1513"/>
      <c r="AV9" s="1410"/>
      <c r="AW9" s="1513"/>
      <c r="AX9" s="1410"/>
      <c r="AY9" s="1410"/>
      <c r="AZ9" s="1410"/>
      <c r="BA9" s="1410"/>
      <c r="BB9" s="1414"/>
      <c r="BC9" s="2120"/>
      <c r="BE9" s="496"/>
      <c r="BF9" s="496"/>
      <c r="BG9" s="496"/>
      <c r="BH9" s="496"/>
    </row>
    <row customHeight="1" ht="11.25" hidden="1">
      <c r="A10" s="1380"/>
      <c r="B10" s="1380"/>
      <c r="C10" s="1380"/>
      <c r="D10" s="1380"/>
      <c r="E10" s="2090"/>
      <c r="F10" s="2090"/>
      <c r="G10" s="2090"/>
      <c r="H10" s="2090"/>
      <c r="I10" s="2092"/>
      <c r="J10" s="2092"/>
      <c r="K10" s="2091"/>
      <c r="L10" s="1381"/>
      <c r="P10" s="2093"/>
      <c r="Q10" s="2093"/>
      <c r="R10" s="2169"/>
      <c r="S10" s="2167"/>
      <c r="T10" s="2186"/>
      <c r="U10" s="280"/>
      <c r="V10" s="1410"/>
      <c r="W10" s="1513"/>
      <c r="X10" s="1410"/>
      <c r="Y10" s="1513"/>
      <c r="Z10" s="1410"/>
      <c r="AA10" s="1410"/>
      <c r="AB10" s="1410"/>
      <c r="AC10" s="1410"/>
      <c r="AD10" s="2027"/>
      <c r="AE10" s="2162"/>
      <c r="AF10" s="2039"/>
      <c r="AG10" s="2184"/>
      <c r="AH10" s="1963"/>
      <c r="AI10" s="2162"/>
      <c r="AJ10" s="2039"/>
      <c r="AK10" s="2183"/>
      <c r="AL10" s="1963"/>
      <c r="AM10" s="300"/>
      <c r="AN10" s="1517"/>
      <c r="AO10" s="1517" t="s">
        <v>520</v>
      </c>
      <c r="AP10" s="413"/>
      <c r="AQ10" s="413"/>
      <c r="AR10" s="413"/>
      <c r="AS10" s="1410"/>
      <c r="AT10" s="1410"/>
      <c r="AU10" s="1513"/>
      <c r="AV10" s="1410"/>
      <c r="AW10" s="1513"/>
      <c r="AX10" s="1410"/>
      <c r="AY10" s="1410"/>
      <c r="AZ10" s="1410"/>
      <c r="BA10" s="1410"/>
      <c r="BB10" s="1414"/>
      <c r="BC10" s="2120"/>
      <c r="BE10" s="496"/>
      <c r="BF10" s="496"/>
      <c r="BG10" s="496"/>
      <c r="BH10" s="496"/>
    </row>
    <row customHeight="1" ht="11.25" hidden="1">
      <c r="A11" s="1380"/>
      <c r="B11" s="1380"/>
      <c r="C11" s="1380"/>
      <c r="D11" s="1380"/>
      <c r="E11" s="2090"/>
      <c r="F11" s="2090"/>
      <c r="G11" s="2090"/>
      <c r="H11" s="2090"/>
      <c r="I11" s="2092"/>
      <c r="J11" s="2092"/>
      <c r="K11" s="2091"/>
      <c r="L11" s="1381"/>
      <c r="P11" s="2093"/>
      <c r="Q11" s="2093"/>
      <c r="R11" s="2169"/>
      <c r="S11" s="2167"/>
      <c r="T11" s="2186"/>
      <c r="U11" s="280"/>
      <c r="V11" s="1410"/>
      <c r="W11" s="1513"/>
      <c r="X11" s="1410"/>
      <c r="Y11" s="1513"/>
      <c r="Z11" s="1410"/>
      <c r="AA11" s="1410"/>
      <c r="AB11" s="1410"/>
      <c r="AC11" s="1410"/>
      <c r="AD11" s="2027"/>
      <c r="AE11" s="2162"/>
      <c r="AF11" s="2039"/>
      <c r="AG11" s="2184"/>
      <c r="AH11" s="1963"/>
      <c r="AI11" s="274"/>
      <c r="AJ11" s="412"/>
      <c r="AK11" s="295" t="s">
        <v>521</v>
      </c>
      <c r="AL11" s="1410"/>
      <c r="AM11" s="1410"/>
      <c r="AN11" s="1410"/>
      <c r="AO11" s="1410"/>
      <c r="AP11" s="1410"/>
      <c r="AQ11" s="1410"/>
      <c r="AR11" s="1410"/>
      <c r="AS11" s="1410"/>
      <c r="AT11" s="1410"/>
      <c r="AU11" s="1513"/>
      <c r="AV11" s="1410"/>
      <c r="AW11" s="1513"/>
      <c r="AX11" s="1410"/>
      <c r="AY11" s="1410"/>
      <c r="AZ11" s="1410"/>
      <c r="BA11" s="1410"/>
      <c r="BB11" s="1414"/>
      <c r="BC11" s="2120"/>
      <c r="BE11" s="496"/>
      <c r="BF11" s="496"/>
      <c r="BG11" s="496"/>
      <c r="BH11" s="496"/>
    </row>
    <row customHeight="1" ht="11.25" hidden="1">
      <c r="A12" s="1380"/>
      <c r="B12" s="1380"/>
      <c r="C12" s="1380"/>
      <c r="D12" s="1380"/>
      <c r="E12" s="2090"/>
      <c r="F12" s="2090"/>
      <c r="G12" s="2090"/>
      <c r="H12" s="2090"/>
      <c r="I12" s="2092"/>
      <c r="J12" s="2092"/>
      <c r="K12" s="2091"/>
      <c r="L12" s="1381"/>
      <c r="P12" s="2093"/>
      <c r="Q12" s="2093"/>
      <c r="R12" s="2169"/>
      <c r="S12" s="2168"/>
      <c r="T12" s="2187"/>
      <c r="U12" s="280"/>
      <c r="V12" s="1410"/>
      <c r="W12" s="1411" t="str">
        <f>Z8&amp;"-"&amp;AB8</f>
        <v>-</v>
      </c>
      <c r="X12" s="1410"/>
      <c r="Y12" s="1411" t="str">
        <f>AB8&amp;"-"&amp;AD8</f>
        <v>-да</v>
      </c>
      <c r="Z12" s="1410"/>
      <c r="AA12" s="1410"/>
      <c r="AB12" s="1410"/>
      <c r="AC12" s="1410"/>
      <c r="AD12" s="1968"/>
      <c r="AE12" s="294"/>
      <c r="AF12" s="296"/>
      <c r="AG12" s="413" t="s">
        <v>522</v>
      </c>
      <c r="AH12" s="1410"/>
      <c r="AI12" s="1410"/>
      <c r="AJ12" s="1410"/>
      <c r="AK12" s="1410"/>
      <c r="AL12" s="1410"/>
      <c r="AM12" s="1410"/>
      <c r="AN12" s="1410"/>
      <c r="AO12" s="1410"/>
      <c r="AP12" s="1410"/>
      <c r="AQ12" s="1410"/>
      <c r="AR12" s="1410"/>
      <c r="AS12" s="1410"/>
      <c r="AT12" s="1410"/>
      <c r="AU12" s="1411" t="str">
        <f>AX8&amp;"-"&amp;AZ8</f>
        <v>-</v>
      </c>
      <c r="AV12" s="1410"/>
      <c r="AW12" s="1411" t="str">
        <f>AZ8&amp;"-"&amp;BB8</f>
        <v>-</v>
      </c>
      <c r="AX12" s="1410"/>
      <c r="AY12" s="1410"/>
      <c r="AZ12" s="1410"/>
      <c r="BA12" s="1410"/>
      <c r="BB12" s="1413" t="str">
        <f>BE8&amp;"-"&amp;BG8</f>
        <v>-</v>
      </c>
      <c r="BC12" s="2120"/>
      <c r="BE12" s="496"/>
      <c r="BF12" s="496" t="str">
        <f>IF(T12="","",T12)</f>
        <v/>
      </c>
      <c r="BG12" s="496"/>
      <c r="BH12" s="496"/>
    </row>
    <row customHeight="1" ht="11.25" hidden="1">
      <c r="A13" s="1380"/>
      <c r="B13" s="1380"/>
      <c r="C13" s="1380"/>
      <c r="D13" s="1380"/>
      <c r="E13" s="2090"/>
      <c r="F13" s="2090"/>
      <c r="G13" s="2090"/>
      <c r="H13" s="2090"/>
      <c r="I13" s="2092"/>
      <c r="J13" s="2091"/>
      <c r="K13" s="1380"/>
      <c r="L13" s="1381"/>
      <c r="P13" s="2093"/>
      <c r="Q13" s="2093"/>
      <c r="R13" s="344"/>
      <c r="S13" s="1295"/>
      <c r="T13" s="268" t="s">
        <v>486</v>
      </c>
      <c r="U13" s="359"/>
      <c r="V13" s="359"/>
      <c r="W13" s="359"/>
      <c r="X13" s="359"/>
      <c r="Y13" s="359"/>
      <c r="Z13" s="359"/>
      <c r="AA13" s="359"/>
      <c r="AB13" s="359"/>
      <c r="AC13" s="359"/>
      <c r="AD13" s="1522"/>
      <c r="AE13" s="359"/>
      <c r="AF13" s="359"/>
      <c r="AG13" s="359"/>
      <c r="AH13" s="359"/>
      <c r="AI13" s="359"/>
      <c r="AJ13" s="359"/>
      <c r="AK13" s="359"/>
      <c r="AL13" s="359"/>
      <c r="AM13" s="359"/>
      <c r="AN13" s="359"/>
      <c r="AO13" s="359"/>
      <c r="AP13" s="359"/>
      <c r="AQ13" s="359"/>
      <c r="AR13" s="359"/>
      <c r="AS13" s="359"/>
      <c r="AT13" s="359"/>
      <c r="AU13" s="359"/>
      <c r="AV13" s="359"/>
      <c r="AW13" s="359"/>
      <c r="AX13" s="359"/>
      <c r="AY13" s="359"/>
      <c r="AZ13" s="359"/>
      <c r="BA13" s="359"/>
      <c r="BB13" s="311"/>
      <c r="BC13" s="2121"/>
      <c r="BE13" s="496"/>
      <c r="BF13" s="496" t="str">
        <f>IF(T13="","",T13)</f>
        <v>Добавить строку</v>
      </c>
      <c r="BG13" s="496"/>
      <c r="BH13" s="496"/>
    </row>
    <row s="1667" customFormat="1" customHeight="1" ht="14.25" hidden="1">
      <c r="A14" s="1360"/>
      <c r="B14" s="1360"/>
      <c r="C14" s="1360"/>
      <c r="D14" s="1360"/>
      <c r="E14" s="2090"/>
      <c r="F14" s="2090"/>
      <c r="G14" s="2090"/>
      <c r="H14" s="2090"/>
      <c r="I14" s="2091"/>
      <c r="J14" s="1360"/>
      <c r="K14" s="1360"/>
      <c r="L14" s="1363"/>
      <c r="M14" s="506"/>
      <c r="N14" s="506"/>
      <c r="O14" s="506"/>
      <c r="P14" s="2093"/>
      <c r="Q14" s="1498"/>
      <c r="R14" s="344"/>
      <c r="S14" s="1403"/>
      <c r="T14" s="1404"/>
      <c r="U14" s="1405"/>
      <c r="V14" s="1405"/>
      <c r="W14" s="1405"/>
      <c r="X14" s="1405"/>
      <c r="Y14" s="1405"/>
      <c r="Z14" s="1405"/>
      <c r="AA14" s="1405"/>
      <c r="AB14" s="1405"/>
      <c r="AC14" s="1405"/>
      <c r="AD14" s="1405"/>
      <c r="AE14" s="1405"/>
      <c r="AF14" s="1405"/>
      <c r="AG14" s="1405"/>
      <c r="AH14" s="1405"/>
      <c r="AI14" s="1405"/>
      <c r="AJ14" s="1405"/>
      <c r="AK14" s="1405"/>
      <c r="AL14" s="1405"/>
      <c r="AM14" s="1405"/>
      <c r="AN14" s="1405"/>
      <c r="AO14" s="1405"/>
      <c r="AP14" s="1405"/>
      <c r="AQ14" s="1405"/>
      <c r="AR14" s="1405"/>
      <c r="AS14" s="1405"/>
      <c r="AT14" s="1405"/>
      <c r="AU14" s="1405"/>
      <c r="AV14" s="1405"/>
      <c r="AW14" s="1405"/>
      <c r="AX14" s="1405"/>
      <c r="AY14" s="1405"/>
      <c r="AZ14" s="1405"/>
      <c r="BA14" s="1405"/>
      <c r="BB14" s="1405"/>
      <c r="BC14" s="1406"/>
      <c r="BE14" s="496"/>
      <c r="BF14" s="496" t="str">
        <f>IF(T14="","",T14)</f>
        <v/>
      </c>
      <c r="BG14" s="496"/>
      <c r="BH14" s="496"/>
    </row>
    <row s="1667" customFormat="1" customHeight="1" ht="14.25" hidden="1">
      <c r="A15" s="1360"/>
      <c r="B15" s="1360"/>
      <c r="C15" s="1360"/>
      <c r="D15" s="1360"/>
      <c r="E15" s="2090"/>
      <c r="F15" s="2090"/>
      <c r="G15" s="2090"/>
      <c r="H15" s="2089"/>
      <c r="I15" s="1360"/>
      <c r="J15" s="1360"/>
      <c r="K15" s="1360"/>
      <c r="L15" s="1363"/>
      <c r="M15" s="1332"/>
      <c r="N15" s="1332"/>
      <c r="O15" s="514"/>
      <c r="P15" s="376"/>
      <c r="Q15" s="1361"/>
      <c r="R15" s="1418"/>
      <c r="S15" s="1403"/>
      <c r="T15" s="1404"/>
      <c r="U15" s="1405"/>
      <c r="V15" s="1405"/>
      <c r="W15" s="1405"/>
      <c r="X15" s="1405"/>
      <c r="Y15" s="1405"/>
      <c r="Z15" s="1405"/>
      <c r="AA15" s="1405"/>
      <c r="AB15" s="1405"/>
      <c r="AC15" s="1405"/>
      <c r="AD15" s="1405"/>
      <c r="AE15" s="1405"/>
      <c r="AF15" s="1405"/>
      <c r="AG15" s="1405"/>
      <c r="AH15" s="1405"/>
      <c r="AI15" s="1405"/>
      <c r="AJ15" s="1405"/>
      <c r="AK15" s="1405"/>
      <c r="AL15" s="1405"/>
      <c r="AM15" s="1405"/>
      <c r="AN15" s="1405"/>
      <c r="AO15" s="1405"/>
      <c r="AP15" s="1405"/>
      <c r="AQ15" s="1405"/>
      <c r="AR15" s="1405"/>
      <c r="AS15" s="1405"/>
      <c r="AT15" s="1405"/>
      <c r="AU15" s="1405"/>
      <c r="AV15" s="1405"/>
      <c r="AW15" s="1405"/>
      <c r="AX15" s="1405"/>
      <c r="AY15" s="1405"/>
      <c r="AZ15" s="1405"/>
      <c r="BA15" s="1405"/>
      <c r="BB15" s="1405"/>
      <c r="BC15" s="1406"/>
      <c r="BE15" s="496"/>
      <c r="BF15" s="496" t="str">
        <f>IF(T15="","",T15)</f>
        <v/>
      </c>
      <c r="BG15" s="496"/>
      <c r="BH15" s="496"/>
    </row>
    <row s="1667" customFormat="1" customHeight="1" ht="14.25" hidden="1">
      <c r="A16" s="1360"/>
      <c r="B16" s="1360"/>
      <c r="C16" s="1360"/>
      <c r="D16" s="1331"/>
      <c r="E16" s="2090"/>
      <c r="F16" s="2090"/>
      <c r="G16" s="2089"/>
      <c r="H16" s="1331"/>
      <c r="I16" s="1331"/>
      <c r="J16" s="1331"/>
      <c r="K16" s="1331"/>
      <c r="L16" s="1511"/>
      <c r="M16" s="1332"/>
      <c r="N16" s="1332"/>
      <c r="P16" s="1333"/>
      <c r="Q16" s="1334"/>
      <c r="R16" s="1333"/>
      <c r="S16" s="1339"/>
      <c r="T16" s="1342"/>
      <c r="U16" s="1341"/>
      <c r="V16" s="1341"/>
      <c r="W16" s="1341"/>
      <c r="X16" s="1341"/>
      <c r="Y16" s="1341"/>
      <c r="Z16" s="1341"/>
      <c r="AA16" s="1341"/>
      <c r="AB16" s="1341"/>
      <c r="AC16" s="1341"/>
      <c r="AD16" s="1341"/>
      <c r="AE16" s="1341"/>
      <c r="AF16" s="1341"/>
      <c r="AG16" s="1341"/>
      <c r="AH16" s="1341"/>
      <c r="AI16" s="1341"/>
      <c r="AJ16" s="1341"/>
      <c r="AK16" s="1341"/>
      <c r="AL16" s="1341"/>
      <c r="AM16" s="1341"/>
      <c r="AN16" s="1341"/>
      <c r="AO16" s="1341"/>
      <c r="AP16" s="1341"/>
      <c r="AQ16" s="1341"/>
      <c r="AR16" s="1341"/>
      <c r="AS16" s="1341"/>
      <c r="AT16" s="1341"/>
      <c r="AU16" s="1341"/>
      <c r="AV16" s="1341"/>
      <c r="AW16" s="1341"/>
      <c r="AX16" s="1341"/>
      <c r="AY16" s="1341"/>
      <c r="AZ16" s="1341"/>
      <c r="BA16" s="1341"/>
      <c r="BB16" s="1341"/>
      <c r="BC16" s="1341"/>
      <c r="BE16" s="783"/>
      <c r="BF16" s="783" t="str">
        <f>IF(T16="","",T16)</f>
        <v/>
      </c>
      <c r="BG16" s="783"/>
      <c r="BH16" s="783"/>
    </row>
    <row s="1667" customFormat="1" customHeight="1" ht="14.25" hidden="1">
      <c r="A17" s="1360"/>
      <c r="B17" s="1360"/>
      <c r="C17" s="1331"/>
      <c r="D17" s="1331"/>
      <c r="E17" s="2090"/>
      <c r="F17" s="2089"/>
      <c r="G17" s="1331"/>
      <c r="H17" s="1331"/>
      <c r="I17" s="1331"/>
      <c r="J17" s="1331"/>
      <c r="K17" s="1331"/>
      <c r="L17" s="1511"/>
      <c r="M17" s="1338"/>
      <c r="N17" s="1338"/>
      <c r="P17" s="1333"/>
      <c r="Q17" s="1334"/>
      <c r="R17" s="1333"/>
      <c r="S17" s="1339"/>
      <c r="T17" s="1342" t="s">
        <v>161</v>
      </c>
      <c r="U17" s="1341"/>
      <c r="V17" s="1341"/>
      <c r="W17" s="1341"/>
      <c r="X17" s="1341"/>
      <c r="Y17" s="1341"/>
      <c r="Z17" s="1341"/>
      <c r="AA17" s="1341"/>
      <c r="AB17" s="1341"/>
      <c r="AC17" s="1341"/>
      <c r="AD17" s="1341"/>
      <c r="AE17" s="1341"/>
      <c r="AF17" s="1341"/>
      <c r="AG17" s="1341"/>
      <c r="AH17" s="1341"/>
      <c r="AI17" s="1341"/>
      <c r="AJ17" s="1341"/>
      <c r="AK17" s="1341"/>
      <c r="AL17" s="1341"/>
      <c r="AM17" s="1341"/>
      <c r="AN17" s="1341"/>
      <c r="AO17" s="1341"/>
      <c r="AP17" s="1341"/>
      <c r="AQ17" s="1341"/>
      <c r="AR17" s="1341"/>
      <c r="AS17" s="1341"/>
      <c r="AT17" s="1341"/>
      <c r="AU17" s="1341"/>
      <c r="AV17" s="1341"/>
      <c r="AW17" s="1341"/>
      <c r="AX17" s="1341"/>
      <c r="AY17" s="1341"/>
      <c r="AZ17" s="1341"/>
      <c r="BA17" s="1341"/>
      <c r="BB17" s="1341"/>
      <c r="BC17" s="1341"/>
      <c r="BE17" s="783"/>
      <c r="BF17" s="783" t="str">
        <f>IF(T17="","",T17)</f>
        <v>Добавить централизованную систему для дифференциации</v>
      </c>
      <c r="BG17" s="783"/>
      <c r="BH17" s="783"/>
    </row>
    <row s="1667" customFormat="1" customHeight="1" ht="14.25" hidden="1">
      <c r="A18" s="1360"/>
      <c r="B18" s="1360"/>
      <c r="C18" s="1360"/>
      <c r="D18" s="1360"/>
      <c r="E18" s="2089"/>
      <c r="F18" s="1360"/>
      <c r="G18" s="1360"/>
      <c r="H18" s="1360"/>
      <c r="I18" s="1360"/>
      <c r="J18" s="1360"/>
      <c r="K18" s="1360"/>
      <c r="L18" s="1363"/>
      <c r="M18" s="1338"/>
      <c r="N18" s="1338"/>
      <c r="O18" s="514"/>
      <c r="P18" s="376"/>
      <c r="Q18" s="1361"/>
      <c r="R18" s="376"/>
      <c r="S18" s="1339"/>
      <c r="T18" s="1342" t="s">
        <v>162</v>
      </c>
      <c r="U18" s="1341"/>
      <c r="V18" s="1341"/>
      <c r="W18" s="1341"/>
      <c r="X18" s="1341"/>
      <c r="Y18" s="1341"/>
      <c r="Z18" s="1341"/>
      <c r="AA18" s="1341"/>
      <c r="AB18" s="1341"/>
      <c r="AC18" s="1341"/>
      <c r="AD18" s="1341"/>
      <c r="AE18" s="1341"/>
      <c r="AF18" s="1341"/>
      <c r="AG18" s="1341"/>
      <c r="AH18" s="1341"/>
      <c r="AI18" s="1341"/>
      <c r="AJ18" s="1341"/>
      <c r="AK18" s="1341"/>
      <c r="AL18" s="1341"/>
      <c r="AM18" s="1341"/>
      <c r="AN18" s="1341"/>
      <c r="AO18" s="1341"/>
      <c r="AP18" s="1341"/>
      <c r="AQ18" s="1341"/>
      <c r="AR18" s="1341"/>
      <c r="AS18" s="1341"/>
      <c r="AT18" s="1341"/>
      <c r="AU18" s="1341"/>
      <c r="AV18" s="1341"/>
      <c r="AW18" s="1341"/>
      <c r="AX18" s="1341"/>
      <c r="AY18" s="1341"/>
      <c r="AZ18" s="1341"/>
      <c r="BA18" s="1341"/>
      <c r="BB18" s="1341"/>
      <c r="BC18" s="1341"/>
      <c r="BE18" s="496"/>
      <c r="BF18" s="496" t="str">
        <f>IF(T18="","",T18)</f>
        <v>Добавить территорию для дифференциации</v>
      </c>
      <c r="BG18" s="496"/>
      <c r="BH18" s="496"/>
    </row>
    <row customHeight="1" ht="14.25" hidden="1">
      <c r="AC19" s="315"/>
      <c r="BA19" s="315"/>
    </row>
    <row customHeight="1" ht="14.25" hidden="1">
      <c r="AD20" s="1341" t="s">
        <v>56</v>
      </c>
      <c r="AE20" s="1518"/>
      <c r="AF20" s="544">
        <v>1</v>
      </c>
      <c r="AG20" s="1519"/>
      <c r="AH20" s="1341" t="s">
        <v>56</v>
      </c>
      <c r="AI20" s="1518"/>
      <c r="AJ20" s="544">
        <v>1</v>
      </c>
      <c r="AK20" s="1519"/>
      <c r="AL20" s="1341" t="s">
        <v>56</v>
      </c>
      <c r="AM20" s="1520"/>
      <c r="AN20" s="544">
        <v>1</v>
      </c>
      <c r="AO20" s="1521"/>
      <c r="AP20" s="1341" t="s">
        <v>56</v>
      </c>
      <c r="AQ20" s="1520"/>
      <c r="AR20" s="544">
        <v>1</v>
      </c>
      <c r="AS20" s="1521"/>
      <c r="AT20" s="312"/>
      <c r="AU20" s="381"/>
      <c r="AV20" s="312"/>
      <c r="AW20" s="381"/>
      <c r="AX20" s="1760"/>
      <c r="AY20" s="1502" t="s">
        <v>61</v>
      </c>
      <c r="AZ20" s="1760"/>
      <c r="BA20" s="1502" t="s">
        <v>61</v>
      </c>
    </row>
    <row customHeight="1" ht="14.25" hidden="1">
      <c r="BD21" s="492"/>
      <c r="BE21" s="492"/>
      <c r="BF21" s="492"/>
      <c r="BG21" s="492"/>
      <c r="BH21" s="492"/>
    </row>
    <row customHeight="1" ht="14.25" hidden="1">
      <c r="O22" s="1384" t="s">
        <v>428</v>
      </c>
      <c r="Z22" s="1362"/>
      <c r="AB22" s="1362"/>
      <c r="AC22" s="315"/>
      <c r="AX22" s="1362"/>
      <c r="AZ22" s="1362"/>
      <c r="BA22" s="315"/>
      <c r="BD22" s="492"/>
      <c r="BE22" s="492"/>
      <c r="BF22" s="492"/>
      <c r="BG22" s="492"/>
      <c r="BH22" s="492"/>
    </row>
    <row customHeight="1" ht="14.25" hidden="1">
      <c r="AC23" s="315"/>
      <c r="BA23" s="315"/>
      <c r="BD23" s="492"/>
      <c r="BE23" s="492"/>
      <c r="BF23" s="492"/>
      <c r="BG23" s="492"/>
      <c r="BH23" s="492"/>
    </row>
    <row s="1526" customFormat="1" customHeight="1" ht="14.25" hidden="1">
      <c r="M24" s="1525"/>
      <c r="N24" s="1525"/>
      <c r="O24" s="1526" t="s">
        <v>429</v>
      </c>
      <c r="P24" s="1525"/>
      <c r="Q24" s="1527"/>
      <c r="R24" s="1527"/>
      <c r="AA24" s="1524" t="s">
        <v>431</v>
      </c>
      <c r="AC24" s="1524" t="s">
        <v>432</v>
      </c>
      <c r="AD24" s="1524" t="s">
        <v>487</v>
      </c>
      <c r="AH24" s="1524" t="s">
        <v>487</v>
      </c>
      <c r="AK24" s="1524" t="s">
        <v>523</v>
      </c>
      <c r="AL24" s="1524" t="s">
        <v>487</v>
      </c>
      <c r="AP24" s="1524" t="s">
        <v>487</v>
      </c>
      <c r="AY24" s="1524" t="s">
        <v>431</v>
      </c>
      <c r="BA24" s="1524" t="s">
        <v>432</v>
      </c>
      <c r="BD24" s="1528"/>
      <c r="BE24" s="1528"/>
      <c r="BF24" s="1528"/>
      <c r="BG24" s="1528"/>
      <c r="BH24" s="1528"/>
    </row>
    <row customHeight="1" ht="14.25" hidden="1">
      <c r="O25" s="1381"/>
      <c r="BD25" s="492"/>
      <c r="BE25" s="492"/>
      <c r="BF25" s="492"/>
      <c r="BG25" s="492"/>
      <c r="BH25" s="492"/>
    </row>
    <row customHeight="1" ht="14.25" hidden="1">
      <c r="O26" s="1381"/>
      <c r="BD26" s="492"/>
      <c r="BE26" s="492"/>
      <c r="BF26" s="492"/>
      <c r="BG26" s="492"/>
      <c r="BH26" s="492"/>
    </row>
    <row customHeight="1" ht="14.25">
      <c r="Q27" s="272"/>
      <c r="R27" s="368"/>
      <c r="S27" s="1292"/>
      <c r="T27" s="353"/>
      <c r="U27" s="353"/>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row>
    <row customHeight="1" ht="14.25">
      <c r="Q28" s="272"/>
      <c r="R28" s="368"/>
      <c r="S28" s="2122"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22"/>
      <c r="U28" s="2122"/>
      <c r="V28" s="2122"/>
      <c r="W28" s="2122"/>
      <c r="X28" s="2122"/>
      <c r="Y28" s="2122"/>
      <c r="Z28" s="2122"/>
      <c r="AA28" s="2122"/>
      <c r="AB28" s="2122"/>
      <c r="AC28" s="2122"/>
      <c r="AD28" s="2122"/>
      <c r="AE28" s="2122"/>
      <c r="AF28" s="2122"/>
      <c r="AG28" s="2122"/>
      <c r="AH28" s="2122"/>
      <c r="AI28" s="2122"/>
      <c r="AJ28" s="2122"/>
      <c r="AK28" s="2122"/>
      <c r="AL28" s="2122"/>
      <c r="AM28" s="2122"/>
      <c r="AN28" s="2122"/>
      <c r="AO28" s="2122"/>
      <c r="AP28" s="2122"/>
      <c r="AQ28" s="2122"/>
      <c r="AR28" s="2122"/>
      <c r="AS28" s="2122"/>
      <c r="AT28" s="2122"/>
      <c r="AU28" s="2122"/>
      <c r="AV28" s="2122"/>
      <c r="AW28" s="2122"/>
      <c r="AX28" s="2122"/>
      <c r="AY28" s="2122"/>
      <c r="AZ28" s="2122"/>
      <c r="BA28" s="1248"/>
    </row>
    <row customHeight="1" ht="14.25">
      <c r="Q29" s="272"/>
      <c r="R29" s="368"/>
      <c r="S29" s="2123" t="str">
        <f>IF(org=0,"Не определено",org)</f>
        <v>ПАО "ТГК-1" филиал "Невский"</v>
      </c>
      <c r="T29" s="2123"/>
      <c r="U29" s="2123"/>
      <c r="V29" s="2123"/>
      <c r="W29" s="2123"/>
      <c r="X29" s="2123"/>
      <c r="Y29" s="2123"/>
      <c r="Z29" s="2123"/>
      <c r="AA29" s="2123"/>
      <c r="AB29" s="2123"/>
      <c r="AC29" s="2123"/>
      <c r="AD29" s="2123"/>
      <c r="AE29" s="2123"/>
      <c r="AF29" s="2123"/>
      <c r="AG29" s="2123"/>
      <c r="AH29" s="2123"/>
      <c r="AI29" s="2123"/>
      <c r="AJ29" s="2123"/>
      <c r="AK29" s="2123"/>
      <c r="AL29" s="2123"/>
      <c r="AM29" s="2123"/>
      <c r="AN29" s="2123"/>
      <c r="AO29" s="2123"/>
      <c r="AP29" s="2123"/>
      <c r="AQ29" s="2123"/>
      <c r="AR29" s="2123"/>
      <c r="AS29" s="2123"/>
      <c r="AT29" s="2123"/>
      <c r="AU29" s="2123"/>
      <c r="AV29" s="2123"/>
      <c r="AW29" s="2123"/>
      <c r="AX29" s="2123"/>
      <c r="AY29" s="2123"/>
      <c r="AZ29" s="2123"/>
      <c r="BA29" s="1248"/>
    </row>
    <row customHeight="1" ht="14.25">
      <c r="Q30" s="272"/>
      <c r="R30" s="368"/>
      <c r="S30" s="1292"/>
      <c r="T30" s="353"/>
      <c r="U30" s="353"/>
      <c r="V30" s="308"/>
      <c r="W30" s="308"/>
      <c r="X30" s="308"/>
      <c r="Y30" s="308"/>
      <c r="Z30" s="308"/>
      <c r="AA30" s="308"/>
      <c r="AB30" s="308"/>
      <c r="AC30" s="308"/>
      <c r="AD30" s="308"/>
      <c r="AE30" s="308"/>
      <c r="AF30" s="308"/>
      <c r="AG30" s="308"/>
      <c r="AH30" s="308"/>
      <c r="AI30" s="308"/>
      <c r="AJ30" s="308"/>
      <c r="AK30" s="308"/>
      <c r="AL30" s="308"/>
      <c r="AM30" s="308"/>
      <c r="AN30" s="308"/>
      <c r="AO30" s="308"/>
      <c r="AP30" s="308"/>
      <c r="AQ30" s="308"/>
      <c r="AR30" s="308"/>
      <c r="AS30" s="308"/>
      <c r="AT30" s="308"/>
      <c r="AU30" s="308"/>
      <c r="AV30" s="308"/>
      <c r="AW30" s="308"/>
      <c r="AX30" s="308"/>
      <c r="AY30" s="308"/>
      <c r="AZ30" s="308"/>
      <c r="BA30" s="308"/>
      <c r="BB30" s="505"/>
    </row>
    <row s="1877" customFormat="1" customHeight="1" ht="25.5">
      <c r="A31" s="1385"/>
      <c r="B31" s="1385"/>
      <c r="C31" s="1385"/>
      <c r="D31" s="1385"/>
      <c r="E31" s="1385"/>
      <c r="F31" s="1385"/>
      <c r="G31" s="1385"/>
      <c r="H31" s="1385"/>
      <c r="I31" s="1385"/>
      <c r="J31" s="1385"/>
      <c r="K31" s="1385"/>
      <c r="L31" s="1386"/>
      <c r="M31" s="1385"/>
      <c r="N31" s="1385"/>
      <c r="O31" s="1385"/>
      <c r="P31" s="1385"/>
      <c r="Q31" s="1385"/>
      <c r="S31" s="2080" t="s">
        <v>38</v>
      </c>
      <c r="T31" s="2080"/>
      <c r="U31" s="1389"/>
      <c r="V31" s="2082" t="str">
        <f>IF(TITLE_NAME_OR_PR_CHANGE="",IF(TITLE_NAME_OR_PR="","",TITLE_NAME_OR_PR),TITLE_NAME_OR_PR_CHANGE)</f>
        <v>Комитет по тарифам Санкт-Петербурга</v>
      </c>
      <c r="W31" s="2082"/>
      <c r="X31" s="2082"/>
      <c r="Y31" s="2082"/>
      <c r="Z31" s="2082"/>
      <c r="AA31" s="2082"/>
      <c r="AB31" s="2082"/>
      <c r="AC31" s="314"/>
      <c r="AD31" s="2082" t="str">
        <f>IF(TITLE_NAME_OR_PR_CHANGE="",IF(TITLE_NAME_OR_PR="","",TITLE_NAME_OR_PR),TITLE_NAME_OR_PR_CHANGE)</f>
        <v>Комитет по тарифам Санкт-Петербурга</v>
      </c>
      <c r="AE31" s="2082"/>
      <c r="AF31" s="2082"/>
      <c r="AG31" s="2082"/>
      <c r="AH31" s="2082"/>
      <c r="AI31" s="2082"/>
      <c r="AJ31" s="2082"/>
      <c r="AK31" s="2082"/>
      <c r="AL31" s="2082"/>
      <c r="AM31" s="2082"/>
      <c r="AN31" s="2082"/>
      <c r="AO31" s="2082"/>
      <c r="AP31" s="2082"/>
      <c r="AQ31" s="2082"/>
      <c r="AR31" s="2082"/>
      <c r="AS31" s="2082"/>
      <c r="AT31" s="2082"/>
      <c r="AU31" s="2082"/>
      <c r="AV31" s="2082"/>
      <c r="AW31" s="2082"/>
      <c r="AX31" s="2082"/>
      <c r="AY31" s="2082"/>
      <c r="AZ31" s="2082"/>
      <c r="BA31" s="314"/>
      <c r="BB31" s="314"/>
      <c r="BC31" s="261"/>
      <c r="BD31" s="360"/>
      <c r="BE31" s="360"/>
      <c r="BF31" s="360"/>
      <c r="BG31" s="360"/>
      <c r="BH31" s="360"/>
    </row>
    <row s="1877" customFormat="1" customHeight="1" ht="18.75">
      <c r="A32" s="1385"/>
      <c r="B32" s="1385"/>
      <c r="C32" s="1385"/>
      <c r="D32" s="1385"/>
      <c r="E32" s="1385"/>
      <c r="F32" s="1385"/>
      <c r="G32" s="1385"/>
      <c r="H32" s="1385"/>
      <c r="I32" s="1385"/>
      <c r="J32" s="1385"/>
      <c r="K32" s="1385"/>
      <c r="L32" s="1386"/>
      <c r="M32" s="1385"/>
      <c r="N32" s="1385"/>
      <c r="O32" s="1385"/>
      <c r="P32" s="1385"/>
      <c r="Q32" s="1385"/>
      <c r="S32" s="2080" t="s">
        <v>434</v>
      </c>
      <c r="T32" s="2080"/>
      <c r="U32" s="1389"/>
      <c r="V32" s="2081" t="str">
        <f>IF(TITLE_DATE_PR_CHANGE="",IF(TITLE_DATE_PR="","",TITLE_DATE_PR),TITLE_DATE_PR_CHANGE)</f>
        <v>45280.49324074074</v>
      </c>
      <c r="W32" s="2081"/>
      <c r="X32" s="2081"/>
      <c r="Y32" s="2081"/>
      <c r="Z32" s="2081"/>
      <c r="AA32" s="2081"/>
      <c r="AB32" s="2081"/>
      <c r="AC32" s="314"/>
      <c r="AD32" s="2081" t="str">
        <f>IF(TITLE_DATE_PR_CHANGE="",IF(TITLE_DATE_PR="","",TITLE_DATE_PR),TITLE_DATE_PR_CHANGE)</f>
        <v>45280.49324074074</v>
      </c>
      <c r="AE32" s="2081"/>
      <c r="AF32" s="2081"/>
      <c r="AG32" s="2081"/>
      <c r="AH32" s="2081"/>
      <c r="AI32" s="2081"/>
      <c r="AJ32" s="2081"/>
      <c r="AK32" s="2081"/>
      <c r="AL32" s="2081"/>
      <c r="AM32" s="2081"/>
      <c r="AN32" s="2081"/>
      <c r="AO32" s="2081"/>
      <c r="AP32" s="2081"/>
      <c r="AQ32" s="2081"/>
      <c r="AR32" s="2081"/>
      <c r="AS32" s="2081"/>
      <c r="AT32" s="2081"/>
      <c r="AU32" s="2081"/>
      <c r="AV32" s="2081"/>
      <c r="AW32" s="2081"/>
      <c r="AX32" s="2081"/>
      <c r="AY32" s="2081"/>
      <c r="AZ32" s="2081"/>
      <c r="BA32" s="314"/>
      <c r="BB32" s="314"/>
      <c r="BC32" s="261"/>
      <c r="BD32" s="360"/>
      <c r="BE32" s="360"/>
      <c r="BF32" s="360"/>
      <c r="BG32" s="360"/>
      <c r="BH32" s="360"/>
    </row>
    <row s="1877" customFormat="1" customHeight="1" ht="18.75">
      <c r="A33" s="1385"/>
      <c r="B33" s="1385"/>
      <c r="C33" s="1385"/>
      <c r="D33" s="1385"/>
      <c r="E33" s="1385"/>
      <c r="F33" s="1385"/>
      <c r="G33" s="1385"/>
      <c r="H33" s="1385"/>
      <c r="I33" s="1385"/>
      <c r="J33" s="1385"/>
      <c r="K33" s="1385"/>
      <c r="L33" s="1386"/>
      <c r="M33" s="1385"/>
      <c r="N33" s="1385"/>
      <c r="O33" s="1385"/>
      <c r="P33" s="1385"/>
      <c r="Q33" s="1385"/>
      <c r="S33" s="2080" t="s">
        <v>435</v>
      </c>
      <c r="T33" s="2080"/>
      <c r="U33" s="1389"/>
      <c r="V33" s="2082" t="str">
        <f>IF(TITLE_NUMBER_PR_CHANGE="",IF(TITLE_NUMBER_PR="","",TITLE_NUMBER_PR),TITLE_NUMBER_PR_CHANGE)</f>
        <v>262-р</v>
      </c>
      <c r="W33" s="2082"/>
      <c r="X33" s="2082"/>
      <c r="Y33" s="2082"/>
      <c r="Z33" s="2082"/>
      <c r="AA33" s="2082"/>
      <c r="AB33" s="2082"/>
      <c r="AC33" s="314"/>
      <c r="AD33" s="2082" t="str">
        <f>IF(TITLE_NUMBER_PR_CHANGE="",IF(TITLE_NUMBER_PR="","",TITLE_NUMBER_PR),TITLE_NUMBER_PR_CHANGE)</f>
        <v>262-р</v>
      </c>
      <c r="AE33" s="2082"/>
      <c r="AF33" s="2082"/>
      <c r="AG33" s="2082"/>
      <c r="AH33" s="2082"/>
      <c r="AI33" s="2082"/>
      <c r="AJ33" s="2082"/>
      <c r="AK33" s="2082"/>
      <c r="AL33" s="2082"/>
      <c r="AM33" s="2082"/>
      <c r="AN33" s="2082"/>
      <c r="AO33" s="2082"/>
      <c r="AP33" s="2082"/>
      <c r="AQ33" s="2082"/>
      <c r="AR33" s="2082"/>
      <c r="AS33" s="2082"/>
      <c r="AT33" s="2082"/>
      <c r="AU33" s="2082"/>
      <c r="AV33" s="2082"/>
      <c r="AW33" s="2082"/>
      <c r="AX33" s="2082"/>
      <c r="AY33" s="2082"/>
      <c r="AZ33" s="2082"/>
      <c r="BA33" s="314"/>
      <c r="BB33" s="314"/>
      <c r="BC33" s="261"/>
      <c r="BD33" s="360"/>
      <c r="BE33" s="360"/>
      <c r="BF33" s="360"/>
      <c r="BG33" s="360"/>
      <c r="BH33" s="360"/>
    </row>
    <row s="1877" customFormat="1" customHeight="1" ht="18.75">
      <c r="A34" s="1385"/>
      <c r="B34" s="1385"/>
      <c r="C34" s="1385"/>
      <c r="D34" s="1385"/>
      <c r="E34" s="1385"/>
      <c r="F34" s="1385"/>
      <c r="G34" s="1385"/>
      <c r="H34" s="1385"/>
      <c r="I34" s="1385"/>
      <c r="J34" s="1385"/>
      <c r="K34" s="1385"/>
      <c r="L34" s="1386"/>
      <c r="M34" s="1385"/>
      <c r="N34" s="1385"/>
      <c r="O34" s="1385"/>
      <c r="P34" s="1385"/>
      <c r="Q34" s="1385"/>
      <c r="S34" s="2080" t="s">
        <v>40</v>
      </c>
      <c r="T34" s="2080"/>
      <c r="U34" s="1389"/>
      <c r="V34" s="2082" t="str">
        <f>IF(TITLE_IST_PUB_CHANGE="",IF(TITLE_IST_PUB="","",TITLE_IST_PUB),TITLE_IST_PUB_CHANGE)</f>
        <v>https://www.gov.spb.ru/static/writable/documents/2023/12/22/%D0%BE%D1%82_20.12.2023__262-%D1%80.pdf</v>
      </c>
      <c r="W34" s="2082"/>
      <c r="X34" s="2082"/>
      <c r="Y34" s="2082"/>
      <c r="Z34" s="2082"/>
      <c r="AA34" s="2082"/>
      <c r="AB34" s="2082"/>
      <c r="AC34" s="314"/>
      <c r="AD34" s="2082" t="str">
        <f>IF(TITLE_IST_PUB_CHANGE="",IF(TITLE_IST_PUB="","",TITLE_IST_PUB),TITLE_IST_PUB_CHANGE)</f>
        <v>https://www.gov.spb.ru/static/writable/documents/2023/12/22/%D0%BE%D1%82_20.12.2023__262-%D1%80.pdf</v>
      </c>
      <c r="AE34" s="2082"/>
      <c r="AF34" s="2082"/>
      <c r="AG34" s="2082"/>
      <c r="AH34" s="2082"/>
      <c r="AI34" s="2082"/>
      <c r="AJ34" s="2082"/>
      <c r="AK34" s="2082"/>
      <c r="AL34" s="2082"/>
      <c r="AM34" s="2082"/>
      <c r="AN34" s="2082"/>
      <c r="AO34" s="2082"/>
      <c r="AP34" s="2082"/>
      <c r="AQ34" s="2082"/>
      <c r="AR34" s="2082"/>
      <c r="AS34" s="2082"/>
      <c r="AT34" s="2082"/>
      <c r="AU34" s="2082"/>
      <c r="AV34" s="2082"/>
      <c r="AW34" s="2082"/>
      <c r="AX34" s="2082"/>
      <c r="AY34" s="2082"/>
      <c r="AZ34" s="2082"/>
      <c r="BA34" s="314"/>
      <c r="BB34" s="314"/>
      <c r="BC34" s="261"/>
      <c r="BD34" s="360"/>
      <c r="BE34" s="360"/>
      <c r="BF34" s="360"/>
      <c r="BG34" s="360"/>
      <c r="BH34" s="360"/>
    </row>
    <row customHeight="1" ht="14.25" hidden="1">
      <c r="Q35" s="272"/>
      <c r="R35" s="368"/>
      <c r="S35" s="1292"/>
      <c r="T35" s="353"/>
      <c r="U35" s="353"/>
      <c r="V35" s="308"/>
      <c r="W35" s="308"/>
      <c r="X35" s="308"/>
      <c r="Y35" s="308"/>
      <c r="Z35" s="308"/>
      <c r="AA35" s="308"/>
      <c r="AB35" s="308"/>
      <c r="AC35" s="308"/>
      <c r="AD35" s="308"/>
      <c r="AE35" s="308"/>
      <c r="AF35" s="308"/>
      <c r="AG35" s="308"/>
      <c r="AH35" s="308"/>
      <c r="AI35" s="308"/>
      <c r="AJ35" s="308"/>
      <c r="AK35" s="308"/>
      <c r="AL35" s="308"/>
      <c r="AM35" s="308"/>
      <c r="AN35" s="308"/>
      <c r="AO35" s="308"/>
      <c r="AP35" s="308"/>
      <c r="AQ35" s="308"/>
      <c r="AR35" s="308"/>
      <c r="AS35" s="308"/>
      <c r="AT35" s="308"/>
      <c r="AU35" s="308"/>
      <c r="AV35" s="308"/>
      <c r="AW35" s="308"/>
      <c r="AX35" s="308"/>
      <c r="AY35" s="308"/>
      <c r="AZ35" s="308"/>
      <c r="BA35" s="308"/>
      <c r="BB35" s="505"/>
    </row>
    <row s="1877" customFormat="1" customHeight="1" ht="18.75" hidden="1">
      <c r="A36" s="1385"/>
      <c r="B36" s="1385"/>
      <c r="C36" s="1385"/>
      <c r="D36" s="1385"/>
      <c r="E36" s="1385"/>
      <c r="F36" s="1385"/>
      <c r="G36" s="1385"/>
      <c r="H36" s="1385"/>
      <c r="I36" s="1385"/>
      <c r="J36" s="1385"/>
      <c r="K36" s="1385"/>
      <c r="L36" s="1386"/>
      <c r="M36" s="1385"/>
      <c r="N36" s="1385"/>
      <c r="O36" s="1385"/>
      <c r="P36" s="1385"/>
      <c r="Q36" s="1385"/>
      <c r="S36" s="2080" t="s">
        <v>434</v>
      </c>
      <c r="T36" s="2080"/>
      <c r="U36" s="1389"/>
      <c r="V36" s="2081" t="str">
        <f>IF(TITLE_DATE_PR_CHANGE="",IF(TITLE_DATE_PR="","",TITLE_DATE_PR),TITLE_DATE_PR_CHANGE)</f>
        <v>45280.49324074074</v>
      </c>
      <c r="W36" s="2081"/>
      <c r="X36" s="2081"/>
      <c r="Y36" s="2081"/>
      <c r="Z36" s="2081"/>
      <c r="AA36" s="2081"/>
      <c r="AB36" s="2081"/>
      <c r="AC36" s="314"/>
      <c r="AD36" s="2081" t="str">
        <f>IF(TITLE_DATE_PR_CHANGE="",IF(TITLE_DATE_PR="","",TITLE_DATE_PR),TITLE_DATE_PR_CHANGE)</f>
        <v>45280.49324074074</v>
      </c>
      <c r="AE36" s="2081"/>
      <c r="AF36" s="2081"/>
      <c r="AG36" s="2081"/>
      <c r="AH36" s="2081"/>
      <c r="AI36" s="2081"/>
      <c r="AJ36" s="2081"/>
      <c r="AK36" s="2081"/>
      <c r="AL36" s="2081"/>
      <c r="AM36" s="2081"/>
      <c r="AN36" s="2081"/>
      <c r="AO36" s="2081"/>
      <c r="AP36" s="2081"/>
      <c r="AQ36" s="2081"/>
      <c r="AR36" s="2081"/>
      <c r="AS36" s="2081"/>
      <c r="AT36" s="2081"/>
      <c r="AU36" s="2081"/>
      <c r="AV36" s="2081"/>
      <c r="AW36" s="2081"/>
      <c r="AX36" s="2081"/>
      <c r="AY36" s="2081"/>
      <c r="AZ36" s="2081"/>
      <c r="BA36" s="314"/>
      <c r="BB36" s="314"/>
      <c r="BC36" s="261"/>
      <c r="BD36" s="360"/>
      <c r="BE36" s="360"/>
      <c r="BF36" s="360"/>
      <c r="BG36" s="360"/>
      <c r="BH36" s="360"/>
    </row>
    <row s="1877" customFormat="1" customHeight="1" ht="18.75" hidden="1">
      <c r="A37" s="1385"/>
      <c r="B37" s="1385"/>
      <c r="C37" s="1385"/>
      <c r="D37" s="1385"/>
      <c r="E37" s="1385"/>
      <c r="F37" s="1385"/>
      <c r="G37" s="1385"/>
      <c r="H37" s="1385"/>
      <c r="I37" s="1385"/>
      <c r="J37" s="1385"/>
      <c r="K37" s="1385"/>
      <c r="L37" s="1386"/>
      <c r="M37" s="1385"/>
      <c r="N37" s="1385"/>
      <c r="O37" s="1385"/>
      <c r="P37" s="1385"/>
      <c r="Q37" s="1385"/>
      <c r="S37" s="2080" t="s">
        <v>435</v>
      </c>
      <c r="T37" s="2080"/>
      <c r="U37" s="1389"/>
      <c r="V37" s="2082" t="str">
        <f>IF(TITLE_NUMBER_PR_CHANGE="",IF(TITLE_NUMBER_PR="","",TITLE_NUMBER_PR),TITLE_NUMBER_PR_CHANGE)</f>
        <v>262-р</v>
      </c>
      <c r="W37" s="2082"/>
      <c r="X37" s="2082"/>
      <c r="Y37" s="2082"/>
      <c r="Z37" s="2082"/>
      <c r="AA37" s="2082"/>
      <c r="AB37" s="2082"/>
      <c r="AC37" s="314"/>
      <c r="AD37" s="2082" t="str">
        <f>IF(TITLE_NUMBER_PR_CHANGE="",IF(TITLE_NUMBER_PR="","",TITLE_NUMBER_PR),TITLE_NUMBER_PR_CHANGE)</f>
        <v>262-р</v>
      </c>
      <c r="AE37" s="2082"/>
      <c r="AF37" s="2082"/>
      <c r="AG37" s="2082"/>
      <c r="AH37" s="2082"/>
      <c r="AI37" s="2082"/>
      <c r="AJ37" s="2082"/>
      <c r="AK37" s="2082"/>
      <c r="AL37" s="2082"/>
      <c r="AM37" s="2082"/>
      <c r="AN37" s="2082"/>
      <c r="AO37" s="2082"/>
      <c r="AP37" s="2082"/>
      <c r="AQ37" s="2082"/>
      <c r="AR37" s="2082"/>
      <c r="AS37" s="2082"/>
      <c r="AT37" s="2082"/>
      <c r="AU37" s="2082"/>
      <c r="AV37" s="2082"/>
      <c r="AW37" s="2082"/>
      <c r="AX37" s="2082"/>
      <c r="AY37" s="2082"/>
      <c r="AZ37" s="2082"/>
      <c r="BA37" s="314"/>
      <c r="BB37" s="314"/>
      <c r="BC37" s="261"/>
      <c r="BD37" s="360"/>
      <c r="BE37" s="360"/>
      <c r="BF37" s="360"/>
      <c r="BG37" s="360"/>
      <c r="BH37" s="360"/>
    </row>
    <row s="1877" customFormat="1" customHeight="1" ht="0">
      <c r="A38" s="1385"/>
      <c r="B38" s="1385"/>
      <c r="C38" s="1385"/>
      <c r="D38" s="1385"/>
      <c r="E38" s="1385"/>
      <c r="F38" s="1385"/>
      <c r="G38" s="1385"/>
      <c r="H38" s="1385"/>
      <c r="I38" s="1385"/>
      <c r="J38" s="1385"/>
      <c r="K38" s="1385"/>
      <c r="L38" s="1386"/>
      <c r="M38" s="1385"/>
      <c r="N38" s="1385"/>
      <c r="O38" s="1385"/>
      <c r="P38" s="1385"/>
      <c r="Q38" s="1385"/>
      <c r="S38" s="310"/>
      <c r="T38" s="310"/>
      <c r="U38" s="1505"/>
      <c r="V38" s="314"/>
      <c r="W38" s="314"/>
      <c r="X38" s="314"/>
      <c r="Y38" s="314"/>
      <c r="Z38" s="314"/>
      <c r="AA38" s="314"/>
      <c r="AB38" s="314"/>
      <c r="AC38" s="259" t="s">
        <v>438</v>
      </c>
      <c r="AD38" s="314"/>
      <c r="AE38" s="314"/>
      <c r="AF38" s="314"/>
      <c r="AG38" s="314"/>
      <c r="AH38" s="314"/>
      <c r="AI38" s="314"/>
      <c r="AJ38" s="314"/>
      <c r="AK38" s="314"/>
      <c r="AL38" s="314"/>
      <c r="AM38" s="314"/>
      <c r="AN38" s="314"/>
      <c r="AO38" s="314"/>
      <c r="AP38" s="314"/>
      <c r="AQ38" s="314"/>
      <c r="AR38" s="314"/>
      <c r="AS38" s="314"/>
      <c r="AT38" s="314"/>
      <c r="AU38" s="314"/>
      <c r="AV38" s="314"/>
      <c r="AW38" s="314"/>
      <c r="AX38" s="314"/>
      <c r="AY38" s="314"/>
      <c r="AZ38" s="314"/>
      <c r="BA38" s="259" t="s">
        <v>438</v>
      </c>
      <c r="BD38" s="360"/>
      <c r="BE38" s="360"/>
      <c r="BF38" s="360"/>
      <c r="BG38" s="360"/>
      <c r="BH38" s="360"/>
    </row>
    <row customHeight="1" ht="14.25">
      <c r="Q39" s="272"/>
      <c r="R39" s="368"/>
      <c r="S39" s="1292"/>
      <c r="T39" s="353"/>
      <c r="U39" s="1249"/>
      <c r="V39" s="2106"/>
      <c r="W39" s="2106"/>
      <c r="X39" s="2106"/>
      <c r="Y39" s="2106"/>
      <c r="Z39" s="2106"/>
      <c r="AA39" s="2106"/>
      <c r="AB39" s="2106"/>
      <c r="AC39" s="2106"/>
      <c r="AD39" s="2106"/>
      <c r="AE39" s="2106"/>
      <c r="AF39" s="2106"/>
      <c r="AG39" s="2106"/>
      <c r="AH39" s="2106"/>
      <c r="AI39" s="2106"/>
      <c r="AJ39" s="2106"/>
      <c r="AK39" s="2106"/>
      <c r="AL39" s="2106"/>
      <c r="AM39" s="2106"/>
      <c r="AN39" s="2106"/>
      <c r="AO39" s="2106"/>
      <c r="AP39" s="2106"/>
      <c r="AQ39" s="2106"/>
      <c r="AR39" s="2106"/>
      <c r="AS39" s="2106"/>
      <c r="AT39" s="2106"/>
      <c r="AU39" s="2106"/>
      <c r="AV39" s="2106"/>
      <c r="AW39" s="2106"/>
      <c r="AX39" s="2106"/>
      <c r="AY39" s="2106"/>
      <c r="AZ39" s="2106"/>
      <c r="BA39" s="2106"/>
    </row>
    <row customHeight="1" ht="14.25">
      <c r="Q40" s="272"/>
      <c r="R40" s="368"/>
      <c r="S40" s="1953" t="s">
        <v>312</v>
      </c>
      <c r="T40" s="1953"/>
      <c r="U40" s="1953"/>
      <c r="V40" s="1953"/>
      <c r="W40" s="1953"/>
      <c r="X40" s="1953"/>
      <c r="Y40" s="1953"/>
      <c r="Z40" s="1953"/>
      <c r="AA40" s="1953"/>
      <c r="AB40" s="1953"/>
      <c r="AC40" s="1953"/>
      <c r="AD40" s="1953"/>
      <c r="AE40" s="1953"/>
      <c r="AF40" s="1953"/>
      <c r="AG40" s="1953"/>
      <c r="AH40" s="1953"/>
      <c r="AI40" s="1953"/>
      <c r="AJ40" s="1953"/>
      <c r="AK40" s="1953"/>
      <c r="AL40" s="1953"/>
      <c r="AM40" s="1953"/>
      <c r="AN40" s="1953"/>
      <c r="AO40" s="1953"/>
      <c r="AP40" s="1953"/>
      <c r="AQ40" s="1953"/>
      <c r="AR40" s="1953"/>
      <c r="AS40" s="1953"/>
      <c r="AT40" s="1953"/>
      <c r="AU40" s="1953"/>
      <c r="AV40" s="1953"/>
      <c r="AW40" s="1953"/>
      <c r="AX40" s="1953"/>
      <c r="AY40" s="1953"/>
      <c r="AZ40" s="1953"/>
      <c r="BA40" s="1953"/>
      <c r="BB40" s="1953"/>
      <c r="BC40" s="1953" t="s">
        <v>313</v>
      </c>
    </row>
    <row customHeight="1" ht="14.25">
      <c r="Q41" s="272"/>
      <c r="R41" s="368"/>
      <c r="S41" s="2107" t="s">
        <v>87</v>
      </c>
      <c r="T41" s="2044" t="s">
        <v>524</v>
      </c>
      <c r="U41" s="281"/>
      <c r="V41" s="2108" t="s">
        <v>440</v>
      </c>
      <c r="W41" s="2109"/>
      <c r="X41" s="2109"/>
      <c r="Y41" s="2109"/>
      <c r="Z41" s="2109"/>
      <c r="AA41" s="2109"/>
      <c r="AB41" s="2110"/>
      <c r="AC41" s="2111" t="s">
        <v>441</v>
      </c>
      <c r="AD41" s="2155" t="s">
        <v>525</v>
      </c>
      <c r="AE41" s="2128"/>
      <c r="AF41" s="2128"/>
      <c r="AG41" s="2156"/>
      <c r="AH41" s="2155" t="s">
        <v>526</v>
      </c>
      <c r="AI41" s="2128"/>
      <c r="AJ41" s="2128"/>
      <c r="AK41" s="2156"/>
      <c r="AL41" s="2155" t="s">
        <v>527</v>
      </c>
      <c r="AM41" s="2128"/>
      <c r="AN41" s="2128"/>
      <c r="AO41" s="2156"/>
      <c r="AP41" s="2155" t="s">
        <v>528</v>
      </c>
      <c r="AQ41" s="2128"/>
      <c r="AR41" s="2128"/>
      <c r="AS41" s="2156"/>
      <c r="AT41" s="2108" t="s">
        <v>440</v>
      </c>
      <c r="AU41" s="2109"/>
      <c r="AV41" s="2109"/>
      <c r="AW41" s="2109"/>
      <c r="AX41" s="2109"/>
      <c r="AY41" s="2109"/>
      <c r="AZ41" s="2110"/>
      <c r="BA41" s="2111" t="s">
        <v>441</v>
      </c>
      <c r="BB41" s="2114" t="s">
        <v>443</v>
      </c>
      <c r="BC41" s="1953"/>
    </row>
    <row customHeight="1" ht="33.75">
      <c r="Q42" s="272"/>
      <c r="R42" s="368"/>
      <c r="S42" s="2107"/>
      <c r="T42" s="2044"/>
      <c r="U42" s="1026"/>
      <c r="V42" s="2011" t="s">
        <v>529</v>
      </c>
      <c r="W42" s="2012"/>
      <c r="X42" s="2011" t="s">
        <v>530</v>
      </c>
      <c r="Y42" s="2012"/>
      <c r="Z42" s="2126" t="s">
        <v>531</v>
      </c>
      <c r="AA42" s="2144"/>
      <c r="AB42" s="2145"/>
      <c r="AC42" s="2112"/>
      <c r="AD42" s="2157"/>
      <c r="AE42" s="2158"/>
      <c r="AF42" s="2158"/>
      <c r="AG42" s="2170"/>
      <c r="AH42" s="2157"/>
      <c r="AI42" s="2158"/>
      <c r="AJ42" s="2158"/>
      <c r="AK42" s="2170"/>
      <c r="AL42" s="2157"/>
      <c r="AM42" s="2158"/>
      <c r="AN42" s="2158"/>
      <c r="AO42" s="2170"/>
      <c r="AP42" s="2157"/>
      <c r="AQ42" s="2158"/>
      <c r="AR42" s="2158"/>
      <c r="AS42" s="2170"/>
      <c r="AT42" s="2011" t="s">
        <v>529</v>
      </c>
      <c r="AU42" s="2012"/>
      <c r="AV42" s="2011" t="s">
        <v>530</v>
      </c>
      <c r="AW42" s="2012"/>
      <c r="AX42" s="2126" t="s">
        <v>531</v>
      </c>
      <c r="AY42" s="2144"/>
      <c r="AZ42" s="2145"/>
      <c r="BA42" s="2112"/>
      <c r="BB42" s="2115"/>
      <c r="BC42" s="1953"/>
    </row>
    <row customHeight="1" ht="14.25">
      <c r="Q43" s="272"/>
      <c r="R43" s="368"/>
      <c r="S43" s="2107"/>
      <c r="T43" s="2044"/>
      <c r="U43" s="1026"/>
      <c r="V43" s="2019"/>
      <c r="W43" s="2020"/>
      <c r="X43" s="2019"/>
      <c r="Y43" s="2020"/>
      <c r="Z43" s="2127"/>
      <c r="AA43" s="2146"/>
      <c r="AB43" s="2147"/>
      <c r="AC43" s="2112"/>
      <c r="AD43" s="2157"/>
      <c r="AE43" s="2158"/>
      <c r="AF43" s="2158"/>
      <c r="AG43" s="2170"/>
      <c r="AH43" s="2157"/>
      <c r="AI43" s="2158"/>
      <c r="AJ43" s="2158"/>
      <c r="AK43" s="2170"/>
      <c r="AL43" s="2157"/>
      <c r="AM43" s="2158"/>
      <c r="AN43" s="2158"/>
      <c r="AO43" s="2170"/>
      <c r="AP43" s="2157"/>
      <c r="AQ43" s="2158"/>
      <c r="AR43" s="2158"/>
      <c r="AS43" s="2170"/>
      <c r="AT43" s="2019"/>
      <c r="AU43" s="2020"/>
      <c r="AV43" s="2019"/>
      <c r="AW43" s="2020"/>
      <c r="AX43" s="2127"/>
      <c r="AY43" s="2146"/>
      <c r="AZ43" s="2147"/>
      <c r="BA43" s="2112"/>
      <c r="BB43" s="2115"/>
      <c r="BC43" s="1953"/>
    </row>
    <row customHeight="1" ht="14.25">
      <c r="A44" s="1387"/>
      <c r="B44" s="1387" t="s">
        <v>134</v>
      </c>
      <c r="C44" s="1387" t="s">
        <v>135</v>
      </c>
      <c r="D44" s="1387" t="s">
        <v>136</v>
      </c>
      <c r="E44" s="1381" t="s">
        <v>448</v>
      </c>
      <c r="F44" s="1381" t="s">
        <v>449</v>
      </c>
      <c r="G44" s="1381" t="s">
        <v>450</v>
      </c>
      <c r="H44" s="1381" t="s">
        <v>451</v>
      </c>
      <c r="I44" s="1381" t="s">
        <v>452</v>
      </c>
      <c r="J44" s="1381" t="s">
        <v>453</v>
      </c>
      <c r="K44" s="1381" t="s">
        <v>454</v>
      </c>
      <c r="L44" s="1381" t="s">
        <v>429</v>
      </c>
      <c r="Q44" s="272"/>
      <c r="R44" s="368"/>
      <c r="S44" s="2107"/>
      <c r="T44" s="2044"/>
      <c r="U44" s="282"/>
      <c r="V44" s="1496" t="s">
        <v>497</v>
      </c>
      <c r="W44" s="1496" t="s">
        <v>498</v>
      </c>
      <c r="X44" s="1496" t="s">
        <v>497</v>
      </c>
      <c r="Y44" s="1496" t="s">
        <v>498</v>
      </c>
      <c r="Z44" s="1506" t="s">
        <v>457</v>
      </c>
      <c r="AA44" s="2103" t="s">
        <v>458</v>
      </c>
      <c r="AB44" s="2104"/>
      <c r="AC44" s="2113"/>
      <c r="AD44" s="2159"/>
      <c r="AE44" s="2160"/>
      <c r="AF44" s="2160"/>
      <c r="AG44" s="2161"/>
      <c r="AH44" s="2159"/>
      <c r="AI44" s="2160"/>
      <c r="AJ44" s="2160"/>
      <c r="AK44" s="2161"/>
      <c r="AL44" s="2159"/>
      <c r="AM44" s="2160"/>
      <c r="AN44" s="2160"/>
      <c r="AO44" s="2161"/>
      <c r="AP44" s="2159"/>
      <c r="AQ44" s="2160"/>
      <c r="AR44" s="2160"/>
      <c r="AS44" s="2161"/>
      <c r="AT44" s="1496" t="s">
        <v>497</v>
      </c>
      <c r="AU44" s="1496" t="s">
        <v>498</v>
      </c>
      <c r="AV44" s="1496" t="s">
        <v>497</v>
      </c>
      <c r="AW44" s="1496" t="s">
        <v>498</v>
      </c>
      <c r="AX44" s="1506" t="s">
        <v>457</v>
      </c>
      <c r="AY44" s="2103" t="s">
        <v>458</v>
      </c>
      <c r="AZ44" s="2104"/>
      <c r="BA44" s="2113"/>
      <c r="BB44" s="2116"/>
      <c r="BC44" s="1953"/>
    </row>
    <row s="1666" customFormat="1" customHeight="1" ht="0">
      <c r="A45" s="1387"/>
      <c r="B45" s="1387"/>
      <c r="C45" s="1387"/>
      <c r="D45" s="1387"/>
      <c r="E45" s="1387"/>
      <c r="F45" s="1387"/>
      <c r="G45" s="1387"/>
      <c r="H45" s="1387"/>
      <c r="I45" s="1387"/>
      <c r="J45" s="1387"/>
      <c r="K45" s="1387"/>
      <c r="L45" s="1381"/>
      <c r="M45" s="1379"/>
      <c r="N45" s="1379"/>
      <c r="O45" s="1379"/>
      <c r="P45" s="506"/>
      <c r="Q45" s="1267"/>
      <c r="R45" s="1267">
        <v>1</v>
      </c>
      <c r="S45" s="1294" t="s">
        <v>108</v>
      </c>
      <c r="T45" s="1268" t="s">
        <v>109</v>
      </c>
      <c r="U45" s="1250" t="str">
        <f>OFFSET(U45,0,-1)</f>
        <v>2</v>
      </c>
      <c r="V45" s="1499">
        <f>OFFSET(V45,0,-1)+1</f>
        <v>3</v>
      </c>
      <c r="W45" s="1499">
        <f>OFFSET(W45,0,-1)+1</f>
        <v>4</v>
      </c>
      <c r="X45" s="1499">
        <f>OFFSET(X45,0,-1)+1</f>
        <v>5</v>
      </c>
      <c r="Y45" s="1499">
        <f>OFFSET(Y45,0,-1)+1</f>
        <v>6</v>
      </c>
      <c r="Z45" s="1499">
        <f>OFFSET(Z45,0,-1)+1</f>
        <v>7</v>
      </c>
      <c r="AA45" s="2105">
        <f>OFFSET(AA45,0,-1)+1</f>
        <v>8</v>
      </c>
      <c r="AB45" s="2105"/>
      <c r="AC45" s="1499">
        <f>OFFSET(AC45,0,-2)+1</f>
        <v>9</v>
      </c>
      <c r="AD45" s="1499">
        <f>OFFSET(AD45,0,-1)+1</f>
        <v>10</v>
      </c>
      <c r="AE45" s="1499"/>
      <c r="AF45" s="1499"/>
      <c r="AG45" s="1499"/>
      <c r="AH45" s="1499"/>
      <c r="AI45" s="1499"/>
      <c r="AJ45" s="1499"/>
      <c r="AK45" s="1499"/>
      <c r="AL45" s="1499"/>
      <c r="AM45" s="1499"/>
      <c r="AN45" s="1499"/>
      <c r="AO45" s="1499"/>
      <c r="AP45" s="1499"/>
      <c r="AQ45" s="1499"/>
      <c r="AR45" s="1499"/>
      <c r="AS45" s="1499"/>
      <c r="AT45" s="1499"/>
      <c r="AU45" s="1499"/>
      <c r="AV45" s="1499"/>
      <c r="AW45" s="1499">
        <f>OFFSET(AW45,0,-1)+1</f>
        <v>1</v>
      </c>
      <c r="AX45" s="1499">
        <f>OFFSET(AX45,0,-1)+1</f>
        <v>2</v>
      </c>
      <c r="AY45" s="2105">
        <f>OFFSET(AY45,0,-1)+1</f>
        <v>3</v>
      </c>
      <c r="AZ45" s="2105"/>
      <c r="BA45" s="1499">
        <f>OFFSET(BA45,0,-2)+1</f>
        <v>4</v>
      </c>
      <c r="BB45" s="1250">
        <f>OFFSET(BB45,0,-1)</f>
        <v>4</v>
      </c>
      <c r="BC45" s="1499">
        <f>OFFSET(BC45,0,-1)+1</f>
        <v>5</v>
      </c>
      <c r="BD45" s="507"/>
      <c r="BE45" s="507"/>
      <c r="BF45" s="507"/>
      <c r="BG45" s="507"/>
      <c r="BH45" s="507"/>
    </row>
    <row customHeight="1" ht="21">
      <c r="A46" s="1380" t="s">
        <v>273</v>
      </c>
      <c r="B46" s="1380"/>
      <c r="C46" s="1380"/>
      <c r="D46" s="1380"/>
      <c r="E46" s="2089">
        <v>1</v>
      </c>
      <c r="F46" s="1380"/>
      <c r="G46" s="1380"/>
      <c r="H46" s="1380"/>
      <c r="I46" s="1380"/>
      <c r="J46" s="1380"/>
      <c r="K46" s="1380"/>
      <c r="L46" s="1381"/>
      <c r="M46" s="1382"/>
      <c r="N46" s="1382"/>
      <c r="O46" s="1382"/>
      <c r="P46" s="1426"/>
      <c r="Q46" s="867"/>
      <c r="R46" s="343"/>
      <c r="S46" s="1510">
        <f>INDEX(PT_DIFFERENTIATION_NUM_NTAR,MATCH(A46,PT_DIFFERENTIATION_NTAR_ID,0))</f>
        <v>0</v>
      </c>
      <c r="T46" s="278" t="s">
        <v>122</v>
      </c>
      <c r="U46" s="280"/>
      <c r="V46" s="2084"/>
      <c r="W46" s="2084"/>
      <c r="X46" s="2084"/>
      <c r="Y46" s="2084"/>
      <c r="Z46" s="2084"/>
      <c r="AA46" s="2084"/>
      <c r="AB46" s="2084"/>
      <c r="AC46" s="2085"/>
      <c r="AD46" s="2083" t="str">
        <f>INDEX(PT_DIFFERENTIATION_NTAR,MATCH(A46,PT_DIFFERENTIATION_NTAR_ID,0))</f>
        <v/>
      </c>
      <c r="AE46" s="2084"/>
      <c r="AF46" s="2084"/>
      <c r="AG46" s="2084"/>
      <c r="AH46" s="2084"/>
      <c r="AI46" s="2084"/>
      <c r="AJ46" s="2084"/>
      <c r="AK46" s="2084"/>
      <c r="AL46" s="2084"/>
      <c r="AM46" s="2084"/>
      <c r="AN46" s="2084"/>
      <c r="AO46" s="2084"/>
      <c r="AP46" s="2084"/>
      <c r="AQ46" s="2084"/>
      <c r="AR46" s="2084"/>
      <c r="AS46" s="2084"/>
      <c r="AT46" s="2084"/>
      <c r="AU46" s="2084"/>
      <c r="AV46" s="2084"/>
      <c r="AW46" s="2084"/>
      <c r="AX46" s="2084"/>
      <c r="AY46" s="2084"/>
      <c r="AZ46" s="2084"/>
      <c r="BA46" s="2084"/>
      <c r="BB46" s="2085"/>
      <c r="BC46" s="1273"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496"/>
      <c r="BF46" s="496" t="str">
        <f>IF(T46="","",T46)</f>
        <v>Наименование тарифа</v>
      </c>
      <c r="BG46" s="496"/>
      <c r="BH46" s="496"/>
    </row>
    <row customHeight="1" ht="21">
      <c r="A47" s="1380" t="s">
        <v>273</v>
      </c>
      <c r="B47" s="1380" t="s">
        <v>274</v>
      </c>
      <c r="C47" s="1380"/>
      <c r="D47" s="1380"/>
      <c r="E47" s="2090"/>
      <c r="F47" s="2089">
        <v>1</v>
      </c>
      <c r="G47" s="1380"/>
      <c r="H47" s="1380"/>
      <c r="I47" s="1380"/>
      <c r="J47" s="1380"/>
      <c r="K47" s="1380"/>
      <c r="L47" s="1381"/>
      <c r="M47" s="1382"/>
      <c r="N47" s="1382"/>
      <c r="O47" s="1382"/>
      <c r="P47" s="1427"/>
      <c r="Q47" s="1428"/>
      <c r="R47" s="341"/>
      <c r="S47" s="1510" t="str">
        <f>INDEX(PT_DIFFERENTIATION_NUM_TER,MATCH(B47,PT_DIFFERENTIATION_TER_ID,0))</f>
        <v>.</v>
      </c>
      <c r="T47" s="290" t="s">
        <v>411</v>
      </c>
      <c r="U47" s="280"/>
      <c r="V47" s="2084"/>
      <c r="W47" s="2084"/>
      <c r="X47" s="2084"/>
      <c r="Y47" s="2084"/>
      <c r="Z47" s="2084"/>
      <c r="AA47" s="2084"/>
      <c r="AB47" s="2084"/>
      <c r="AC47" s="2085"/>
      <c r="AD47" s="2083" t="str">
        <f>INDEX(PT_DIFFERENTIATION_TER,MATCH(B47,PT_DIFFERENTIATION_TER_ID,0))</f>
        <v/>
      </c>
      <c r="AE47" s="2084"/>
      <c r="AF47" s="2084"/>
      <c r="AG47" s="2084"/>
      <c r="AH47" s="2084"/>
      <c r="AI47" s="2084"/>
      <c r="AJ47" s="2084"/>
      <c r="AK47" s="2084"/>
      <c r="AL47" s="2084"/>
      <c r="AM47" s="2084"/>
      <c r="AN47" s="2084"/>
      <c r="AO47" s="2084"/>
      <c r="AP47" s="2084"/>
      <c r="AQ47" s="2084"/>
      <c r="AR47" s="2084"/>
      <c r="AS47" s="2084"/>
      <c r="AT47" s="2084"/>
      <c r="AU47" s="2084"/>
      <c r="AV47" s="2084"/>
      <c r="AW47" s="2084"/>
      <c r="AX47" s="2084"/>
      <c r="AY47" s="2084"/>
      <c r="AZ47" s="2084"/>
      <c r="BA47" s="2084"/>
      <c r="BB47" s="2085"/>
      <c r="BC47" s="1273" t="s">
        <v>412</v>
      </c>
      <c r="BE47" s="496"/>
      <c r="BF47" s="496" t="str">
        <f>IF(T47="","",T47)</f>
        <v>Территория действия тарифа</v>
      </c>
      <c r="BG47" s="496"/>
      <c r="BH47" s="496"/>
    </row>
    <row customHeight="1" ht="33.75">
      <c r="A48" s="1380" t="s">
        <v>273</v>
      </c>
      <c r="B48" s="1380" t="s">
        <v>274</v>
      </c>
      <c r="C48" s="1380" t="s">
        <v>275</v>
      </c>
      <c r="D48" s="1380"/>
      <c r="E48" s="2090"/>
      <c r="F48" s="2090"/>
      <c r="G48" s="2089">
        <v>1</v>
      </c>
      <c r="H48" s="1380"/>
      <c r="I48" s="1380"/>
      <c r="J48" s="1380"/>
      <c r="K48" s="1380"/>
      <c r="L48" s="1381"/>
      <c r="M48" s="1382"/>
      <c r="N48" s="1382"/>
      <c r="O48" s="1382"/>
      <c r="P48" s="1429"/>
      <c r="Q48" s="1428"/>
      <c r="R48" s="341"/>
      <c r="S48" s="1510" t="str">
        <f>INDEX(PT_DIFFERENTIATION_NUM_CS,MATCH(C48,PT_DIFFERENTIATION_CS_ID,0))</f>
        <v>..</v>
      </c>
      <c r="T48" s="291" t="s">
        <v>547</v>
      </c>
      <c r="U48" s="280"/>
      <c r="V48" s="2084"/>
      <c r="W48" s="2084"/>
      <c r="X48" s="2084"/>
      <c r="Y48" s="2084"/>
      <c r="Z48" s="2084"/>
      <c r="AA48" s="2084"/>
      <c r="AB48" s="2084"/>
      <c r="AC48" s="2085"/>
      <c r="AD48" s="2083" t="str">
        <f>INDEX(PT_DIFFERENTIATION_CS,MATCH(C48,PT_DIFFERENTIATION_CS_ID,0))</f>
        <v/>
      </c>
      <c r="AE48" s="2084"/>
      <c r="AF48" s="2084"/>
      <c r="AG48" s="2084"/>
      <c r="AH48" s="2084"/>
      <c r="AI48" s="2084"/>
      <c r="AJ48" s="2084"/>
      <c r="AK48" s="2084"/>
      <c r="AL48" s="2084"/>
      <c r="AM48" s="2084"/>
      <c r="AN48" s="2084"/>
      <c r="AO48" s="2084"/>
      <c r="AP48" s="2084"/>
      <c r="AQ48" s="2084"/>
      <c r="AR48" s="2084"/>
      <c r="AS48" s="2084"/>
      <c r="AT48" s="2084"/>
      <c r="AU48" s="2084"/>
      <c r="AV48" s="2084"/>
      <c r="AW48" s="2084"/>
      <c r="AX48" s="2084"/>
      <c r="AY48" s="2084"/>
      <c r="AZ48" s="2084"/>
      <c r="BA48" s="2084"/>
      <c r="BB48" s="2085"/>
      <c r="BC48" s="1273" t="s">
        <v>548</v>
      </c>
      <c r="BE48" s="496"/>
      <c r="BF48" s="496" t="str">
        <f>IF(T48="","",T48)</f>
        <v>Наименование централизованной системы горячего водоснабжения</v>
      </c>
      <c r="BG48" s="496"/>
      <c r="BH48" s="496"/>
    </row>
    <row s="1667" customFormat="1" customHeight="1" ht="0">
      <c r="A49" s="1360" t="s">
        <v>273</v>
      </c>
      <c r="B49" s="1360" t="s">
        <v>274</v>
      </c>
      <c r="C49" s="1360" t="s">
        <v>275</v>
      </c>
      <c r="D49" s="1360" t="s">
        <v>555</v>
      </c>
      <c r="E49" s="2090"/>
      <c r="F49" s="2090"/>
      <c r="G49" s="2090"/>
      <c r="H49" s="2089">
        <v>1</v>
      </c>
      <c r="I49" s="1360"/>
      <c r="J49" s="1360"/>
      <c r="K49" s="1360"/>
      <c r="L49" s="1363"/>
      <c r="M49" s="1332"/>
      <c r="N49" s="1332"/>
      <c r="O49" s="1332"/>
      <c r="P49" s="1514"/>
      <c r="Q49" s="1515"/>
      <c r="R49" s="345"/>
      <c r="S49" s="1037"/>
      <c r="T49" s="1516"/>
      <c r="U49" s="1401"/>
      <c r="V49" s="2130"/>
      <c r="W49" s="2130"/>
      <c r="X49" s="2130"/>
      <c r="Y49" s="2130"/>
      <c r="Z49" s="2130"/>
      <c r="AA49" s="2130"/>
      <c r="AB49" s="2130"/>
      <c r="AC49" s="2131"/>
      <c r="AD49" s="2129"/>
      <c r="AE49" s="2130"/>
      <c r="AF49" s="2130"/>
      <c r="AG49" s="2130"/>
      <c r="AH49" s="2130"/>
      <c r="AI49" s="2130"/>
      <c r="AJ49" s="2130"/>
      <c r="AK49" s="2130"/>
      <c r="AL49" s="2130"/>
      <c r="AM49" s="2130"/>
      <c r="AN49" s="2130"/>
      <c r="AO49" s="2130"/>
      <c r="AP49" s="2130"/>
      <c r="AQ49" s="2130"/>
      <c r="AR49" s="2130"/>
      <c r="AS49" s="2130"/>
      <c r="AT49" s="2130"/>
      <c r="AU49" s="2130"/>
      <c r="AV49" s="2130"/>
      <c r="AW49" s="2130"/>
      <c r="AX49" s="2130"/>
      <c r="AY49" s="2130"/>
      <c r="AZ49" s="2130"/>
      <c r="BA49" s="2130"/>
      <c r="BB49" s="2131"/>
      <c r="BC49" s="1402" t="s">
        <v>416</v>
      </c>
      <c r="BE49" s="496"/>
      <c r="BF49" s="496" t="str">
        <f>IF(T49="","",T49)</f>
        <v/>
      </c>
      <c r="BG49" s="496"/>
      <c r="BH49" s="496"/>
    </row>
    <row s="1667" customFormat="1" customHeight="1" ht="0">
      <c r="A50" s="1360" t="s">
        <v>273</v>
      </c>
      <c r="B50" s="1360" t="s">
        <v>274</v>
      </c>
      <c r="C50" s="1360" t="s">
        <v>275</v>
      </c>
      <c r="D50" s="1360" t="s">
        <v>555</v>
      </c>
      <c r="E50" s="2090"/>
      <c r="F50" s="2090"/>
      <c r="G50" s="2090"/>
      <c r="H50" s="2090"/>
      <c r="I50" s="2091" t="str">
        <f>S49&amp;".1"</f>
        <v>.1</v>
      </c>
      <c r="J50" s="1360"/>
      <c r="K50" s="1360"/>
      <c r="L50" s="1363" t="s">
        <v>417</v>
      </c>
      <c r="M50" s="506"/>
      <c r="N50" s="506"/>
      <c r="O50" s="506"/>
      <c r="P50" s="2093">
        <v>1</v>
      </c>
      <c r="Q50" s="1498"/>
      <c r="R50" s="344"/>
      <c r="S50" s="1037"/>
      <c r="T50" s="1400"/>
      <c r="U50" s="1401"/>
      <c r="V50" s="2130"/>
      <c r="W50" s="2130"/>
      <c r="X50" s="2130"/>
      <c r="Y50" s="2130"/>
      <c r="Z50" s="2130"/>
      <c r="AA50" s="2130"/>
      <c r="AB50" s="2130"/>
      <c r="AC50" s="2131"/>
      <c r="AD50" s="2129"/>
      <c r="AE50" s="2130"/>
      <c r="AF50" s="2130"/>
      <c r="AG50" s="2130"/>
      <c r="AH50" s="2130"/>
      <c r="AI50" s="2130"/>
      <c r="AJ50" s="2130"/>
      <c r="AK50" s="2130"/>
      <c r="AL50" s="2130"/>
      <c r="AM50" s="2130"/>
      <c r="AN50" s="2130"/>
      <c r="AO50" s="2130"/>
      <c r="AP50" s="2130"/>
      <c r="AQ50" s="2130"/>
      <c r="AR50" s="2130"/>
      <c r="AS50" s="2130"/>
      <c r="AT50" s="2130"/>
      <c r="AU50" s="2130"/>
      <c r="AV50" s="2130"/>
      <c r="AW50" s="2130"/>
      <c r="AX50" s="2130"/>
      <c r="AY50" s="2130"/>
      <c r="AZ50" s="2130"/>
      <c r="BA50" s="2130"/>
      <c r="BB50" s="2131"/>
      <c r="BC50" s="1402"/>
      <c r="BE50" s="496"/>
      <c r="BF50" s="496" t="str">
        <f>IF(T50="","",T50)</f>
        <v/>
      </c>
      <c r="BG50" s="496"/>
      <c r="BH50" s="496"/>
    </row>
    <row s="1667" customFormat="1" customHeight="1" ht="0">
      <c r="A51" s="1360" t="s">
        <v>273</v>
      </c>
      <c r="B51" s="1360" t="s">
        <v>274</v>
      </c>
      <c r="C51" s="1360" t="s">
        <v>275</v>
      </c>
      <c r="D51" s="1360" t="s">
        <v>555</v>
      </c>
      <c r="E51" s="2090"/>
      <c r="F51" s="2090"/>
      <c r="G51" s="2090"/>
      <c r="H51" s="2090"/>
      <c r="I51" s="2092"/>
      <c r="J51" s="2091" t="str">
        <f>S49&amp;".1"</f>
        <v>.1</v>
      </c>
      <c r="K51" s="1360"/>
      <c r="L51" s="1363"/>
      <c r="M51" s="506"/>
      <c r="N51" s="506"/>
      <c r="O51" s="506"/>
      <c r="P51" s="2093"/>
      <c r="Q51" s="2093">
        <v>1</v>
      </c>
      <c r="R51" s="345"/>
      <c r="S51" s="1037"/>
      <c r="T51" s="1416"/>
      <c r="U51" s="1401"/>
      <c r="V51" s="2130"/>
      <c r="W51" s="2130"/>
      <c r="X51" s="2130"/>
      <c r="Y51" s="2130"/>
      <c r="Z51" s="2130"/>
      <c r="AA51" s="2130"/>
      <c r="AB51" s="2130"/>
      <c r="AC51" s="2131"/>
      <c r="AD51" s="2129"/>
      <c r="AE51" s="2130"/>
      <c r="AF51" s="2130"/>
      <c r="AG51" s="2130"/>
      <c r="AH51" s="2130"/>
      <c r="AI51" s="2130"/>
      <c r="AJ51" s="2130"/>
      <c r="AK51" s="2130"/>
      <c r="AL51" s="2130"/>
      <c r="AM51" s="2130"/>
      <c r="AN51" s="2191"/>
      <c r="AO51" s="2191"/>
      <c r="AP51" s="2130"/>
      <c r="AQ51" s="2130"/>
      <c r="AR51" s="2130"/>
      <c r="AS51" s="2130"/>
      <c r="AT51" s="2130"/>
      <c r="AU51" s="2130"/>
      <c r="AV51" s="2130"/>
      <c r="AW51" s="2130"/>
      <c r="AX51" s="2130"/>
      <c r="AY51" s="2130"/>
      <c r="AZ51" s="2130"/>
      <c r="BA51" s="2130"/>
      <c r="BB51" s="2131"/>
      <c r="BC51" s="1402"/>
      <c r="BE51" s="496"/>
      <c r="BF51" s="496" t="str">
        <f>IF(T51="","",T51)</f>
        <v/>
      </c>
      <c r="BG51" s="496"/>
      <c r="BH51" s="496"/>
    </row>
    <row customHeight="1" ht="11.25">
      <c r="A52" s="1380" t="s">
        <v>273</v>
      </c>
      <c r="B52" s="1380" t="s">
        <v>274</v>
      </c>
      <c r="C52" s="1380" t="s">
        <v>275</v>
      </c>
      <c r="D52" s="1380" t="s">
        <v>555</v>
      </c>
      <c r="E52" s="2090"/>
      <c r="F52" s="2090"/>
      <c r="G52" s="2090"/>
      <c r="H52" s="2090"/>
      <c r="I52" s="2092"/>
      <c r="J52" s="2092"/>
      <c r="K52" s="2091" t="str">
        <f>S48&amp;".1"</f>
        <v>...1</v>
      </c>
      <c r="L52" s="1381"/>
      <c r="P52" s="2093"/>
      <c r="Q52" s="2093"/>
      <c r="R52" s="345">
        <v>1</v>
      </c>
      <c r="S52" s="2166" t="str">
        <f>$K52</f>
        <v>...1</v>
      </c>
      <c r="T52" s="2185"/>
      <c r="U52" s="280"/>
      <c r="V52" s="746"/>
      <c r="W52" s="1272"/>
      <c r="X52" s="746"/>
      <c r="Y52" s="1272"/>
      <c r="Z52" s="1758"/>
      <c r="AA52" s="1486" t="s">
        <v>61</v>
      </c>
      <c r="AB52" s="1758"/>
      <c r="AC52" s="1486" t="s">
        <v>61</v>
      </c>
      <c r="AD52" s="2026" t="s">
        <v>61</v>
      </c>
      <c r="AE52" s="2162"/>
      <c r="AF52" s="2039">
        <v>1</v>
      </c>
      <c r="AG52" s="2184"/>
      <c r="AH52" s="1963" t="s">
        <v>61</v>
      </c>
      <c r="AI52" s="2162"/>
      <c r="AJ52" s="2039">
        <v>1</v>
      </c>
      <c r="AK52" s="2183" t="s">
        <v>24</v>
      </c>
      <c r="AL52" s="1963" t="s">
        <v>61</v>
      </c>
      <c r="AM52" s="2011"/>
      <c r="AN52" s="2039">
        <v>1</v>
      </c>
      <c r="AO52" s="2188"/>
      <c r="AP52" s="2189" t="s">
        <v>61</v>
      </c>
      <c r="AQ52" s="293"/>
      <c r="AR52" s="1503">
        <v>1</v>
      </c>
      <c r="AS52" s="1509" t="s">
        <v>24</v>
      </c>
      <c r="AT52" s="746"/>
      <c r="AU52" s="1272"/>
      <c r="AV52" s="746"/>
      <c r="AW52" s="1272"/>
      <c r="AX52" s="1758"/>
      <c r="AY52" s="1486" t="s">
        <v>61</v>
      </c>
      <c r="AZ52" s="1758"/>
      <c r="BA52" s="1486" t="s">
        <v>61</v>
      </c>
      <c r="BB52" s="1365"/>
      <c r="BC52" s="2119" t="s">
        <v>518</v>
      </c>
      <c r="BE52" s="496"/>
      <c r="BF52" s="496" t="str">
        <f>IF(T52="","",T52)</f>
        <v/>
      </c>
      <c r="BG52" s="496"/>
      <c r="BH52" s="496"/>
    </row>
    <row customHeight="1" ht="11.25">
      <c r="A53" s="1380"/>
      <c r="B53" s="1380"/>
      <c r="C53" s="1380"/>
      <c r="D53" s="1380"/>
      <c r="E53" s="2090"/>
      <c r="F53" s="2090"/>
      <c r="G53" s="2090"/>
      <c r="H53" s="2090"/>
      <c r="I53" s="2092"/>
      <c r="J53" s="2092"/>
      <c r="K53" s="2091"/>
      <c r="L53" s="1381"/>
      <c r="P53" s="2093"/>
      <c r="Q53" s="2093"/>
      <c r="R53" s="345"/>
      <c r="S53" s="2167"/>
      <c r="T53" s="2186"/>
      <c r="U53" s="280"/>
      <c r="V53" s="1410"/>
      <c r="W53" s="1513"/>
      <c r="X53" s="1410"/>
      <c r="Y53" s="1513"/>
      <c r="Z53" s="1410"/>
      <c r="AA53" s="1410"/>
      <c r="AB53" s="1410"/>
      <c r="AC53" s="1410"/>
      <c r="AD53" s="2027"/>
      <c r="AE53" s="2162"/>
      <c r="AF53" s="2039"/>
      <c r="AG53" s="2184"/>
      <c r="AH53" s="1963"/>
      <c r="AI53" s="2162"/>
      <c r="AJ53" s="2039"/>
      <c r="AK53" s="2183"/>
      <c r="AL53" s="1963"/>
      <c r="AM53" s="2019"/>
      <c r="AN53" s="2039"/>
      <c r="AO53" s="2188"/>
      <c r="AP53" s="2190"/>
      <c r="AQ53" s="300"/>
      <c r="AR53" s="413"/>
      <c r="AS53" s="413" t="s">
        <v>519</v>
      </c>
      <c r="AT53" s="1410"/>
      <c r="AU53" s="1513"/>
      <c r="AV53" s="1410"/>
      <c r="AW53" s="1513"/>
      <c r="AX53" s="1410"/>
      <c r="AY53" s="1410"/>
      <c r="AZ53" s="1410"/>
      <c r="BA53" s="1410"/>
      <c r="BB53" s="1414"/>
      <c r="BC53" s="2120"/>
      <c r="BE53" s="496"/>
      <c r="BF53" s="496"/>
      <c r="BG53" s="496"/>
      <c r="BH53" s="496"/>
    </row>
    <row customHeight="1" ht="11.25">
      <c r="A54" s="1380" t="s">
        <v>273</v>
      </c>
      <c r="B54" s="1380"/>
      <c r="C54" s="1380"/>
      <c r="D54" s="1380"/>
      <c r="E54" s="2090"/>
      <c r="F54" s="2090"/>
      <c r="G54" s="2090"/>
      <c r="H54" s="2090"/>
      <c r="I54" s="2092"/>
      <c r="J54" s="2092"/>
      <c r="K54" s="2091"/>
      <c r="L54" s="1381"/>
      <c r="P54" s="2093"/>
      <c r="Q54" s="2093"/>
      <c r="R54" s="345"/>
      <c r="S54" s="2167"/>
      <c r="T54" s="2186"/>
      <c r="U54" s="280"/>
      <c r="V54" s="1410"/>
      <c r="W54" s="1513"/>
      <c r="X54" s="1410"/>
      <c r="Y54" s="1513"/>
      <c r="Z54" s="1410"/>
      <c r="AA54" s="1410"/>
      <c r="AB54" s="1410"/>
      <c r="AC54" s="1410"/>
      <c r="AD54" s="2027"/>
      <c r="AE54" s="2162"/>
      <c r="AF54" s="2039"/>
      <c r="AG54" s="2184"/>
      <c r="AH54" s="1963"/>
      <c r="AI54" s="2162"/>
      <c r="AJ54" s="2039"/>
      <c r="AK54" s="2183"/>
      <c r="AL54" s="1963"/>
      <c r="AM54" s="300"/>
      <c r="AN54" s="1517"/>
      <c r="AO54" s="1517" t="s">
        <v>520</v>
      </c>
      <c r="AP54" s="413"/>
      <c r="AQ54" s="413"/>
      <c r="AR54" s="413"/>
      <c r="AS54" s="1410"/>
      <c r="AT54" s="1410"/>
      <c r="AU54" s="1513"/>
      <c r="AV54" s="1410"/>
      <c r="AW54" s="1513"/>
      <c r="AX54" s="1410"/>
      <c r="AY54" s="1410"/>
      <c r="AZ54" s="1410"/>
      <c r="BA54" s="1410"/>
      <c r="BB54" s="1414"/>
      <c r="BC54" s="2120"/>
      <c r="BE54" s="496"/>
      <c r="BF54" s="496"/>
      <c r="BG54" s="496"/>
      <c r="BH54" s="496"/>
    </row>
    <row customHeight="1" ht="11.25">
      <c r="A55" s="1380" t="s">
        <v>273</v>
      </c>
      <c r="B55" s="1380"/>
      <c r="C55" s="1380"/>
      <c r="D55" s="1380"/>
      <c r="E55" s="2090"/>
      <c r="F55" s="2090"/>
      <c r="G55" s="2090"/>
      <c r="H55" s="2090"/>
      <c r="I55" s="2092"/>
      <c r="J55" s="2092"/>
      <c r="K55" s="2091"/>
      <c r="L55" s="1381"/>
      <c r="P55" s="2093"/>
      <c r="Q55" s="2093"/>
      <c r="R55" s="345"/>
      <c r="S55" s="2167"/>
      <c r="T55" s="2186"/>
      <c r="U55" s="280"/>
      <c r="V55" s="1410"/>
      <c r="W55" s="1513"/>
      <c r="X55" s="1410"/>
      <c r="Y55" s="1513"/>
      <c r="Z55" s="1410"/>
      <c r="AA55" s="1410"/>
      <c r="AB55" s="1410"/>
      <c r="AC55" s="1410"/>
      <c r="AD55" s="2027"/>
      <c r="AE55" s="2162"/>
      <c r="AF55" s="2039"/>
      <c r="AG55" s="2184"/>
      <c r="AH55" s="1963"/>
      <c r="AI55" s="274"/>
      <c r="AJ55" s="412"/>
      <c r="AK55" s="295" t="s">
        <v>521</v>
      </c>
      <c r="AL55" s="1410"/>
      <c r="AM55" s="1410"/>
      <c r="AN55" s="1410"/>
      <c r="AO55" s="1410"/>
      <c r="AP55" s="1410"/>
      <c r="AQ55" s="1410"/>
      <c r="AR55" s="1410"/>
      <c r="AS55" s="1410"/>
      <c r="AT55" s="1410"/>
      <c r="AU55" s="1513"/>
      <c r="AV55" s="1410"/>
      <c r="AW55" s="1513"/>
      <c r="AX55" s="1410"/>
      <c r="AY55" s="1410"/>
      <c r="AZ55" s="1410"/>
      <c r="BA55" s="1410"/>
      <c r="BB55" s="1414"/>
      <c r="BC55" s="2120"/>
      <c r="BE55" s="496"/>
      <c r="BF55" s="496"/>
      <c r="BG55" s="496"/>
      <c r="BH55" s="496"/>
    </row>
    <row customHeight="1" ht="11.25">
      <c r="A56" s="1380" t="s">
        <v>273</v>
      </c>
      <c r="B56" s="1380" t="s">
        <v>274</v>
      </c>
      <c r="C56" s="1380" t="s">
        <v>275</v>
      </c>
      <c r="D56" s="1380" t="s">
        <v>555</v>
      </c>
      <c r="E56" s="2090"/>
      <c r="F56" s="2090"/>
      <c r="G56" s="2090"/>
      <c r="H56" s="2090"/>
      <c r="I56" s="2092"/>
      <c r="J56" s="2092"/>
      <c r="K56" s="2091"/>
      <c r="L56" s="1381"/>
      <c r="P56" s="2093"/>
      <c r="Q56" s="2093"/>
      <c r="R56" s="345"/>
      <c r="S56" s="2168"/>
      <c r="T56" s="2187"/>
      <c r="U56" s="280"/>
      <c r="V56" s="1410"/>
      <c r="W56" s="1411" t="str">
        <f>Z52&amp;"-"&amp;AB52</f>
        <v>-</v>
      </c>
      <c r="X56" s="1410"/>
      <c r="Y56" s="1411" t="str">
        <f>AB52&amp;"-"&amp;AD52</f>
        <v>-да</v>
      </c>
      <c r="Z56" s="1410"/>
      <c r="AA56" s="1410"/>
      <c r="AB56" s="1410"/>
      <c r="AC56" s="1410"/>
      <c r="AD56" s="1968"/>
      <c r="AE56" s="294"/>
      <c r="AF56" s="296"/>
      <c r="AG56" s="413" t="s">
        <v>522</v>
      </c>
      <c r="AH56" s="1410"/>
      <c r="AI56" s="1410"/>
      <c r="AJ56" s="1410"/>
      <c r="AK56" s="1410"/>
      <c r="AL56" s="1410"/>
      <c r="AM56" s="1410"/>
      <c r="AN56" s="1410"/>
      <c r="AO56" s="1410"/>
      <c r="AP56" s="1410"/>
      <c r="AQ56" s="1410"/>
      <c r="AR56" s="1410"/>
      <c r="AS56" s="1410"/>
      <c r="AT56" s="1410"/>
      <c r="AU56" s="1411" t="str">
        <f>AX52&amp;"-"&amp;AZ52</f>
        <v>-</v>
      </c>
      <c r="AV56" s="1410"/>
      <c r="AW56" s="1411" t="str">
        <f>AZ52&amp;"-"&amp;BB52</f>
        <v>-</v>
      </c>
      <c r="AX56" s="1410"/>
      <c r="AY56" s="1410"/>
      <c r="AZ56" s="1410"/>
      <c r="BA56" s="1410"/>
      <c r="BB56" s="1413" t="str">
        <f>BE52&amp;"-"&amp;BG52</f>
        <v>-</v>
      </c>
      <c r="BC56" s="2120"/>
      <c r="BE56" s="496"/>
      <c r="BF56" s="496" t="str">
        <f>IF(T56="","",T56)</f>
        <v/>
      </c>
      <c r="BG56" s="496"/>
      <c r="BH56" s="496"/>
    </row>
    <row customHeight="1" ht="11.25">
      <c r="A57" s="1380" t="s">
        <v>273</v>
      </c>
      <c r="B57" s="1380" t="s">
        <v>274</v>
      </c>
      <c r="C57" s="1380" t="s">
        <v>275</v>
      </c>
      <c r="D57" s="1380" t="s">
        <v>555</v>
      </c>
      <c r="E57" s="2090"/>
      <c r="F57" s="2090"/>
      <c r="G57" s="2090"/>
      <c r="H57" s="2090"/>
      <c r="I57" s="2092"/>
      <c r="J57" s="2091"/>
      <c r="K57" s="1380"/>
      <c r="L57" s="1381"/>
      <c r="P57" s="2093"/>
      <c r="Q57" s="2093"/>
      <c r="R57" s="344"/>
      <c r="S57" s="1295"/>
      <c r="T57" s="268" t="s">
        <v>486</v>
      </c>
      <c r="U57" s="359"/>
      <c r="V57" s="359"/>
      <c r="W57" s="359"/>
      <c r="X57" s="359"/>
      <c r="Y57" s="359"/>
      <c r="Z57" s="359"/>
      <c r="AA57" s="359"/>
      <c r="AB57" s="359"/>
      <c r="AC57" s="311"/>
      <c r="AD57" s="1522"/>
      <c r="AE57" s="359"/>
      <c r="AF57" s="359"/>
      <c r="AG57" s="359"/>
      <c r="AH57" s="359"/>
      <c r="AI57" s="359"/>
      <c r="AJ57" s="359"/>
      <c r="AK57" s="359"/>
      <c r="AL57" s="359"/>
      <c r="AM57" s="359"/>
      <c r="AN57" s="359"/>
      <c r="AO57" s="359"/>
      <c r="AP57" s="359"/>
      <c r="AQ57" s="359"/>
      <c r="AR57" s="359"/>
      <c r="AS57" s="359"/>
      <c r="AT57" s="359"/>
      <c r="AU57" s="359"/>
      <c r="AV57" s="359"/>
      <c r="AW57" s="359"/>
      <c r="AX57" s="359"/>
      <c r="AY57" s="359"/>
      <c r="AZ57" s="359"/>
      <c r="BA57" s="359"/>
      <c r="BB57" s="311"/>
      <c r="BC57" s="2121"/>
      <c r="BE57" s="496"/>
      <c r="BF57" s="496" t="str">
        <f>IF(T57="","",T57)</f>
        <v>Добавить строку</v>
      </c>
      <c r="BG57" s="496"/>
      <c r="BH57" s="496"/>
    </row>
    <row s="1667" customFormat="1" customHeight="1" ht="0">
      <c r="A58" s="1360" t="s">
        <v>273</v>
      </c>
      <c r="B58" s="1360" t="s">
        <v>274</v>
      </c>
      <c r="C58" s="1360" t="s">
        <v>275</v>
      </c>
      <c r="D58" s="1360" t="s">
        <v>555</v>
      </c>
      <c r="E58" s="2090"/>
      <c r="F58" s="2090"/>
      <c r="G58" s="2090"/>
      <c r="H58" s="2090"/>
      <c r="I58" s="2091"/>
      <c r="J58" s="1360"/>
      <c r="K58" s="1360"/>
      <c r="L58" s="1363"/>
      <c r="M58" s="506"/>
      <c r="N58" s="506"/>
      <c r="O58" s="506"/>
      <c r="P58" s="2093"/>
      <c r="Q58" s="1498"/>
      <c r="R58" s="344"/>
      <c r="S58" s="1403"/>
      <c r="T58" s="1404"/>
      <c r="U58" s="1405"/>
      <c r="V58" s="1405"/>
      <c r="W58" s="1405"/>
      <c r="X58" s="1405"/>
      <c r="Y58" s="1405"/>
      <c r="Z58" s="1405"/>
      <c r="AA58" s="1405"/>
      <c r="AB58" s="1405"/>
      <c r="AC58" s="1405"/>
      <c r="AD58" s="1405"/>
      <c r="AE58" s="1405"/>
      <c r="AF58" s="1405"/>
      <c r="AG58" s="1405"/>
      <c r="AH58" s="1405"/>
      <c r="AI58" s="1405"/>
      <c r="AJ58" s="1405"/>
      <c r="AK58" s="1405"/>
      <c r="AL58" s="1405"/>
      <c r="AM58" s="1405"/>
      <c r="AN58" s="1405"/>
      <c r="AO58" s="1405"/>
      <c r="AP58" s="1405"/>
      <c r="AQ58" s="1405"/>
      <c r="AR58" s="1405"/>
      <c r="AS58" s="1405"/>
      <c r="AT58" s="1405"/>
      <c r="AU58" s="1405"/>
      <c r="AV58" s="1405"/>
      <c r="AW58" s="1405"/>
      <c r="AX58" s="1405"/>
      <c r="AY58" s="1405"/>
      <c r="AZ58" s="1405"/>
      <c r="BA58" s="1405"/>
      <c r="BB58" s="1405"/>
      <c r="BC58" s="1406"/>
      <c r="BE58" s="496"/>
      <c r="BF58" s="496" t="str">
        <f>IF(T58="","",T58)</f>
        <v/>
      </c>
      <c r="BG58" s="496"/>
      <c r="BH58" s="496"/>
    </row>
    <row s="1667" customFormat="1" customHeight="1" ht="0">
      <c r="A59" s="1360" t="s">
        <v>273</v>
      </c>
      <c r="B59" s="1360" t="s">
        <v>274</v>
      </c>
      <c r="C59" s="1360" t="s">
        <v>275</v>
      </c>
      <c r="D59" s="1360" t="s">
        <v>555</v>
      </c>
      <c r="E59" s="2090"/>
      <c r="F59" s="2090"/>
      <c r="G59" s="2090"/>
      <c r="H59" s="2089"/>
      <c r="I59" s="1360"/>
      <c r="J59" s="1360"/>
      <c r="K59" s="1360"/>
      <c r="L59" s="1363"/>
      <c r="M59" s="1332"/>
      <c r="N59" s="1332"/>
      <c r="O59" s="514"/>
      <c r="P59" s="376"/>
      <c r="Q59" s="1361"/>
      <c r="R59" s="1418"/>
      <c r="S59" s="1403"/>
      <c r="T59" s="1404"/>
      <c r="U59" s="1405"/>
      <c r="V59" s="1405"/>
      <c r="W59" s="1405"/>
      <c r="X59" s="1405"/>
      <c r="Y59" s="1405"/>
      <c r="Z59" s="1405"/>
      <c r="AA59" s="1405"/>
      <c r="AB59" s="1405"/>
      <c r="AC59" s="1405"/>
      <c r="AD59" s="1405"/>
      <c r="AE59" s="1405"/>
      <c r="AF59" s="1405"/>
      <c r="AG59" s="1405"/>
      <c r="AH59" s="1405"/>
      <c r="AI59" s="1405"/>
      <c r="AJ59" s="1405"/>
      <c r="AK59" s="1405"/>
      <c r="AL59" s="1405"/>
      <c r="AM59" s="1405"/>
      <c r="AN59" s="1405"/>
      <c r="AO59" s="1405"/>
      <c r="AP59" s="1405"/>
      <c r="AQ59" s="1405"/>
      <c r="AR59" s="1405"/>
      <c r="AS59" s="1405"/>
      <c r="AT59" s="1405"/>
      <c r="AU59" s="1405"/>
      <c r="AV59" s="1405"/>
      <c r="AW59" s="1405"/>
      <c r="AX59" s="1405"/>
      <c r="AY59" s="1405"/>
      <c r="AZ59" s="1405"/>
      <c r="BA59" s="1405"/>
      <c r="BB59" s="1405"/>
      <c r="BC59" s="1406"/>
      <c r="BE59" s="496"/>
      <c r="BF59" s="496" t="str">
        <f>IF(T59="","",T59)</f>
        <v/>
      </c>
      <c r="BG59" s="496"/>
      <c r="BH59" s="496"/>
    </row>
    <row s="1667" customFormat="1" customHeight="1" ht="0">
      <c r="A60" s="1360" t="s">
        <v>273</v>
      </c>
      <c r="B60" s="1360" t="s">
        <v>274</v>
      </c>
      <c r="C60" s="1360" t="s">
        <v>275</v>
      </c>
      <c r="D60" s="1331"/>
      <c r="E60" s="2090"/>
      <c r="F60" s="2090"/>
      <c r="G60" s="2089"/>
      <c r="H60" s="1331"/>
      <c r="I60" s="1331"/>
      <c r="J60" s="1331"/>
      <c r="K60" s="1331"/>
      <c r="L60" s="1511"/>
      <c r="M60" s="1332"/>
      <c r="N60" s="1332"/>
      <c r="P60" s="1333"/>
      <c r="Q60" s="1334"/>
      <c r="R60" s="1333"/>
      <c r="S60" s="1339"/>
      <c r="T60" s="1342"/>
      <c r="U60" s="1341"/>
      <c r="V60" s="1341"/>
      <c r="W60" s="1341"/>
      <c r="X60" s="1341"/>
      <c r="Y60" s="1341"/>
      <c r="Z60" s="1341"/>
      <c r="AA60" s="1341"/>
      <c r="AB60" s="1341"/>
      <c r="AC60" s="1341"/>
      <c r="AD60" s="1341"/>
      <c r="AE60" s="1341"/>
      <c r="AF60" s="1341"/>
      <c r="AG60" s="1341"/>
      <c r="AH60" s="1341"/>
      <c r="AI60" s="1341"/>
      <c r="AJ60" s="1341"/>
      <c r="AK60" s="1341"/>
      <c r="AL60" s="1341"/>
      <c r="AM60" s="1341"/>
      <c r="AN60" s="1341"/>
      <c r="AO60" s="1341"/>
      <c r="AP60" s="1341"/>
      <c r="AQ60" s="1341"/>
      <c r="AR60" s="1341"/>
      <c r="AS60" s="1341"/>
      <c r="AT60" s="1341"/>
      <c r="AU60" s="1341"/>
      <c r="AV60" s="1341"/>
      <c r="AW60" s="1341"/>
      <c r="AX60" s="1341"/>
      <c r="AY60" s="1341"/>
      <c r="AZ60" s="1341"/>
      <c r="BA60" s="1341"/>
      <c r="BB60" s="1341"/>
      <c r="BC60" s="1341"/>
      <c r="BE60" s="783"/>
      <c r="BF60" s="783" t="str">
        <f>IF(T60="","",T60)</f>
        <v/>
      </c>
      <c r="BG60" s="783"/>
      <c r="BH60" s="783"/>
    </row>
    <row s="1667" customFormat="1" customHeight="1" ht="0">
      <c r="A61" s="1360" t="s">
        <v>273</v>
      </c>
      <c r="B61" s="1360" t="s">
        <v>274</v>
      </c>
      <c r="C61" s="1331"/>
      <c r="D61" s="1331"/>
      <c r="E61" s="2090"/>
      <c r="F61" s="2089"/>
      <c r="G61" s="1331"/>
      <c r="H61" s="1331"/>
      <c r="I61" s="1331"/>
      <c r="J61" s="1331"/>
      <c r="K61" s="1331"/>
      <c r="L61" s="1511"/>
      <c r="M61" s="1338"/>
      <c r="N61" s="1338"/>
      <c r="P61" s="1333"/>
      <c r="Q61" s="1334"/>
      <c r="R61" s="1333"/>
      <c r="S61" s="1339"/>
      <c r="T61" s="1342" t="s">
        <v>161</v>
      </c>
      <c r="U61" s="1341"/>
      <c r="V61" s="1341"/>
      <c r="W61" s="1341"/>
      <c r="X61" s="1341"/>
      <c r="Y61" s="1341"/>
      <c r="Z61" s="1341"/>
      <c r="AA61" s="1341"/>
      <c r="AB61" s="1341"/>
      <c r="AC61" s="1341"/>
      <c r="AD61" s="1341"/>
      <c r="AE61" s="1341"/>
      <c r="AF61" s="1341"/>
      <c r="AG61" s="1341"/>
      <c r="AH61" s="1341"/>
      <c r="AI61" s="1341"/>
      <c r="AJ61" s="1341"/>
      <c r="AK61" s="1341"/>
      <c r="AL61" s="1341"/>
      <c r="AM61" s="1341"/>
      <c r="AN61" s="1341"/>
      <c r="AO61" s="1341"/>
      <c r="AP61" s="1341"/>
      <c r="AQ61" s="1341"/>
      <c r="AR61" s="1341"/>
      <c r="AS61" s="1341"/>
      <c r="AT61" s="1341"/>
      <c r="AU61" s="1341"/>
      <c r="AV61" s="1341"/>
      <c r="AW61" s="1341"/>
      <c r="AX61" s="1341"/>
      <c r="AY61" s="1341"/>
      <c r="AZ61" s="1341"/>
      <c r="BA61" s="1341"/>
      <c r="BB61" s="1341"/>
      <c r="BC61" s="1341"/>
      <c r="BE61" s="783"/>
      <c r="BF61" s="783" t="str">
        <f>IF(T61="","",T61)</f>
        <v>Добавить централизованную систему для дифференциации</v>
      </c>
      <c r="BG61" s="783"/>
      <c r="BH61" s="783"/>
    </row>
    <row s="1667" customFormat="1" customHeight="1" ht="0">
      <c r="A62" s="1360" t="s">
        <v>273</v>
      </c>
      <c r="B62" s="1360"/>
      <c r="C62" s="1360"/>
      <c r="D62" s="1360"/>
      <c r="E62" s="2089"/>
      <c r="F62" s="1360"/>
      <c r="G62" s="1360"/>
      <c r="H62" s="1360"/>
      <c r="I62" s="1360"/>
      <c r="J62" s="1360"/>
      <c r="K62" s="1360"/>
      <c r="L62" s="1363"/>
      <c r="M62" s="1338"/>
      <c r="N62" s="1338"/>
      <c r="O62" s="514"/>
      <c r="P62" s="376"/>
      <c r="Q62" s="1361"/>
      <c r="R62" s="376"/>
      <c r="S62" s="1339"/>
      <c r="T62" s="1342" t="s">
        <v>162</v>
      </c>
      <c r="U62" s="1341"/>
      <c r="V62" s="1341"/>
      <c r="W62" s="1341"/>
      <c r="X62" s="1341"/>
      <c r="Y62" s="1341"/>
      <c r="Z62" s="1341"/>
      <c r="AA62" s="1341"/>
      <c r="AB62" s="1341"/>
      <c r="AC62" s="1341"/>
      <c r="AD62" s="1341"/>
      <c r="AE62" s="1341"/>
      <c r="AF62" s="1341"/>
      <c r="AG62" s="1341"/>
      <c r="AH62" s="1341"/>
      <c r="AI62" s="1341"/>
      <c r="AJ62" s="1341"/>
      <c r="AK62" s="1341"/>
      <c r="AL62" s="1341"/>
      <c r="AM62" s="1341"/>
      <c r="AN62" s="1341"/>
      <c r="AO62" s="1341"/>
      <c r="AP62" s="1341"/>
      <c r="AQ62" s="1341"/>
      <c r="AR62" s="1341"/>
      <c r="AS62" s="1341"/>
      <c r="AT62" s="1341"/>
      <c r="AU62" s="1341"/>
      <c r="AV62" s="1341"/>
      <c r="AW62" s="1341"/>
      <c r="AX62" s="1341"/>
      <c r="AY62" s="1341"/>
      <c r="AZ62" s="1341"/>
      <c r="BA62" s="1341"/>
      <c r="BB62" s="1341"/>
      <c r="BC62" s="1341"/>
      <c r="BE62" s="496"/>
      <c r="BF62" s="496" t="str">
        <f>IF(T62="","",T62)</f>
        <v>Добавить территорию для дифференциации</v>
      </c>
      <c r="BG62" s="496"/>
      <c r="BH62" s="496"/>
    </row>
    <row s="1667" customFormat="1" customHeight="1" ht="0">
      <c r="A63" s="1331"/>
      <c r="B63" s="1331"/>
      <c r="C63" s="1331"/>
      <c r="D63" s="1331"/>
      <c r="E63" s="1360"/>
      <c r="F63" s="1331"/>
      <c r="G63" s="1331"/>
      <c r="H63" s="1331"/>
      <c r="I63" s="1331"/>
      <c r="J63" s="1331"/>
      <c r="K63" s="1331"/>
      <c r="L63" s="1511"/>
      <c r="M63" s="1338"/>
      <c r="N63" s="1338"/>
      <c r="P63" s="1333"/>
      <c r="Q63" s="1334"/>
      <c r="R63" s="1333"/>
      <c r="S63" s="1339"/>
      <c r="T63" s="1342" t="s">
        <v>179</v>
      </c>
      <c r="U63" s="1341"/>
      <c r="V63" s="1341"/>
      <c r="W63" s="1341"/>
      <c r="X63" s="1341"/>
      <c r="Y63" s="1341"/>
      <c r="Z63" s="1341"/>
      <c r="AA63" s="1341"/>
      <c r="AB63" s="1341"/>
      <c r="AC63" s="1341"/>
      <c r="AD63" s="1341"/>
      <c r="AE63" s="1341"/>
      <c r="AF63" s="1341"/>
      <c r="AG63" s="1341"/>
      <c r="AH63" s="1341"/>
      <c r="AI63" s="1341"/>
      <c r="AJ63" s="1341"/>
      <c r="AK63" s="1341"/>
      <c r="AL63" s="1341"/>
      <c r="AM63" s="1341"/>
      <c r="AN63" s="1341"/>
      <c r="AO63" s="1341"/>
      <c r="AP63" s="1341"/>
      <c r="AQ63" s="1341"/>
      <c r="AR63" s="1341"/>
      <c r="AS63" s="1341"/>
      <c r="AT63" s="1341"/>
      <c r="AU63" s="1341"/>
      <c r="AV63" s="1341"/>
      <c r="AW63" s="1341"/>
      <c r="AX63" s="1341"/>
      <c r="AY63" s="1341"/>
      <c r="AZ63" s="1341"/>
      <c r="BA63" s="1341"/>
      <c r="BB63" s="1341"/>
      <c r="BC63" s="1341"/>
      <c r="BE63" s="783"/>
      <c r="BF63" s="783" t="str">
        <f>IF(T63="","",T63)</f>
        <v>Добавить наименование тарифа</v>
      </c>
      <c r="BG63" s="783"/>
      <c r="BH63" s="783"/>
    </row>
    <row customHeight="1" ht="11.25">
      <c r="M64" s="1155"/>
      <c r="N64" s="1155"/>
      <c r="O64" s="533"/>
      <c r="P64" s="1155"/>
      <c r="Q64" s="1155"/>
      <c r="R64" s="1150"/>
      <c r="S64" s="1150"/>
      <c r="BD64" s="1150"/>
      <c r="BE64" s="1150"/>
      <c r="BF64" s="1150"/>
      <c r="BG64" s="1150"/>
      <c r="BH64" s="1150"/>
    </row>
    <row customHeight="1" ht="18.75">
      <c r="O65" s="533"/>
      <c r="S65" s="1260"/>
      <c r="T65" s="2088"/>
      <c r="U65" s="2088"/>
      <c r="V65" s="2088"/>
      <c r="W65" s="2088"/>
      <c r="X65" s="2088"/>
      <c r="Y65" s="2088"/>
      <c r="Z65" s="2088"/>
      <c r="AA65" s="2088"/>
      <c r="AB65" s="2088"/>
      <c r="AC65" s="2088"/>
      <c r="AD65" s="2088"/>
      <c r="AE65" s="2088"/>
      <c r="AF65" s="2088"/>
      <c r="AG65" s="2088"/>
      <c r="AH65" s="2088"/>
      <c r="AI65" s="2088"/>
      <c r="AJ65" s="2088"/>
      <c r="AK65" s="2088"/>
      <c r="AL65" s="2088"/>
      <c r="AM65" s="2088"/>
      <c r="AN65" s="2088"/>
      <c r="AO65" s="2088"/>
      <c r="AP65" s="2088"/>
      <c r="AQ65" s="2088"/>
      <c r="AR65" s="2088"/>
      <c r="AS65" s="2088"/>
      <c r="AT65" s="2088"/>
      <c r="AU65" s="2088"/>
      <c r="AV65" s="2088"/>
      <c r="AW65" s="2088"/>
      <c r="AX65" s="2088"/>
      <c r="AY65" s="2088"/>
      <c r="AZ65" s="2088"/>
      <c r="BA65" s="2088"/>
      <c r="BB65" s="2088"/>
      <c r="BC65" s="2088"/>
    </row>
    <row customHeight="1" ht="14.25">
      <c r="O66" s="533"/>
      <c r="T66" s="1497"/>
      <c r="U66" s="1497"/>
      <c r="V66" s="1497"/>
      <c r="W66" s="1497"/>
      <c r="X66" s="1497"/>
      <c r="Y66" s="1497"/>
      <c r="Z66" s="1497"/>
      <c r="AA66" s="1497"/>
      <c r="AB66" s="1497"/>
      <c r="AC66" s="1497"/>
      <c r="AD66" s="1497"/>
      <c r="AE66" s="1497"/>
      <c r="AF66" s="1497"/>
      <c r="AG66" s="1497"/>
      <c r="AH66" s="1497"/>
      <c r="AI66" s="1497"/>
      <c r="AJ66" s="1497"/>
      <c r="AK66" s="1497"/>
      <c r="AL66" s="1497"/>
      <c r="AM66" s="1497"/>
      <c r="AN66" s="1497"/>
      <c r="AO66" s="1497"/>
      <c r="AP66" s="1497"/>
      <c r="AQ66" s="1497"/>
      <c r="AR66" s="1497"/>
      <c r="AS66" s="1497"/>
      <c r="AT66" s="1497"/>
      <c r="AU66" s="1497"/>
      <c r="AV66" s="1497"/>
      <c r="AW66" s="1497"/>
      <c r="AX66" s="1497"/>
      <c r="AY66" s="1497"/>
      <c r="AZ66" s="1497"/>
      <c r="BA66" s="1497"/>
      <c r="BB66" s="1497"/>
      <c r="BC66" s="1497"/>
    </row>
    <row customHeight="1" ht="18.75">
      <c r="O67" s="533"/>
      <c r="S67" s="1260"/>
      <c r="T67" s="2088"/>
      <c r="U67" s="2088"/>
      <c r="V67" s="2088"/>
      <c r="W67" s="2088"/>
      <c r="X67" s="2088"/>
      <c r="Y67" s="2088"/>
      <c r="Z67" s="2088"/>
      <c r="AA67" s="2088"/>
      <c r="AB67" s="2088"/>
      <c r="AC67" s="2088"/>
      <c r="AD67" s="2088"/>
      <c r="AE67" s="2088"/>
      <c r="AF67" s="2088"/>
      <c r="AG67" s="2088"/>
      <c r="AH67" s="2088"/>
      <c r="AI67" s="2088"/>
      <c r="AJ67" s="2088"/>
      <c r="AK67" s="2088"/>
      <c r="AL67" s="2088"/>
      <c r="AM67" s="2088"/>
      <c r="AN67" s="2088"/>
      <c r="AO67" s="2088"/>
      <c r="AP67" s="2088"/>
      <c r="AQ67" s="2088"/>
      <c r="AR67" s="2088"/>
      <c r="AS67" s="2088"/>
      <c r="AT67" s="2088"/>
      <c r="AU67" s="2088"/>
      <c r="AV67" s="2088"/>
      <c r="AW67" s="2088"/>
      <c r="AX67" s="2088"/>
      <c r="AY67" s="2088"/>
      <c r="AZ67" s="2088"/>
      <c r="BA67" s="2088"/>
      <c r="BB67" s="2088"/>
      <c r="BC67" s="2088"/>
    </row>
    <row customHeight="1" ht="14.25">
      <c r="O68" s="53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0CB691-B2D5-862C-E01D-EB6458CAEACB}"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customHeight="1" ht="11.25" hidden="1"/>
    <row customHeight="1" ht="23.25" hidden="1">
      <c r="B2" s="1935"/>
      <c r="C2" s="1162" t="s">
        <v>556</v>
      </c>
      <c r="D2" s="1663"/>
      <c r="E2" s="542">
        <f>B2</f>
        <v>0</v>
      </c>
      <c r="F2" s="543"/>
      <c r="G2" s="1671" t="s">
        <v>557</v>
      </c>
      <c r="H2" s="1671" t="s">
        <v>557</v>
      </c>
      <c r="I2" s="1671" t="s">
        <v>557</v>
      </c>
      <c r="J2" s="270" t="s">
        <v>558</v>
      </c>
      <c r="K2" s="539"/>
    </row>
    <row s="1667" customFormat="1" customHeight="1" ht="0.75" hidden="1">
      <c r="B3" s="1935"/>
      <c r="C3" s="1162"/>
      <c r="D3" s="544"/>
      <c r="E3" s="545"/>
      <c r="F3" s="546" t="s">
        <v>559</v>
      </c>
      <c r="G3" s="547"/>
      <c r="H3" s="547">
        <f>H4*H5+H7</f>
        <v>0</v>
      </c>
      <c r="I3" s="547">
        <f>I4*I5+I6</f>
        <v>0</v>
      </c>
      <c r="J3" s="548"/>
    </row>
    <row customHeight="1" ht="23.25" hidden="1">
      <c r="B4" s="1935"/>
      <c r="C4" s="1162"/>
      <c r="D4" s="1663"/>
      <c r="E4" s="542" t="str">
        <f>B2&amp;".1"</f>
        <v>.1</v>
      </c>
      <c r="F4" s="549" t="s">
        <v>560</v>
      </c>
      <c r="G4" s="550"/>
      <c r="H4" s="537"/>
      <c r="I4" s="537"/>
      <c r="J4" s="270" t="s">
        <v>561</v>
      </c>
      <c r="K4" s="539"/>
    </row>
    <row customHeight="1" ht="18.75" hidden="1">
      <c r="B5" s="1935"/>
      <c r="C5" s="1162"/>
      <c r="D5" s="1663"/>
      <c r="E5" s="542" t="str">
        <f>B2&amp;".2"</f>
        <v>.2</v>
      </c>
      <c r="F5" s="549" t="s">
        <v>562</v>
      </c>
      <c r="G5" s="1671" t="s">
        <v>563</v>
      </c>
      <c r="H5" s="537"/>
      <c r="I5" s="537"/>
      <c r="J5" s="270"/>
      <c r="K5" s="539"/>
    </row>
    <row customHeight="1" ht="18.75" hidden="1">
      <c r="B6" s="1935"/>
      <c r="C6" s="1162"/>
      <c r="D6" s="1663"/>
      <c r="E6" s="542" t="str">
        <f>B2&amp;".3"</f>
        <v>.3</v>
      </c>
      <c r="F6" s="549" t="s">
        <v>564</v>
      </c>
      <c r="G6" s="1671" t="s">
        <v>563</v>
      </c>
      <c r="H6" s="537"/>
      <c r="I6" s="537"/>
      <c r="J6" s="270"/>
      <c r="K6" s="539"/>
    </row>
    <row customHeight="1" ht="18.75" hidden="1">
      <c r="B7" s="1935"/>
      <c r="C7" s="1162"/>
      <c r="D7" s="1663"/>
      <c r="E7" s="542" t="str">
        <f>B2&amp;".4"</f>
        <v>.4</v>
      </c>
      <c r="F7" s="549" t="s">
        <v>565</v>
      </c>
      <c r="G7" s="1671" t="s">
        <v>557</v>
      </c>
      <c r="H7" s="551"/>
      <c r="I7" s="551"/>
      <c r="J7" s="270"/>
      <c r="K7" s="539"/>
    </row>
    <row s="1383" customFormat="1" customHeight="1" ht="11.25" hidden="1">
      <c r="A8" s="982"/>
      <c r="C8" s="1661"/>
      <c r="D8" s="533"/>
      <c r="H8" s="1155">
        <v>4</v>
      </c>
      <c r="I8" s="1155">
        <v>4</v>
      </c>
      <c r="L8" s="1661"/>
      <c r="M8" s="1661"/>
      <c r="R8" s="1661"/>
    </row>
    <row s="1383" customFormat="1" customHeight="1" ht="22.5" hidden="1">
      <c r="A9" s="982"/>
      <c r="C9" s="1661"/>
      <c r="D9" s="534"/>
      <c r="E9" s="1673"/>
      <c r="F9" s="536"/>
      <c r="G9" s="1671" t="s">
        <v>563</v>
      </c>
      <c r="H9" s="537"/>
      <c r="I9" s="537"/>
      <c r="J9" s="538" t="s">
        <v>566</v>
      </c>
      <c r="K9" s="539"/>
      <c r="L9" s="1661"/>
      <c r="M9" s="1661"/>
      <c r="R9" s="1661"/>
      <c r="U9" s="540"/>
      <c r="AA9" s="1657"/>
      <c r="AB9" s="1657"/>
      <c r="AC9" s="1657"/>
      <c r="AD9" s="1657"/>
      <c r="AE9" s="1657"/>
    </row>
    <row customHeight="1" ht="11.25" hidden="1"/>
    <row customHeight="1" ht="18.75" hidden="1">
      <c r="D11" s="1663"/>
      <c r="E11" s="542"/>
      <c r="F11" s="536"/>
      <c r="G11" s="1671" t="s">
        <v>567</v>
      </c>
      <c r="H11" s="537"/>
      <c r="I11" s="537"/>
      <c r="J11" s="270" t="s">
        <v>568</v>
      </c>
      <c r="K11" s="539"/>
    </row>
    <row customHeight="1" ht="11.25" hidden="1"/>
    <row customHeight="1" ht="22.5" hidden="1">
      <c r="D13" s="1663"/>
      <c r="E13" s="542"/>
      <c r="F13" s="536"/>
      <c r="G13" s="964" t="s">
        <v>569</v>
      </c>
      <c r="H13" s="541"/>
      <c r="I13" s="541"/>
      <c r="J13" s="740" t="s">
        <v>570</v>
      </c>
      <c r="K13" s="539"/>
    </row>
    <row customHeight="1" ht="11.25" hidden="1"/>
    <row customHeight="1" ht="22.5" hidden="1">
      <c r="D15" s="1663"/>
      <c r="E15" s="542"/>
      <c r="F15" s="536"/>
      <c r="G15" s="1671" t="s">
        <v>571</v>
      </c>
      <c r="H15" s="541"/>
      <c r="I15" s="541"/>
      <c r="J15" s="270" t="s">
        <v>572</v>
      </c>
      <c r="K15" s="539"/>
    </row>
    <row customHeight="1" ht="11.25" hidden="1"/>
    <row customHeight="1" ht="22.5" hidden="1">
      <c r="D17" s="1663"/>
      <c r="E17" s="542"/>
      <c r="F17" s="536"/>
      <c r="G17" s="1671" t="s">
        <v>573</v>
      </c>
      <c r="H17" s="541"/>
      <c r="I17" s="541"/>
      <c r="J17" s="270" t="s">
        <v>574</v>
      </c>
      <c r="K17" s="539"/>
    </row>
    <row customHeight="1" ht="11.25" hidden="1"/>
    <row s="1657" customFormat="1" customHeight="1" ht="11.25" hidden="1">
      <c r="A19" s="982"/>
      <c r="B19" s="1155"/>
      <c r="C19" s="1661"/>
      <c r="D19" s="352"/>
      <c r="J19" s="1657">
        <v>4</v>
      </c>
      <c r="K19" s="1155"/>
      <c r="L19" s="1661"/>
      <c r="M19" s="1661"/>
      <c r="N19" s="1155"/>
      <c r="O19" s="1155"/>
      <c r="P19" s="1155"/>
      <c r="Q19" s="1155"/>
      <c r="R19" s="1661"/>
      <c r="S19" s="1155"/>
      <c r="T19" s="1155"/>
      <c r="U19" s="540"/>
      <c r="V19" s="1155"/>
      <c r="W19" s="1155"/>
      <c r="X19" s="1155"/>
      <c r="Y19" s="1155"/>
      <c r="Z19" s="1155"/>
    </row>
    <row r="21" customHeight="1" ht="24">
      <c r="E21" s="2122"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22"/>
      <c r="G21" s="2122"/>
      <c r="H21" s="2122"/>
      <c r="I21" s="2122"/>
      <c r="J21" s="552"/>
    </row>
    <row customHeight="1" ht="24">
      <c r="E22" s="2123" t="str">
        <f>IF(org=0,"Не определено",org)</f>
        <v>ПАО "ТГК-1" филиал "Невский"</v>
      </c>
      <c r="F22" s="2123"/>
      <c r="G22" s="2123"/>
      <c r="H22" s="2123"/>
      <c r="I22" s="2123"/>
    </row>
    <row customHeight="1" ht="11.25">
      <c r="E23" s="1130"/>
      <c r="F23" s="1130"/>
      <c r="G23" s="1130"/>
      <c r="H23" s="1130"/>
      <c r="I23" s="1130"/>
    </row>
    <row s="1667" customFormat="1" customHeight="1" ht="0.75">
      <c r="A24" s="1162"/>
      <c r="D24" s="1667"/>
      <c r="H24" s="883"/>
      <c r="I24" s="883" t="s">
        <v>116</v>
      </c>
    </row>
    <row customHeight="1" ht="11.25">
      <c r="E25" s="706"/>
      <c r="F25" s="2195" t="s">
        <v>104</v>
      </c>
      <c r="G25" s="2196"/>
      <c r="H25" s="1677" t="str">
        <f>IF(H24="","",INDEX(DIFFERENTIATION_UNMERGE_VD,MATCH(H24,DIFFERENTIATION_ID_DIFF,0)))</f>
        <v/>
      </c>
      <c r="I25" s="1677">
        <f>IF(I24="","",INDEX(DIFFERENTIATION_UNMERGE_VD,MATCH(I24,DIFFERENTIATION_ID_DIFF,0)))</f>
        <v>0</v>
      </c>
      <c r="J25" s="1953"/>
    </row>
    <row customHeight="1" ht="11.25">
      <c r="E26" s="706"/>
      <c r="F26" s="2195" t="s">
        <v>575</v>
      </c>
      <c r="G26" s="2196"/>
      <c r="H26" s="1677" t="str">
        <f>IF(H24="","",INDEX(DIFFERENTIATION_UNMERGE_AREA,MATCH(H24,DIFFERENTIATION_ID_DIFF,0)))</f>
        <v/>
      </c>
      <c r="I26" s="1677" t="str">
        <f>IF(I24="","",INDEX(DIFFERENTIATION_UNMERGE_AREA,MATCH(I24,DIFFERENTIATION_ID_DIFF,0)))</f>
        <v/>
      </c>
      <c r="J26" s="1953"/>
    </row>
    <row customHeight="1" ht="11.25">
      <c r="E27" s="706"/>
      <c r="F27" s="2195" t="s">
        <v>576</v>
      </c>
      <c r="G27" s="2196"/>
      <c r="H27" s="1677" t="str">
        <f>IF(H24="","",INDEX(DIFFERENTIATION_UNMERGE_SYSTEM,MATCH(H24,DIFFERENTIATION_ID_DIFF,0)))</f>
        <v/>
      </c>
      <c r="I27" s="1677" t="str">
        <f>IF(I24="","",INDEX(DIFFERENTIATION_UNMERGE_SYSTEM,MATCH(I24,DIFFERENTIATION_ID_DIFF,0)))</f>
        <v>без дифференциации</v>
      </c>
      <c r="J27" s="1953"/>
    </row>
    <row customHeight="1" ht="11.25">
      <c r="E28" s="2197" t="s">
        <v>312</v>
      </c>
      <c r="F28" s="2198"/>
      <c r="G28" s="2198"/>
      <c r="H28" s="1670"/>
      <c r="I28" s="1670"/>
      <c r="J28" s="1953"/>
    </row>
    <row customHeight="1" ht="22.5">
      <c r="E29" s="1671" t="s">
        <v>87</v>
      </c>
      <c r="F29" s="1678" t="s">
        <v>314</v>
      </c>
      <c r="G29" s="1678" t="s">
        <v>577</v>
      </c>
      <c r="H29" s="1678" t="s">
        <v>315</v>
      </c>
      <c r="I29" s="1678" t="s">
        <v>315</v>
      </c>
      <c r="J29" s="1953"/>
    </row>
    <row customHeight="1" ht="18.75">
      <c r="D30" s="1663"/>
      <c r="E30" s="542">
        <f>FHD_NUM_P_1</f>
        <v>1</v>
      </c>
      <c r="F30" s="1905" t="str">
        <f>FHD_P_1</f>
        <v>Выручка от регулируемого вида деятельности с распределением по видам деятельности</v>
      </c>
      <c r="G30" s="1903" t="s">
        <v>563</v>
      </c>
      <c r="H30" s="553"/>
      <c r="I30" s="553"/>
      <c r="J30" s="270" t="str">
        <f>FHD_NOTE_P_1</f>
        <v>Указывается выручка от регулируемого вида деятельности с распределением по видам деятельности.</v>
      </c>
      <c r="K30" s="539"/>
    </row>
    <row customHeight="1" ht="11.25">
      <c r="D31" s="1663"/>
      <c r="E31" s="542">
        <f>FHD_NUM_P_2</f>
        <v>2</v>
      </c>
      <c r="F31" s="1905" t="str">
        <f>FHD_P_2</f>
        <v>Себестоимость производимых товаров (оказываемых услуг) по регулируемому виду деятельности, включая:</v>
      </c>
      <c r="G31" s="1903" t="s">
        <v>563</v>
      </c>
      <c r="H31" s="554">
        <f>SUMIF($K33:$K71,$K31,H33:H71)</f>
        <v>0</v>
      </c>
      <c r="I31" s="554">
        <f>SUMIF($K33:$K71,$K31,I33:I71)</f>
        <v>0</v>
      </c>
      <c r="J31" s="270" t="str">
        <f>FHD_NOTE_P_2</f>
        <v>Указывается суммарная себестоимость производимых товаров.</v>
      </c>
      <c r="K31" s="1661" t="s">
        <v>578</v>
      </c>
    </row>
    <row customHeight="1" ht="11.25">
      <c r="D32" s="1663"/>
      <c r="E32" s="542" t="str">
        <f>FHD_NUM_P_3</f>
        <v>2.1</v>
      </c>
      <c r="F32" s="1541" t="str">
        <f>FHD_P_3</f>
        <v>Расходы на приобретаемую тепловую энергию (мощность), теплоноситель</v>
      </c>
      <c r="G32" s="1903" t="s">
        <v>563</v>
      </c>
      <c r="H32" s="553"/>
      <c r="I32" s="553"/>
      <c r="J32" s="270" t="str">
        <f>FHD_NOTE_P_3</f>
        <v/>
      </c>
      <c r="K32" s="1661" t="str">
        <f>IF((LEN(E32)-LEN(SUBSTITUTE(E32,".","")))/LEN(".")=1,"p","")</f>
        <v>p</v>
      </c>
    </row>
    <row customHeight="1" ht="11.25">
      <c r="A33" s="2192" t="s">
        <v>579</v>
      </c>
      <c r="D33" s="1663"/>
      <c r="E33" s="542" t="str">
        <f>FHD_NUM_P_4</f>
        <v>2.2</v>
      </c>
      <c r="F33" s="1541"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03" t="s">
        <v>563</v>
      </c>
      <c r="H33" s="554">
        <f>SUMIF($F34:$F40,$F3,H34:H40)</f>
        <v>0</v>
      </c>
      <c r="I33" s="554">
        <f>SUMIF($F34:$F40,$F3,I34:I40)</f>
        <v>0</v>
      </c>
      <c r="J33" s="270" t="str">
        <f>FHD_NOTE_P_4</f>
        <v>Указываются суммарные расходы на приобретение топлива всех видов.</v>
      </c>
      <c r="K33" s="1661" t="str">
        <f>IF((LEN(E33)-LEN(SUBSTITUTE(E33,".","")))/LEN(".")=1,"p","")</f>
        <v>p</v>
      </c>
    </row>
    <row s="1666" customFormat="1" customHeight="1" ht="0.75">
      <c r="A34" s="2192"/>
      <c r="B34" s="2193" t="str">
        <f>E33&amp;".0"</f>
        <v>2.2.0</v>
      </c>
      <c r="C34" s="1162"/>
      <c r="D34" s="556"/>
      <c r="E34" s="557"/>
      <c r="F34" s="558"/>
      <c r="G34" s="559"/>
      <c r="H34" s="493"/>
      <c r="I34" s="493"/>
      <c r="J34" s="560"/>
      <c r="K34" s="1661" t="str">
        <f>IF((LEN(E34)-LEN(SUBSTITUTE(E34,".","")))/LEN(".")=1,"p","")</f>
        <v/>
      </c>
      <c r="L34" s="1661"/>
      <c r="M34" s="1661"/>
      <c r="N34" s="1661"/>
      <c r="O34" s="1661"/>
      <c r="P34" s="1661"/>
      <c r="Q34" s="1661"/>
      <c r="R34" s="1661"/>
      <c r="S34" s="1661"/>
      <c r="T34" s="1661"/>
      <c r="U34" s="561"/>
      <c r="V34" s="1661"/>
      <c r="W34" s="1661"/>
      <c r="X34" s="1661"/>
      <c r="Y34" s="1661"/>
      <c r="Z34" s="1661"/>
      <c r="AA34" s="562"/>
      <c r="AB34" s="562"/>
      <c r="AC34" s="562"/>
      <c r="AD34" s="562"/>
      <c r="AE34" s="562"/>
    </row>
    <row s="1666" customFormat="1" customHeight="1" ht="0.75">
      <c r="A35" s="2192"/>
      <c r="B35" s="2193"/>
      <c r="C35" s="1162"/>
      <c r="D35" s="556"/>
      <c r="E35" s="563"/>
      <c r="F35" s="564"/>
      <c r="G35" s="559"/>
      <c r="H35" s="565"/>
      <c r="I35" s="565"/>
      <c r="J35" s="560"/>
      <c r="K35" s="1661" t="str">
        <f>IF((LEN(E35)-LEN(SUBSTITUTE(E35,".","")))/LEN(".")=1,"p","")</f>
        <v/>
      </c>
      <c r="L35" s="1661"/>
      <c r="M35" s="1661"/>
      <c r="N35" s="1661"/>
      <c r="O35" s="1661"/>
      <c r="P35" s="1661"/>
      <c r="Q35" s="1661"/>
      <c r="R35" s="1661"/>
      <c r="S35" s="1661"/>
      <c r="T35" s="1661"/>
      <c r="U35" s="561"/>
      <c r="V35" s="1661"/>
      <c r="W35" s="1661"/>
      <c r="X35" s="1661"/>
      <c r="Y35" s="1661"/>
      <c r="Z35" s="1661"/>
      <c r="AA35" s="562"/>
      <c r="AB35" s="562"/>
      <c r="AC35" s="562"/>
      <c r="AD35" s="562"/>
      <c r="AE35" s="562"/>
    </row>
    <row s="1666" customFormat="1" customHeight="1" ht="0.75">
      <c r="A36" s="2192"/>
      <c r="B36" s="2193"/>
      <c r="C36" s="1162"/>
      <c r="D36" s="556"/>
      <c r="E36" s="563"/>
      <c r="F36" s="564"/>
      <c r="G36" s="559"/>
      <c r="H36" s="565"/>
      <c r="I36" s="565"/>
      <c r="J36" s="560"/>
      <c r="K36" s="1661" t="str">
        <f>IF((LEN(E36)-LEN(SUBSTITUTE(E36,".","")))/LEN(".")=1,"p","")</f>
        <v/>
      </c>
      <c r="L36" s="1661"/>
      <c r="M36" s="1661"/>
      <c r="N36" s="1661"/>
      <c r="O36" s="1661"/>
      <c r="P36" s="1661"/>
      <c r="Q36" s="1661"/>
      <c r="R36" s="1661"/>
      <c r="S36" s="1661"/>
      <c r="T36" s="1661"/>
      <c r="U36" s="561"/>
      <c r="V36" s="1661"/>
      <c r="W36" s="1661"/>
      <c r="X36" s="1661"/>
      <c r="Y36" s="1661"/>
      <c r="Z36" s="1661"/>
      <c r="AA36" s="562"/>
      <c r="AB36" s="562"/>
      <c r="AC36" s="562"/>
      <c r="AD36" s="562"/>
      <c r="AE36" s="562"/>
    </row>
    <row s="1666" customFormat="1" customHeight="1" ht="0.75">
      <c r="A37" s="2192"/>
      <c r="B37" s="2193"/>
      <c r="C37" s="1162"/>
      <c r="D37" s="556"/>
      <c r="E37" s="563"/>
      <c r="F37" s="564"/>
      <c r="G37" s="559"/>
      <c r="H37" s="565"/>
      <c r="I37" s="565"/>
      <c r="J37" s="560"/>
      <c r="K37" s="1661" t="str">
        <f>IF((LEN(E37)-LEN(SUBSTITUTE(E37,".","")))/LEN(".")=1,"p","")</f>
        <v/>
      </c>
      <c r="L37" s="1661"/>
      <c r="M37" s="1661"/>
      <c r="N37" s="1661"/>
      <c r="O37" s="1661"/>
      <c r="P37" s="1661"/>
      <c r="Q37" s="1661"/>
      <c r="R37" s="1661"/>
      <c r="S37" s="1661"/>
      <c r="T37" s="1661"/>
      <c r="U37" s="561"/>
      <c r="V37" s="1661"/>
      <c r="W37" s="1661"/>
      <c r="X37" s="1661"/>
      <c r="Y37" s="1661"/>
      <c r="Z37" s="1661"/>
      <c r="AA37" s="562"/>
      <c r="AB37" s="562"/>
      <c r="AC37" s="562"/>
      <c r="AD37" s="562"/>
      <c r="AE37" s="562"/>
    </row>
    <row s="1666" customFormat="1" customHeight="1" ht="0.75">
      <c r="A38" s="2192"/>
      <c r="B38" s="2193"/>
      <c r="C38" s="1162"/>
      <c r="D38" s="556"/>
      <c r="E38" s="563"/>
      <c r="F38" s="564"/>
      <c r="G38" s="559"/>
      <c r="H38" s="565"/>
      <c r="I38" s="565"/>
      <c r="J38" s="560"/>
      <c r="K38" s="1661" t="str">
        <f>IF((LEN(E38)-LEN(SUBSTITUTE(E38,".","")))/LEN(".")=1,"p","")</f>
        <v/>
      </c>
      <c r="L38" s="1661"/>
      <c r="M38" s="1661"/>
      <c r="N38" s="1661"/>
      <c r="O38" s="1661"/>
      <c r="P38" s="1661"/>
      <c r="Q38" s="1661"/>
      <c r="R38" s="1661"/>
      <c r="S38" s="1661"/>
      <c r="T38" s="1661"/>
      <c r="U38" s="561"/>
      <c r="V38" s="1661"/>
      <c r="W38" s="1661"/>
      <c r="X38" s="1661"/>
      <c r="Y38" s="1661"/>
      <c r="Z38" s="1661"/>
      <c r="AA38" s="562"/>
      <c r="AB38" s="562"/>
      <c r="AC38" s="562"/>
      <c r="AD38" s="562"/>
      <c r="AE38" s="562"/>
    </row>
    <row s="1666" customFormat="1" customHeight="1" ht="0.75">
      <c r="A39" s="2192"/>
      <c r="B39" s="2193"/>
      <c r="C39" s="1162"/>
      <c r="D39" s="556"/>
      <c r="E39" s="563"/>
      <c r="F39" s="564"/>
      <c r="G39" s="559"/>
      <c r="H39" s="493"/>
      <c r="I39" s="493"/>
      <c r="J39" s="560"/>
      <c r="K39" s="1661" t="str">
        <f>IF((LEN(E39)-LEN(SUBSTITUTE(E39,".","")))/LEN(".")=1,"p","")</f>
        <v/>
      </c>
      <c r="L39" s="1661"/>
      <c r="M39" s="1661"/>
      <c r="N39" s="1661"/>
      <c r="O39" s="1661"/>
      <c r="P39" s="1661"/>
      <c r="Q39" s="1661"/>
      <c r="R39" s="1661"/>
      <c r="S39" s="1661"/>
      <c r="T39" s="1661"/>
      <c r="U39" s="561"/>
      <c r="V39" s="1661"/>
      <c r="W39" s="1661"/>
      <c r="X39" s="1661"/>
      <c r="Y39" s="1661"/>
      <c r="Z39" s="1661"/>
      <c r="AA39" s="562"/>
      <c r="AB39" s="562"/>
      <c r="AC39" s="562"/>
      <c r="AD39" s="562"/>
      <c r="AE39" s="562"/>
    </row>
    <row s="1383" customFormat="1" customHeight="1" ht="15">
      <c r="A40" s="2192"/>
      <c r="C40" s="1661"/>
      <c r="D40" s="1658"/>
      <c r="E40" s="566"/>
      <c r="F40" s="567" t="s">
        <v>580</v>
      </c>
      <c r="G40" s="568"/>
      <c r="H40" s="569"/>
      <c r="I40" s="569"/>
      <c r="J40" s="281"/>
      <c r="K40" s="1661" t="str">
        <f>IF((LEN(E40)-LEN(SUBSTITUTE(E40,".","")))/LEN(".")=1,"p","")</f>
        <v/>
      </c>
      <c r="L40" s="1661"/>
      <c r="M40" s="1661"/>
      <c r="R40" s="1661"/>
      <c r="U40" s="540"/>
      <c r="AA40" s="1657"/>
      <c r="AB40" s="1657"/>
      <c r="AC40" s="1657"/>
      <c r="AD40" s="1657"/>
      <c r="AE40" s="1657"/>
    </row>
    <row customHeight="1" ht="11.25" hidden="1">
      <c r="A41" s="2192" t="s">
        <v>581</v>
      </c>
      <c r="D41" s="1663"/>
      <c r="E41" s="542" t="str">
        <f>FHD_NUM_P_5</f>
        <v/>
      </c>
      <c r="F41" s="1541" t="str">
        <f>FHD_P_5</f>
        <v/>
      </c>
      <c r="G41" s="1903" t="s">
        <v>563</v>
      </c>
      <c r="H41" s="553"/>
      <c r="I41" s="553"/>
      <c r="J41" s="270" t="str">
        <f>FHD_NOTE_P_5</f>
        <v/>
      </c>
      <c r="K41" s="1661" t="str">
        <f>IF((LEN(E41)-LEN(SUBSTITUTE(E41,".","")))/LEN(".")=1,"p","")</f>
        <v/>
      </c>
    </row>
    <row customHeight="1" ht="11.25" hidden="1">
      <c r="A42" s="2192"/>
      <c r="D42" s="1663"/>
      <c r="E42" s="542" t="str">
        <f>FHD_NUM_P_6</f>
        <v/>
      </c>
      <c r="F42" s="1541" t="str">
        <f>FHD_P_6</f>
        <v/>
      </c>
      <c r="G42" s="1903" t="s">
        <v>563</v>
      </c>
      <c r="H42" s="553"/>
      <c r="I42" s="553"/>
      <c r="J42" s="270" t="str">
        <f>FHD_NOTE_P_6</f>
        <v/>
      </c>
      <c r="K42" s="1661" t="str">
        <f>IF((LEN(E42)-LEN(SUBSTITUTE(E42,".","")))/LEN(".")=1,"p","")</f>
        <v/>
      </c>
    </row>
    <row customHeight="1" ht="11.25" hidden="1">
      <c r="A43" s="2192"/>
      <c r="D43" s="1663"/>
      <c r="E43" s="542" t="str">
        <f>FHD_NUM_P_7</f>
        <v/>
      </c>
      <c r="F43" s="1541" t="str">
        <f>FHD_P_7</f>
        <v/>
      </c>
      <c r="G43" s="1903" t="s">
        <v>563</v>
      </c>
      <c r="H43" s="553"/>
      <c r="I43" s="553"/>
      <c r="J43" s="270" t="str">
        <f>FHD_NOTE_P_7</f>
        <v/>
      </c>
      <c r="K43" s="1661" t="str">
        <f>IF((LEN(E43)-LEN(SUBSTITUTE(E43,".","")))/LEN(".")=1,"p","")</f>
        <v/>
      </c>
    </row>
    <row customHeight="1" ht="11.25">
      <c r="D44" s="1663"/>
      <c r="E44" s="542" t="str">
        <f>FHD_NUM_P_8</f>
        <v>2.3</v>
      </c>
      <c r="F44" s="1541" t="str">
        <f>FHD_P_8</f>
        <v>Расходы на приобретаемую электрическую энергию (мощность), используемую в технологическом процессе</v>
      </c>
      <c r="G44" s="1903" t="s">
        <v>563</v>
      </c>
      <c r="H44" s="553"/>
      <c r="I44" s="553"/>
      <c r="J44" s="270" t="str">
        <f>FHD_NOTE_P_8</f>
        <v/>
      </c>
      <c r="K44" s="1661" t="str">
        <f>IF((LEN(E44)-LEN(SUBSTITUTE(E44,".","")))/LEN(".")=1,"p","")</f>
        <v>p</v>
      </c>
    </row>
    <row customHeight="1" ht="11.25">
      <c r="D45" s="1663"/>
      <c r="E45" s="542" t="str">
        <f>FHD_NUM_P_9</f>
        <v>2.3.1</v>
      </c>
      <c r="F45" s="1675" t="str">
        <f>FHD_P_9</f>
        <v>Средневзвешенная стоимость 1 кВт.ч (с учетом мощности)</v>
      </c>
      <c r="G45" s="1903" t="s">
        <v>582</v>
      </c>
      <c r="H45" s="553"/>
      <c r="I45" s="553"/>
      <c r="J45" s="270" t="str">
        <f>FHD_NOTE_P_9</f>
        <v/>
      </c>
      <c r="K45" s="1661" t="str">
        <f>IF((LEN(E45)-LEN(SUBSTITUTE(E45,".","")))/LEN(".")=1,"p","")</f>
        <v/>
      </c>
    </row>
    <row s="1383" customFormat="1" customHeight="1" ht="11.25">
      <c r="A46" s="982"/>
      <c r="C46" s="1661"/>
      <c r="D46" s="570"/>
      <c r="E46" s="542" t="str">
        <f>FHD_NUM_P_10</f>
        <v>2.3.2</v>
      </c>
      <c r="F46" s="1675" t="str">
        <f>FHD_P_10</f>
        <v>Объём приобретения электрической энергии</v>
      </c>
      <c r="G46" s="1903" t="s">
        <v>583</v>
      </c>
      <c r="H46" s="553"/>
      <c r="I46" s="553"/>
      <c r="J46" s="270" t="str">
        <f>FHD_NOTE_P_10</f>
        <v/>
      </c>
      <c r="K46" s="1661" t="str">
        <f>IF((LEN(E46)-LEN(SUBSTITUTE(E46,".","")))/LEN(".")=1,"p","")</f>
        <v/>
      </c>
      <c r="L46" s="1661"/>
      <c r="M46" s="1661"/>
      <c r="R46" s="1661"/>
      <c r="U46" s="540"/>
      <c r="AA46" s="1657"/>
      <c r="AB46" s="1657"/>
      <c r="AC46" s="1657"/>
      <c r="AD46" s="1657"/>
      <c r="AE46" s="1657"/>
    </row>
    <row s="1383" customFormat="1" customHeight="1" ht="11.25">
      <c r="A47" s="984" t="s">
        <v>584</v>
      </c>
      <c r="C47" s="1661"/>
      <c r="D47" s="571"/>
      <c r="E47" s="542" t="str">
        <f>FHD_NUM_P_11</f>
        <v>2.4</v>
      </c>
      <c r="F47" s="1541" t="str">
        <f>FHD_P_11</f>
        <v>Расходы на приобретение холодной воды, используемой в технологическом процессе</v>
      </c>
      <c r="G47" s="1903" t="s">
        <v>563</v>
      </c>
      <c r="H47" s="553"/>
      <c r="I47" s="553"/>
      <c r="J47" s="270" t="str">
        <f>FHD_NOTE_P_11</f>
        <v/>
      </c>
      <c r="K47" s="1661" t="str">
        <f>IF((LEN(E47)-LEN(SUBSTITUTE(E47,".","")))/LEN(".")=1,"p","")</f>
        <v>p</v>
      </c>
      <c r="L47" s="1661"/>
      <c r="M47" s="1661"/>
      <c r="R47" s="1661"/>
      <c r="U47" s="540"/>
      <c r="AA47" s="1657"/>
      <c r="AB47" s="1657"/>
      <c r="AC47" s="1657"/>
      <c r="AD47" s="1657"/>
      <c r="AE47" s="1657"/>
    </row>
    <row s="1383" customFormat="1" customHeight="1" ht="18">
      <c r="A48" s="984" t="s">
        <v>585</v>
      </c>
      <c r="C48" s="1661"/>
      <c r="D48" s="1663"/>
      <c r="E48" s="542" t="str">
        <f>FHD_NUM_P_12</f>
        <v>2.5</v>
      </c>
      <c r="F48" s="1541" t="str">
        <f>FHD_P_12</f>
        <v>Расходы на химические реагенты, используемые в технологическом процессе</v>
      </c>
      <c r="G48" s="1903" t="s">
        <v>563</v>
      </c>
      <c r="H48" s="573"/>
      <c r="I48" s="573"/>
      <c r="J48" s="270" t="str">
        <f>FHD_NOTE_P_12</f>
        <v/>
      </c>
      <c r="K48" s="1661" t="str">
        <f>IF((LEN(E48)-LEN(SUBSTITUTE(E48,".","")))/LEN(".")=1,"p","")</f>
        <v>p</v>
      </c>
      <c r="L48" s="1661"/>
      <c r="M48" s="1661"/>
      <c r="R48" s="1661"/>
      <c r="U48" s="540"/>
      <c r="AA48" s="1657"/>
      <c r="AB48" s="1657"/>
      <c r="AC48" s="1657"/>
      <c r="AD48" s="1657"/>
      <c r="AE48" s="1657"/>
    </row>
    <row s="1382" customFormat="1" customHeight="1" ht="11.25">
      <c r="A49" s="983"/>
      <c r="C49" s="725"/>
      <c r="D49" s="668"/>
      <c r="E49" s="542" t="str">
        <f>FHD_NUM_P_13</f>
        <v>2.6</v>
      </c>
      <c r="F49" s="1541"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03" t="s">
        <v>563</v>
      </c>
      <c r="H49" s="553"/>
      <c r="I49" s="553"/>
      <c r="J49" s="270" t="str">
        <f>FHD_NOTE_P_13</f>
        <v/>
      </c>
      <c r="K49" s="1661" t="str">
        <f>IF((LEN(E49)-LEN(SUBSTITUTE(E49,".","")))/LEN(".")=1,"p","")</f>
        <v>p</v>
      </c>
      <c r="L49" s="725"/>
      <c r="M49" s="725"/>
      <c r="R49" s="725"/>
      <c r="U49" s="726"/>
      <c r="AA49" s="727"/>
      <c r="AB49" s="727"/>
      <c r="AC49" s="727"/>
      <c r="AD49" s="727"/>
      <c r="AE49" s="727"/>
    </row>
    <row s="1382" customFormat="1" customHeight="1" ht="11.25">
      <c r="A50" s="983"/>
      <c r="C50" s="725"/>
      <c r="D50" s="668"/>
      <c r="E50" s="542" t="str">
        <f>FHD_NUM_P_14</f>
        <v>2.6.1</v>
      </c>
      <c r="F50" s="1675" t="str">
        <f>FHD_P_14</f>
        <v>Расходы на оплату труда основного производственного персонала</v>
      </c>
      <c r="G50" s="1903" t="s">
        <v>563</v>
      </c>
      <c r="H50" s="553"/>
      <c r="I50" s="553"/>
      <c r="J50" s="270" t="str">
        <f>FHD_NOTE_P_14</f>
        <v/>
      </c>
      <c r="K50" s="1661" t="str">
        <f>IF((LEN(E50)-LEN(SUBSTITUTE(E50,".","")))/LEN(".")=1,"p","")</f>
        <v/>
      </c>
      <c r="L50" s="725"/>
      <c r="M50" s="725"/>
      <c r="R50" s="725"/>
      <c r="U50" s="726"/>
      <c r="AA50" s="727"/>
      <c r="AB50" s="727"/>
      <c r="AC50" s="727"/>
      <c r="AD50" s="727"/>
      <c r="AE50" s="727"/>
    </row>
    <row s="1382" customFormat="1" customHeight="1" ht="11.25">
      <c r="A51" s="983"/>
      <c r="C51" s="725"/>
      <c r="D51" s="668"/>
      <c r="E51" s="542" t="str">
        <f>FHD_NUM_P_15</f>
        <v>2.6.2</v>
      </c>
      <c r="F51" s="1675" t="str">
        <f>FHD_P_15</f>
        <v>Страховые взносы на обязательное социальное страхование, выплачиваемые из фонда оплаты труда основного производственного персонала</v>
      </c>
      <c r="G51" s="1903" t="s">
        <v>563</v>
      </c>
      <c r="H51" s="553"/>
      <c r="I51" s="553"/>
      <c r="J51" s="270" t="str">
        <f>FHD_NOTE_P_15</f>
        <v/>
      </c>
      <c r="K51" s="1661" t="str">
        <f>IF((LEN(E51)-LEN(SUBSTITUTE(E51,".","")))/LEN(".")=1,"p","")</f>
        <v/>
      </c>
      <c r="L51" s="725"/>
      <c r="M51" s="725"/>
      <c r="R51" s="725"/>
      <c r="U51" s="726"/>
      <c r="AA51" s="727"/>
      <c r="AB51" s="727"/>
      <c r="AC51" s="727"/>
      <c r="AD51" s="727"/>
      <c r="AE51" s="727"/>
    </row>
    <row s="1383" customFormat="1" customHeight="1" ht="11.25">
      <c r="A52" s="982"/>
      <c r="C52" s="1661"/>
      <c r="D52" s="1663"/>
      <c r="E52" s="542" t="str">
        <f>FHD_NUM_P_16</f>
        <v>2.7</v>
      </c>
      <c r="F52" s="1541"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03" t="s">
        <v>563</v>
      </c>
      <c r="H52" s="553"/>
      <c r="I52" s="553"/>
      <c r="J52" s="270" t="str">
        <f>FHD_NOTE_P_16</f>
        <v/>
      </c>
      <c r="K52" s="1661" t="str">
        <f>IF((LEN(E52)-LEN(SUBSTITUTE(E52,".","")))/LEN(".")=1,"p","")</f>
        <v>p</v>
      </c>
      <c r="L52" s="1661"/>
      <c r="M52" s="1667"/>
      <c r="N52" s="533"/>
      <c r="O52" s="533"/>
      <c r="R52" s="1661"/>
      <c r="U52" s="540"/>
      <c r="AA52" s="1657"/>
      <c r="AB52" s="1657"/>
      <c r="AC52" s="1657"/>
      <c r="AD52" s="1657"/>
      <c r="AE52" s="1657"/>
    </row>
    <row s="1383" customFormat="1" customHeight="1" ht="11.25">
      <c r="A53" s="982"/>
      <c r="C53" s="1661"/>
      <c r="D53" s="1663"/>
      <c r="E53" s="542" t="str">
        <f>FHD_NUM_P_17</f>
        <v>2.7.1</v>
      </c>
      <c r="F53" s="1675" t="str">
        <f>FHD_P_17</f>
        <v>Расходы на оплату труда административно-управленческого персонала</v>
      </c>
      <c r="G53" s="1903" t="s">
        <v>563</v>
      </c>
      <c r="H53" s="553"/>
      <c r="I53" s="553"/>
      <c r="J53" s="270" t="str">
        <f>FHD_NOTE_P_17</f>
        <v/>
      </c>
      <c r="K53" s="1661" t="str">
        <f>IF((LEN(E53)-LEN(SUBSTITUTE(E53,".","")))/LEN(".")=1,"p","")</f>
        <v/>
      </c>
      <c r="L53" s="1661"/>
      <c r="M53" s="1667"/>
      <c r="N53" s="533"/>
      <c r="O53" s="533"/>
      <c r="R53" s="1661"/>
      <c r="U53" s="540"/>
      <c r="AA53" s="1657"/>
      <c r="AB53" s="1657"/>
      <c r="AC53" s="1657"/>
      <c r="AD53" s="1657"/>
      <c r="AE53" s="1657"/>
    </row>
    <row s="1383" customFormat="1" customHeight="1" ht="11.25">
      <c r="A54" s="982"/>
      <c r="C54" s="1661"/>
      <c r="D54" s="1663"/>
      <c r="E54" s="542" t="str">
        <f>FHD_NUM_P_18</f>
        <v>2.7.2</v>
      </c>
      <c r="F54" s="1675"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03" t="s">
        <v>563</v>
      </c>
      <c r="H54" s="553"/>
      <c r="I54" s="553"/>
      <c r="J54" s="270" t="str">
        <f>FHD_NOTE_P_18</f>
        <v/>
      </c>
      <c r="K54" s="1661" t="str">
        <f>IF((LEN(E54)-LEN(SUBSTITUTE(E54,".","")))/LEN(".")=1,"p","")</f>
        <v/>
      </c>
      <c r="L54" s="1661"/>
      <c r="M54" s="1667"/>
      <c r="N54" s="533"/>
      <c r="O54" s="533"/>
      <c r="R54" s="1661"/>
      <c r="U54" s="540"/>
      <c r="AA54" s="1657"/>
      <c r="AB54" s="1657"/>
      <c r="AC54" s="1657"/>
      <c r="AD54" s="1657"/>
      <c r="AE54" s="1657"/>
    </row>
    <row s="1383" customFormat="1" customHeight="1" ht="11.25">
      <c r="A55" s="982"/>
      <c r="C55" s="1661"/>
      <c r="D55" s="571"/>
      <c r="E55" s="542" t="str">
        <f>FHD_NUM_P_19</f>
        <v>2.8</v>
      </c>
      <c r="F55" s="1541" t="str">
        <f>FHD_P_19</f>
        <v>Расходы на амортизацию основных средств и нематериальных активов</v>
      </c>
      <c r="G55" s="1903" t="s">
        <v>563</v>
      </c>
      <c r="H55" s="553"/>
      <c r="I55" s="553"/>
      <c r="J55" s="270" t="str">
        <f>FHD_NOTE_P_19</f>
        <v/>
      </c>
      <c r="K55" s="1661" t="str">
        <f>IF((LEN(E55)-LEN(SUBSTITUTE(E55,".","")))/LEN(".")=1,"p","")</f>
        <v>p</v>
      </c>
      <c r="L55" s="1661"/>
      <c r="M55" s="1661"/>
      <c r="R55" s="1661"/>
      <c r="U55" s="540"/>
      <c r="AA55" s="1657"/>
      <c r="AB55" s="1657"/>
      <c r="AC55" s="1657"/>
      <c r="AD55" s="1657"/>
      <c r="AE55" s="1657"/>
    </row>
    <row s="1383" customFormat="1" customHeight="1" ht="11.25">
      <c r="A56" s="982"/>
      <c r="C56" s="1661"/>
      <c r="D56" s="571"/>
      <c r="E56" s="542" t="str">
        <f>FHD_NUM_P_20</f>
        <v>2.8.1</v>
      </c>
      <c r="F56" s="1675" t="str">
        <f>FHD_P_20</f>
        <v>Расходы на амортизацию основных средств</v>
      </c>
      <c r="G56" s="1903" t="s">
        <v>563</v>
      </c>
      <c r="H56" s="553"/>
      <c r="I56" s="553"/>
      <c r="J56" s="270" t="str">
        <f>FHD_NOTE_P_20</f>
        <v/>
      </c>
      <c r="K56" s="1661" t="str">
        <f>IF((LEN(E56)-LEN(SUBSTITUTE(E56,".","")))/LEN(".")=1,"p","")</f>
        <v/>
      </c>
      <c r="L56" s="1661"/>
      <c r="M56" s="1661"/>
      <c r="R56" s="1661"/>
      <c r="U56" s="540"/>
      <c r="AA56" s="1657"/>
      <c r="AB56" s="1657"/>
      <c r="AC56" s="1657"/>
      <c r="AD56" s="1657"/>
      <c r="AE56" s="1657"/>
    </row>
    <row s="1383" customFormat="1" customHeight="1" ht="11.25">
      <c r="A57" s="982"/>
      <c r="C57" s="1661"/>
      <c r="D57" s="571"/>
      <c r="E57" s="542" t="str">
        <f>FHD_NUM_P_21</f>
        <v>2.8.2</v>
      </c>
      <c r="F57" s="1675" t="str">
        <f>FHD_P_21</f>
        <v>Расходы на амортизацию нематериальных активов</v>
      </c>
      <c r="G57" s="1903" t="s">
        <v>563</v>
      </c>
      <c r="H57" s="553"/>
      <c r="I57" s="553"/>
      <c r="J57" s="270" t="str">
        <f>FHD_NOTE_P_21</f>
        <v/>
      </c>
      <c r="K57" s="1661" t="str">
        <f>IF((LEN(E57)-LEN(SUBSTITUTE(E57,".","")))/LEN(".")=1,"p","")</f>
        <v/>
      </c>
      <c r="L57" s="1661"/>
      <c r="M57" s="1661"/>
      <c r="R57" s="1661"/>
      <c r="U57" s="540"/>
      <c r="AA57" s="1657"/>
      <c r="AB57" s="1657"/>
      <c r="AC57" s="1657"/>
      <c r="AD57" s="1657"/>
      <c r="AE57" s="1657"/>
    </row>
    <row s="1383" customFormat="1" customHeight="1" ht="11.25">
      <c r="A58" s="982"/>
      <c r="C58" s="1661"/>
      <c r="D58" s="1663"/>
      <c r="E58" s="542" t="str">
        <f>FHD_NUM_P_22</f>
        <v>2.9</v>
      </c>
      <c r="F58" s="1541" t="str">
        <f>FHD_P_22</f>
        <v>Расходы на аренду имущества, используемого для осуществления регулируемого вида деятельности</v>
      </c>
      <c r="G58" s="1903" t="s">
        <v>563</v>
      </c>
      <c r="H58" s="553"/>
      <c r="I58" s="553"/>
      <c r="J58" s="270" t="str">
        <f>FHD_NOTE_P_22</f>
        <v/>
      </c>
      <c r="K58" s="1661" t="str">
        <f>IF((LEN(E58)-LEN(SUBSTITUTE(E58,".","")))/LEN(".")=1,"p","")</f>
        <v>p</v>
      </c>
      <c r="L58" s="1661"/>
      <c r="M58" s="1661"/>
      <c r="R58" s="1661"/>
      <c r="U58" s="540"/>
      <c r="AA58" s="1657"/>
      <c r="AB58" s="1657"/>
      <c r="AC58" s="1657"/>
      <c r="AD58" s="1657"/>
      <c r="AE58" s="1657"/>
    </row>
    <row s="1383" customFormat="1" customHeight="1" ht="11.25">
      <c r="A59" s="982"/>
      <c r="C59" s="1661"/>
      <c r="D59" s="571"/>
      <c r="E59" s="542" t="str">
        <f>FHD_NUM_P_23</f>
        <v>2.10</v>
      </c>
      <c r="F59" s="1541" t="str">
        <f>FHD_P_23</f>
        <v>Общепроизводственные расходы, в том числе:</v>
      </c>
      <c r="G59" s="1903" t="s">
        <v>563</v>
      </c>
      <c r="H59" s="553"/>
      <c r="I59" s="553"/>
      <c r="J59" s="270" t="str">
        <f>FHD_NOTE_P_23</f>
        <v>Указывается общая сумма общепроизводственных расходов.</v>
      </c>
      <c r="K59" s="1661" t="str">
        <f>IF((LEN(E59)-LEN(SUBSTITUTE(E59,".","")))/LEN(".")=1,"p","")</f>
        <v>p</v>
      </c>
      <c r="L59" s="1661"/>
      <c r="M59" s="1661"/>
      <c r="R59" s="1661"/>
      <c r="U59" s="540"/>
      <c r="AA59" s="1657"/>
      <c r="AB59" s="1657"/>
      <c r="AC59" s="1657"/>
      <c r="AD59" s="1657"/>
      <c r="AE59" s="1657"/>
    </row>
    <row s="1383" customFormat="1" customHeight="1" ht="11.25">
      <c r="A60" s="982"/>
      <c r="C60" s="1661"/>
      <c r="D60" s="571"/>
      <c r="E60" s="542" t="str">
        <f>FHD_NUM_P_24</f>
        <v>2.10.1</v>
      </c>
      <c r="F60" s="1675" t="str">
        <f>FHD_P_24</f>
        <v>Расходы на текущий ремонт</v>
      </c>
      <c r="G60" s="1903" t="s">
        <v>563</v>
      </c>
      <c r="H60" s="553"/>
      <c r="I60" s="553"/>
      <c r="J60" s="270" t="str">
        <f>FHD_NOTE_P_24</f>
        <v>Указываются расходы на текущий ремонт, отнесенные к общепроизводственным расходам.</v>
      </c>
      <c r="K60" s="1661" t="str">
        <f>IF((LEN(E60)-LEN(SUBSTITUTE(E60,".","")))/LEN(".")=1,"p","")</f>
        <v/>
      </c>
      <c r="L60" s="1661"/>
      <c r="M60" s="1661"/>
      <c r="R60" s="1661"/>
      <c r="U60" s="540"/>
      <c r="AA60" s="1657"/>
      <c r="AB60" s="1657"/>
      <c r="AC60" s="1657"/>
      <c r="AD60" s="1657"/>
      <c r="AE60" s="1657"/>
    </row>
    <row s="1383" customFormat="1" customHeight="1" ht="11.25">
      <c r="A61" s="982"/>
      <c r="C61" s="1661"/>
      <c r="D61" s="571"/>
      <c r="E61" s="542" t="str">
        <f>FHD_NUM_P_25</f>
        <v>2.10.2</v>
      </c>
      <c r="F61" s="1675" t="str">
        <f>FHD_P_25</f>
        <v>Расходы на капитальный ремонт</v>
      </c>
      <c r="G61" s="1903" t="s">
        <v>563</v>
      </c>
      <c r="H61" s="553"/>
      <c r="I61" s="553"/>
      <c r="J61" s="270" t="str">
        <f>FHD_NOTE_P_25</f>
        <v>Указываются расходы на капитальный ремонт, отнесенные к общепроизводственным расходам.</v>
      </c>
      <c r="K61" s="1661" t="str">
        <f>IF((LEN(E61)-LEN(SUBSTITUTE(E61,".","")))/LEN(".")=1,"p","")</f>
        <v/>
      </c>
      <c r="L61" s="1661"/>
      <c r="M61" s="1661"/>
      <c r="R61" s="1661"/>
      <c r="U61" s="540"/>
      <c r="AA61" s="1657"/>
      <c r="AB61" s="1657"/>
      <c r="AC61" s="1657"/>
      <c r="AD61" s="1657"/>
      <c r="AE61" s="1657"/>
    </row>
    <row s="1383" customFormat="1" customHeight="1" ht="11.25">
      <c r="A62" s="982"/>
      <c r="C62" s="1661"/>
      <c r="D62" s="1663"/>
      <c r="E62" s="542" t="str">
        <f>FHD_NUM_P_26</f>
        <v>2.11</v>
      </c>
      <c r="F62" s="1541" t="str">
        <f>FHD_P_26</f>
        <v>Общехозяйственные расходы, в том числе:</v>
      </c>
      <c r="G62" s="1903" t="s">
        <v>563</v>
      </c>
      <c r="H62" s="553"/>
      <c r="I62" s="553"/>
      <c r="J62" s="270" t="str">
        <f>FHD_NOTE_P_26</f>
        <v>Указывается общая сумма общехозяйственных расходов.</v>
      </c>
      <c r="K62" s="1661" t="str">
        <f>IF((LEN(E62)-LEN(SUBSTITUTE(E62,".","")))/LEN(".")=1,"p","")</f>
        <v>p</v>
      </c>
      <c r="L62" s="1661"/>
      <c r="M62" s="1661"/>
      <c r="R62" s="1661"/>
      <c r="U62" s="540"/>
      <c r="AA62" s="1657"/>
      <c r="AB62" s="1657"/>
      <c r="AC62" s="1657"/>
      <c r="AD62" s="1657"/>
      <c r="AE62" s="1657"/>
    </row>
    <row s="1383" customFormat="1" customHeight="1" ht="11.25">
      <c r="A63" s="982"/>
      <c r="C63" s="1661"/>
      <c r="D63" s="1663"/>
      <c r="E63" s="542" t="str">
        <f>FHD_NUM_P_27</f>
        <v>2.11.1</v>
      </c>
      <c r="F63" s="1675" t="str">
        <f>FHD_P_27</f>
        <v>Расходы на текущий ремонт</v>
      </c>
      <c r="G63" s="1903" t="s">
        <v>563</v>
      </c>
      <c r="H63" s="553"/>
      <c r="I63" s="553"/>
      <c r="J63" s="270" t="str">
        <f>FHD_NOTE_P_27</f>
        <v>Указываются расходы на текущий ремонт, отнесенные к общехозяйственным расходам.</v>
      </c>
      <c r="K63" s="1661" t="str">
        <f>IF((LEN(E63)-LEN(SUBSTITUTE(E63,".","")))/LEN(".")=1,"p","")</f>
        <v/>
      </c>
      <c r="L63" s="1661"/>
      <c r="M63" s="1661"/>
      <c r="R63" s="1661"/>
      <c r="U63" s="540"/>
      <c r="AA63" s="1657"/>
      <c r="AB63" s="1657"/>
      <c r="AC63" s="1657"/>
      <c r="AD63" s="1657"/>
      <c r="AE63" s="1657"/>
    </row>
    <row s="1383" customFormat="1" customHeight="1" ht="11.25">
      <c r="A64" s="982"/>
      <c r="C64" s="1661"/>
      <c r="D64" s="1663"/>
      <c r="E64" s="542" t="str">
        <f>FHD_NUM_P_28</f>
        <v>2.11.2</v>
      </c>
      <c r="F64" s="1675" t="str">
        <f>FHD_P_28</f>
        <v>Расходы на капитальный ремонт</v>
      </c>
      <c r="G64" s="1903" t="s">
        <v>563</v>
      </c>
      <c r="H64" s="553"/>
      <c r="I64" s="553"/>
      <c r="J64" s="270" t="str">
        <f>FHD_NOTE_P_28</f>
        <v>Указываются расходы на капитальный ремонт, отнесенные к общехозяйственным расходам.</v>
      </c>
      <c r="K64" s="1661" t="str">
        <f>IF((LEN(E64)-LEN(SUBSTITUTE(E64,".","")))/LEN(".")=1,"p","")</f>
        <v/>
      </c>
      <c r="L64" s="1661"/>
      <c r="M64" s="1661"/>
      <c r="R64" s="1661"/>
      <c r="U64" s="540"/>
      <c r="AA64" s="1657"/>
      <c r="AB64" s="1657"/>
      <c r="AC64" s="1657"/>
      <c r="AD64" s="1657"/>
      <c r="AE64" s="1657"/>
    </row>
    <row s="1383" customFormat="1" customHeight="1" ht="11.25">
      <c r="A65" s="982"/>
      <c r="C65" s="1661"/>
      <c r="D65" s="1663"/>
      <c r="E65" s="542" t="str">
        <f>FHD_NUM_P_29</f>
        <v>2.12</v>
      </c>
      <c r="F65" s="1541" t="str">
        <f>FHD_P_29</f>
        <v>Расходы на капитальный и текущий ремонт основных средств</v>
      </c>
      <c r="G65" s="1903" t="s">
        <v>563</v>
      </c>
      <c r="H65" s="553"/>
      <c r="I65" s="553"/>
      <c r="J65" s="270"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61" t="str">
        <f>IF((LEN(E65)-LEN(SUBSTITUTE(E65,".","")))/LEN(".")=1,"p","")</f>
        <v>p</v>
      </c>
      <c r="L65" s="1661"/>
      <c r="M65" s="1661"/>
      <c r="R65" s="1661"/>
      <c r="U65" s="540"/>
      <c r="AA65" s="1657"/>
      <c r="AB65" s="1657"/>
      <c r="AC65" s="1657"/>
      <c r="AD65" s="1657"/>
      <c r="AE65" s="1657"/>
    </row>
    <row s="1383" customFormat="1" customHeight="1" ht="11.25">
      <c r="A66" s="982"/>
      <c r="C66" s="1661"/>
      <c r="D66" s="1663"/>
      <c r="E66" s="542" t="str">
        <f>FHD_NUM_P_30</f>
        <v>2.12.1</v>
      </c>
      <c r="F66" s="1675"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03" t="s">
        <v>318</v>
      </c>
      <c r="H66" s="1674" t="s">
        <v>586</v>
      </c>
      <c r="I66" s="1674" t="s">
        <v>586</v>
      </c>
      <c r="J66" s="270" t="str">
        <f>FHD_NOTE_P_30</f>
        <v/>
      </c>
      <c r="K66" s="1661" t="str">
        <f>IF((LEN(E66)-LEN(SUBSTITUTE(E66,".","")))/LEN(".")=1,"p","")</f>
        <v/>
      </c>
      <c r="L66" s="1661">
        <f>_xlfn.IFERROR(MATCH("есть",B_FHD_FLAG_INDEX_1,0),0)</f>
        <v>0</v>
      </c>
      <c r="M66" s="1661"/>
      <c r="R66" s="1661"/>
      <c r="U66" s="540"/>
      <c r="AA66" s="1657"/>
      <c r="AB66" s="1657"/>
      <c r="AC66" s="1657"/>
      <c r="AD66" s="1657"/>
      <c r="AE66" s="1657"/>
    </row>
    <row s="1383" customFormat="1" customHeight="1" ht="22.5" hidden="1">
      <c r="A67" s="2192" t="s">
        <v>587</v>
      </c>
      <c r="C67" s="1661"/>
      <c r="D67" s="1663"/>
      <c r="E67" s="542" t="str">
        <f>FHD_NUM_P_31</f>
        <v/>
      </c>
      <c r="F67" s="1541" t="str">
        <f>FHD_P_31</f>
        <v/>
      </c>
      <c r="G67" s="1903" t="s">
        <v>563</v>
      </c>
      <c r="H67" s="553"/>
      <c r="I67" s="553"/>
      <c r="J67" s="270" t="str">
        <f>FHD_NOTE_P_31</f>
        <v/>
      </c>
      <c r="K67" s="1661" t="str">
        <f>IF((LEN(E67)-LEN(SUBSTITUTE(E67,".","")))/LEN(".")=1,"p","")</f>
        <v/>
      </c>
      <c r="L67" s="1661"/>
      <c r="M67" s="1661"/>
      <c r="R67" s="1661"/>
      <c r="U67" s="540"/>
      <c r="AA67" s="1657"/>
      <c r="AB67" s="1657"/>
      <c r="AC67" s="1657"/>
      <c r="AD67" s="1657"/>
      <c r="AE67" s="1657"/>
    </row>
    <row s="1383" customFormat="1" customHeight="1" ht="45" hidden="1">
      <c r="A68" s="2192"/>
      <c r="C68" s="1661"/>
      <c r="D68" s="1663"/>
      <c r="E68" s="542" t="str">
        <f>FHD_NUM_P_32</f>
        <v/>
      </c>
      <c r="F68" s="1675" t="str">
        <f>FHD_P_32</f>
        <v/>
      </c>
      <c r="G68" s="1903" t="s">
        <v>318</v>
      </c>
      <c r="H68" s="1674" t="s">
        <v>586</v>
      </c>
      <c r="I68" s="1674" t="s">
        <v>586</v>
      </c>
      <c r="J68" s="270" t="str">
        <f>FHD_NOTE_P_32</f>
        <v/>
      </c>
      <c r="K68" s="1661" t="str">
        <f>IF((LEN(E68)-LEN(SUBSTITUTE(E68,".","")))/LEN(".")=1,"p","")</f>
        <v/>
      </c>
      <c r="L68" s="1661">
        <f>_xlfn.IFERROR(MATCH("есть",B_FHD_FLAG_INDEX_2,0),0)</f>
        <v>0</v>
      </c>
      <c r="M68" s="1661"/>
      <c r="R68" s="1661"/>
      <c r="U68" s="540"/>
      <c r="AA68" s="1657"/>
      <c r="AB68" s="1657"/>
      <c r="AC68" s="1657"/>
      <c r="AD68" s="1657"/>
      <c r="AE68" s="1657"/>
    </row>
    <row s="1383" customFormat="1" customHeight="1" ht="11.25">
      <c r="A69" s="982"/>
      <c r="C69" s="1661"/>
      <c r="D69" s="1663"/>
      <c r="E69" s="542" t="str">
        <f>FHD_NUM_P_33</f>
        <v>2.13</v>
      </c>
      <c r="F69" s="1541"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04" t="s">
        <v>563</v>
      </c>
      <c r="H69" s="575">
        <f>SUM(H70:H71)</f>
        <v>0</v>
      </c>
      <c r="I69" s="575">
        <f>SUM(I70:I71)</f>
        <v>0</v>
      </c>
      <c r="J69" s="270"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61" t="str">
        <f>IF((LEN(E69)-LEN(SUBSTITUTE(E69,".","")))/LEN(".")=1,"p","")</f>
        <v>p</v>
      </c>
      <c r="L69" s="1661"/>
      <c r="M69" s="1661"/>
      <c r="R69" s="1661"/>
      <c r="U69" s="540"/>
      <c r="AA69" s="1657"/>
      <c r="AB69" s="1657"/>
      <c r="AC69" s="1657"/>
      <c r="AD69" s="1657"/>
      <c r="AE69" s="1657"/>
    </row>
    <row s="1667" customFormat="1" customHeight="1" ht="0.75">
      <c r="A70" s="1162"/>
      <c r="D70" s="544"/>
      <c r="E70" s="1008" t="str">
        <f>E69&amp;".0"</f>
        <v>2.13.0</v>
      </c>
      <c r="F70" s="986"/>
      <c r="G70" s="1008"/>
      <c r="H70" s="987"/>
      <c r="I70" s="987"/>
      <c r="J70" s="988"/>
      <c r="K70" s="1661" t="str">
        <f>IF((LEN(E70)-LEN(SUBSTITUTE(E70,".","")))/LEN(".")=1,"p","")</f>
        <v/>
      </c>
    </row>
    <row s="1383" customFormat="1" customHeight="1" ht="14.25">
      <c r="A71" s="982"/>
      <c r="C71" s="1661"/>
      <c r="D71" s="1658"/>
      <c r="E71" s="566"/>
      <c r="F71" s="567" t="s">
        <v>588</v>
      </c>
      <c r="G71" s="568"/>
      <c r="H71" s="569"/>
      <c r="I71" s="569"/>
      <c r="J71" s="281"/>
      <c r="K71" s="1661"/>
      <c r="L71" s="1661"/>
      <c r="M71" s="1661"/>
      <c r="R71" s="1661"/>
      <c r="U71" s="540"/>
      <c r="AA71" s="1657"/>
      <c r="AB71" s="1657"/>
      <c r="AC71" s="1657"/>
      <c r="AD71" s="1657"/>
      <c r="AE71" s="1657"/>
    </row>
    <row s="1383" customFormat="1" customHeight="1" ht="18.75">
      <c r="A72" s="984" t="s">
        <v>589</v>
      </c>
      <c r="C72" s="1661"/>
      <c r="D72" s="1663"/>
      <c r="E72" s="542" t="str">
        <f>FHD_NUM_P_34</f>
        <v>3</v>
      </c>
      <c r="F72" s="1905" t="str">
        <f>FHD_P_34</f>
        <v>Валовая прибыль (убытки) от реализации товаров и оказания услуг по регулируемому виду деятельности</v>
      </c>
      <c r="G72" s="1903" t="s">
        <v>563</v>
      </c>
      <c r="H72" s="553"/>
      <c r="I72" s="553"/>
      <c r="J72" s="270" t="str">
        <f>FHD_NOTE_P_34</f>
        <v/>
      </c>
      <c r="K72" s="539"/>
      <c r="L72" s="1661"/>
      <c r="M72" s="1661"/>
      <c r="R72" s="1661"/>
      <c r="U72" s="540"/>
      <c r="AA72" s="1657"/>
      <c r="AB72" s="1657"/>
      <c r="AC72" s="1657"/>
      <c r="AD72" s="1657"/>
      <c r="AE72" s="1657"/>
    </row>
    <row s="1383" customFormat="1" customHeight="1" ht="18.75">
      <c r="A73" s="982"/>
      <c r="C73" s="1661"/>
      <c r="D73" s="571"/>
      <c r="E73" s="542" t="str">
        <f>FHD_NUM_P_35</f>
        <v>4</v>
      </c>
      <c r="F73" s="1905" t="str">
        <f>FHD_P_35</f>
        <v>Чистая прибыль, полученная от регулируемого вида деятельности, в том числе:</v>
      </c>
      <c r="G73" s="1903" t="s">
        <v>563</v>
      </c>
      <c r="H73" s="553"/>
      <c r="I73" s="553"/>
      <c r="J73" s="270" t="str">
        <f>FHD_NOTE_P_35</f>
        <v>Указывается общая сумма чистой прибыли, полученной от регулируемого вида деятельности.</v>
      </c>
      <c r="K73" s="539"/>
      <c r="L73" s="1661"/>
      <c r="M73" s="1661"/>
      <c r="R73" s="1661"/>
      <c r="U73" s="540"/>
      <c r="AA73" s="1657"/>
      <c r="AB73" s="1657"/>
      <c r="AC73" s="1657"/>
      <c r="AD73" s="1657"/>
      <c r="AE73" s="1657"/>
    </row>
    <row s="1383" customFormat="1" customHeight="1" ht="18.75">
      <c r="A74" s="982"/>
      <c r="C74" s="1661"/>
      <c r="D74" s="1663"/>
      <c r="E74" s="542" t="str">
        <f>FHD_NUM_P_36</f>
        <v>4.1</v>
      </c>
      <c r="F74" s="1541"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03" t="s">
        <v>563</v>
      </c>
      <c r="H74" s="553"/>
      <c r="I74" s="553"/>
      <c r="J74" s="270" t="str">
        <f>FHD_NOTE_P_36</f>
        <v/>
      </c>
      <c r="K74" s="539"/>
      <c r="L74" s="1661"/>
      <c r="M74" s="1661"/>
      <c r="R74" s="1661"/>
      <c r="U74" s="540"/>
      <c r="AA74" s="1657"/>
      <c r="AB74" s="1657"/>
      <c r="AC74" s="1657"/>
      <c r="AD74" s="1657"/>
      <c r="AE74" s="1657"/>
    </row>
    <row s="1383" customFormat="1" customHeight="1" ht="18.75">
      <c r="A75" s="982"/>
      <c r="C75" s="1661"/>
      <c r="D75" s="1663"/>
      <c r="E75" s="542" t="str">
        <f>FHD_NUM_P_37</f>
        <v>5</v>
      </c>
      <c r="F75" s="1905" t="str">
        <f>FHD_P_37</f>
        <v>Изменение стоимости основных фондов, в том числе:</v>
      </c>
      <c r="G75" s="1903" t="s">
        <v>563</v>
      </c>
      <c r="H75" s="553"/>
      <c r="I75" s="553"/>
      <c r="J75" s="270" t="str">
        <f>FHD_NOTE_P_37</f>
        <v>Указывается общее изменение стоимости основных фондов.</v>
      </c>
      <c r="K75" s="539"/>
      <c r="L75" s="1661"/>
      <c r="M75" s="1661"/>
      <c r="R75" s="1661"/>
      <c r="U75" s="540"/>
      <c r="AA75" s="1657"/>
      <c r="AB75" s="1657"/>
      <c r="AC75" s="1657"/>
      <c r="AD75" s="1657"/>
      <c r="AE75" s="1657"/>
    </row>
    <row s="1383" customFormat="1" customHeight="1" ht="18.75">
      <c r="A76" s="982"/>
      <c r="C76" s="1661"/>
      <c r="D76" s="1663"/>
      <c r="E76" s="542" t="str">
        <f>FHD_NUM_P_38</f>
        <v>5.1</v>
      </c>
      <c r="F76" s="1541" t="str">
        <f>FHD_P_38</f>
        <v>Изменение стоимости основных фондов за счет:</v>
      </c>
      <c r="G76" s="1903" t="s">
        <v>563</v>
      </c>
      <c r="H76" s="553"/>
      <c r="I76" s="553"/>
      <c r="J76" s="270" t="str">
        <f>FHD_NOTE_P_38</f>
        <v>Указываются общее изменение стоимости основных фондов за счет их ввода в эксплуатацию и вывода из эксплуатации.</v>
      </c>
      <c r="K76" s="539"/>
      <c r="L76" s="1661"/>
      <c r="M76" s="1661"/>
      <c r="R76" s="1661"/>
      <c r="U76" s="540"/>
      <c r="AA76" s="1657"/>
      <c r="AB76" s="1657"/>
      <c r="AC76" s="1657"/>
      <c r="AD76" s="1657"/>
      <c r="AE76" s="1657"/>
    </row>
    <row s="1383" customFormat="1" customHeight="1" ht="18.75">
      <c r="A77" s="982"/>
      <c r="C77" s="1661"/>
      <c r="D77" s="1663"/>
      <c r="E77" s="542" t="str">
        <f>FHD_NUM_P_39</f>
        <v>5.1.1</v>
      </c>
      <c r="F77" s="1675" t="str">
        <f>FHD_P_39</f>
        <v>Изменения стоимости основных фондов за счет их ввода в эксплуатацию</v>
      </c>
      <c r="G77" s="1903" t="s">
        <v>563</v>
      </c>
      <c r="H77" s="553"/>
      <c r="I77" s="553"/>
      <c r="J77" s="270" t="str">
        <f>FHD_NOTE_P_39</f>
        <v>Указываются изменение стоимости основных фондов за счет их ввода в эксплуатацию.</v>
      </c>
      <c r="K77" s="539"/>
      <c r="L77" s="1661"/>
      <c r="M77" s="1661"/>
      <c r="R77" s="1661"/>
      <c r="U77" s="540"/>
      <c r="AA77" s="1657"/>
      <c r="AB77" s="1657"/>
      <c r="AC77" s="1657"/>
      <c r="AD77" s="1657"/>
      <c r="AE77" s="1657"/>
    </row>
    <row s="1383" customFormat="1" customHeight="1" ht="18.75">
      <c r="A78" s="982"/>
      <c r="C78" s="1661"/>
      <c r="D78" s="1663"/>
      <c r="E78" s="542" t="str">
        <f>FHD_NUM_P_40</f>
        <v>5.1.2</v>
      </c>
      <c r="F78" s="1675" t="str">
        <f>FHD_P_40</f>
        <v>Изменения стоимости основных фондов за счет их вывода в эксплуатацию</v>
      </c>
      <c r="G78" s="1903" t="s">
        <v>563</v>
      </c>
      <c r="H78" s="553"/>
      <c r="I78" s="553"/>
      <c r="J78" s="270" t="str">
        <f>FHD_NOTE_P_40</f>
        <v>Указываются изменение стоимости основных фондов за счет их вывода из эксплуатации.</v>
      </c>
      <c r="K78" s="539"/>
      <c r="L78" s="1661"/>
      <c r="M78" s="1661"/>
      <c r="R78" s="1661"/>
      <c r="U78" s="540"/>
      <c r="AA78" s="1657"/>
      <c r="AB78" s="1657"/>
      <c r="AC78" s="1657"/>
      <c r="AD78" s="1657"/>
      <c r="AE78" s="1657"/>
    </row>
    <row s="1383" customFormat="1" customHeight="1" ht="18.75">
      <c r="A79" s="982"/>
      <c r="C79" s="1661"/>
      <c r="D79" s="1663"/>
      <c r="E79" s="542" t="str">
        <f>FHD_NUM_P_41</f>
        <v>5.2</v>
      </c>
      <c r="F79" s="1541" t="str">
        <f>FHD_P_41</f>
        <v>Изменение стоимости основных фондов за счет их переоценки</v>
      </c>
      <c r="G79" s="1904" t="s">
        <v>563</v>
      </c>
      <c r="H79" s="553"/>
      <c r="I79" s="553"/>
      <c r="J79" s="270" t="str">
        <f>FHD_NOTE_P_41</f>
        <v/>
      </c>
      <c r="K79" s="539"/>
      <c r="L79" s="1661"/>
      <c r="M79" s="1661"/>
      <c r="R79" s="1661"/>
      <c r="U79" s="540"/>
      <c r="AA79" s="1657"/>
      <c r="AB79" s="1657"/>
      <c r="AC79" s="1657"/>
      <c r="AD79" s="1657"/>
      <c r="AE79" s="1657"/>
    </row>
    <row s="1383" customFormat="1" customHeight="1" ht="18.75" hidden="1">
      <c r="A80" s="984" t="s">
        <v>590</v>
      </c>
      <c r="C80" s="1661"/>
      <c r="D80" s="1663"/>
      <c r="E80" s="542" t="str">
        <f>FHD_NUM_P_42</f>
        <v/>
      </c>
      <c r="F80" s="1905" t="str">
        <f>FHD_P_42</f>
        <v/>
      </c>
      <c r="G80" s="1903" t="s">
        <v>563</v>
      </c>
      <c r="H80" s="971"/>
      <c r="I80" s="553"/>
      <c r="J80" s="270" t="str">
        <f>FHD_NOTE_P_42</f>
        <v/>
      </c>
      <c r="K80" s="539"/>
      <c r="L80" s="1661"/>
      <c r="M80" s="1661"/>
      <c r="R80" s="1661"/>
      <c r="U80" s="540"/>
      <c r="AA80" s="1657"/>
      <c r="AB80" s="1657"/>
      <c r="AC80" s="1657"/>
      <c r="AD80" s="1657"/>
      <c r="AE80" s="1657"/>
    </row>
    <row s="1383" customFormat="1" customHeight="1" ht="18.75">
      <c r="A81" s="982"/>
      <c r="C81" s="1661"/>
      <c r="D81" s="1663"/>
      <c r="E81" s="542" t="str">
        <f>FHD_NUM_P_43</f>
        <v>6</v>
      </c>
      <c r="F81" s="1905" t="str">
        <f>FHD_P_43</f>
        <v>Годовая бухгалтерская (финансовая) отчетность, включая бухгалтерский баланс и приложения к нему</v>
      </c>
      <c r="G81" s="1903" t="s">
        <v>318</v>
      </c>
      <c r="H81" s="1050"/>
      <c r="I81" s="812"/>
      <c r="J81" s="270"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39"/>
      <c r="L81" s="1661"/>
      <c r="M81" s="1661"/>
      <c r="R81" s="1661"/>
      <c r="U81" s="540"/>
      <c r="AA81" s="1657"/>
      <c r="AB81" s="1657"/>
      <c r="AC81" s="1657"/>
      <c r="AD81" s="1657"/>
      <c r="AE81" s="1657"/>
    </row>
    <row s="1383" customFormat="1" customHeight="1" ht="18.75" hidden="1">
      <c r="A82" s="2192" t="s">
        <v>591</v>
      </c>
      <c r="C82" s="730"/>
      <c r="D82" s="728"/>
      <c r="E82" s="542" t="str">
        <f>FHD_NUM_P_44</f>
        <v/>
      </c>
      <c r="F82" s="1905" t="str">
        <f>FHD_P_44</f>
        <v/>
      </c>
      <c r="G82" s="1906" t="s">
        <v>592</v>
      </c>
      <c r="H82" s="972"/>
      <c r="I82" s="573"/>
      <c r="J82" s="270" t="str">
        <f>FHD_NOTE_P_44</f>
        <v/>
      </c>
      <c r="K82" s="729"/>
      <c r="L82" s="730"/>
      <c r="M82" s="730"/>
      <c r="R82" s="730"/>
      <c r="U82" s="731"/>
      <c r="AA82" s="732"/>
      <c r="AB82" s="732"/>
      <c r="AC82" s="732"/>
      <c r="AD82" s="732"/>
      <c r="AE82" s="732"/>
    </row>
    <row s="1383" customFormat="1" customHeight="1" ht="18.75" hidden="1">
      <c r="A83" s="2192"/>
      <c r="C83" s="730"/>
      <c r="D83" s="728"/>
      <c r="E83" s="542" t="str">
        <f>FHD_NUM_P_45</f>
        <v/>
      </c>
      <c r="F83" s="1905" t="str">
        <f>FHD_P_45</f>
        <v/>
      </c>
      <c r="G83" s="1906" t="s">
        <v>592</v>
      </c>
      <c r="H83" s="972"/>
      <c r="I83" s="573"/>
      <c r="J83" s="270" t="str">
        <f>FHD_NOTE_P_45</f>
        <v/>
      </c>
      <c r="K83" s="729"/>
      <c r="L83" s="730"/>
      <c r="M83" s="730"/>
      <c r="R83" s="730"/>
      <c r="U83" s="731"/>
      <c r="AA83" s="732"/>
      <c r="AB83" s="732"/>
      <c r="AC83" s="732"/>
      <c r="AD83" s="732"/>
      <c r="AE83" s="732"/>
    </row>
    <row s="1383" customFormat="1" customHeight="1" ht="18.75" hidden="1">
      <c r="A84" s="2192"/>
      <c r="C84" s="730"/>
      <c r="D84" s="733"/>
      <c r="E84" s="542" t="str">
        <f>FHD_NUM_P_46</f>
        <v/>
      </c>
      <c r="F84" s="1905" t="str">
        <f>FHD_P_46</f>
        <v/>
      </c>
      <c r="G84" s="1906" t="s">
        <v>592</v>
      </c>
      <c r="H84" s="972"/>
      <c r="I84" s="573"/>
      <c r="J84" s="270" t="str">
        <f>FHD_NOTE_P_46</f>
        <v/>
      </c>
      <c r="K84" s="729"/>
      <c r="L84" s="730"/>
      <c r="M84" s="730"/>
      <c r="R84" s="730"/>
      <c r="U84" s="731"/>
      <c r="AA84" s="732"/>
      <c r="AB84" s="732"/>
      <c r="AC84" s="732"/>
      <c r="AD84" s="732"/>
      <c r="AE84" s="732"/>
    </row>
    <row s="1383" customFormat="1" customHeight="1" ht="18.75" hidden="1">
      <c r="A85" s="2192"/>
      <c r="C85" s="730"/>
      <c r="D85" s="728"/>
      <c r="E85" s="542" t="str">
        <f>FHD_NUM_P_47</f>
        <v/>
      </c>
      <c r="F85" s="1905" t="str">
        <f>FHD_P_47</f>
        <v/>
      </c>
      <c r="G85" s="1906" t="s">
        <v>592</v>
      </c>
      <c r="H85" s="972"/>
      <c r="I85" s="573"/>
      <c r="J85" s="270" t="str">
        <f>FHD_NOTE_P_47</f>
        <v/>
      </c>
      <c r="K85" s="729"/>
      <c r="L85" s="730"/>
      <c r="M85" s="730"/>
      <c r="R85" s="730"/>
      <c r="U85" s="731"/>
      <c r="AA85" s="732"/>
      <c r="AB85" s="732"/>
      <c r="AC85" s="732"/>
      <c r="AD85" s="732"/>
      <c r="AE85" s="732"/>
    </row>
    <row s="1660" customFormat="1" customHeight="1" ht="18.75" hidden="1">
      <c r="A86" s="2192"/>
      <c r="B86" s="904"/>
      <c r="C86" s="730"/>
      <c r="D86" s="728"/>
      <c r="E86" s="542" t="str">
        <f>FHD_NUM_P_48</f>
        <v/>
      </c>
      <c r="F86" s="1905" t="str">
        <f>FHD_P_48</f>
        <v/>
      </c>
      <c r="G86" s="1906" t="s">
        <v>592</v>
      </c>
      <c r="H86" s="972"/>
      <c r="I86" s="573"/>
      <c r="J86" s="270" t="str">
        <f>FHD_NOTE_P_48</f>
        <v/>
      </c>
      <c r="K86" s="729"/>
      <c r="L86" s="730"/>
      <c r="M86" s="730"/>
      <c r="N86" s="904"/>
      <c r="O86" s="904"/>
      <c r="P86" s="904"/>
      <c r="Q86" s="904"/>
      <c r="R86" s="730"/>
      <c r="S86" s="904"/>
      <c r="T86" s="904"/>
      <c r="U86" s="731"/>
      <c r="V86" s="904"/>
      <c r="W86" s="904"/>
      <c r="X86" s="904"/>
      <c r="Y86" s="904"/>
      <c r="Z86" s="904"/>
      <c r="AA86" s="732"/>
      <c r="AB86" s="732"/>
      <c r="AC86" s="732"/>
      <c r="AD86" s="732"/>
      <c r="AE86" s="732"/>
    </row>
    <row s="1660" customFormat="1" customHeight="1" ht="18.75" hidden="1">
      <c r="A87" s="2192"/>
      <c r="B87" s="904"/>
      <c r="C87" s="730"/>
      <c r="D87" s="728"/>
      <c r="E87" s="542" t="str">
        <f>FHD_NUM_P_49</f>
        <v/>
      </c>
      <c r="F87" s="1905" t="str">
        <f>FHD_P_49</f>
        <v/>
      </c>
      <c r="G87" s="1906" t="s">
        <v>592</v>
      </c>
      <c r="H87" s="973">
        <f>SUM(H88:H89)</f>
        <v>0</v>
      </c>
      <c r="I87" s="744">
        <f>SUM(I88:I89)</f>
        <v>0</v>
      </c>
      <c r="J87" s="270" t="str">
        <f>FHD_NOTE_P_49</f>
        <v/>
      </c>
      <c r="K87" s="729"/>
      <c r="L87" s="730"/>
      <c r="M87" s="730"/>
      <c r="N87" s="904"/>
      <c r="O87" s="904"/>
      <c r="P87" s="904"/>
      <c r="Q87" s="904"/>
      <c r="R87" s="730"/>
      <c r="S87" s="904"/>
      <c r="T87" s="904"/>
      <c r="U87" s="731"/>
      <c r="V87" s="904"/>
      <c r="W87" s="904"/>
      <c r="X87" s="904"/>
      <c r="Y87" s="904"/>
      <c r="Z87" s="904"/>
      <c r="AA87" s="732"/>
      <c r="AB87" s="732"/>
      <c r="AC87" s="732"/>
      <c r="AD87" s="732"/>
      <c r="AE87" s="732"/>
    </row>
    <row s="1660" customFormat="1" customHeight="1" ht="18.75" hidden="1">
      <c r="A88" s="2192"/>
      <c r="B88" s="904"/>
      <c r="C88" s="730"/>
      <c r="D88" s="728"/>
      <c r="E88" s="542" t="str">
        <f>FHD_NUM_P_50</f>
        <v/>
      </c>
      <c r="F88" s="1905" t="str">
        <f>FHD_P_50</f>
        <v/>
      </c>
      <c r="G88" s="1906" t="s">
        <v>592</v>
      </c>
      <c r="H88" s="972"/>
      <c r="I88" s="573"/>
      <c r="J88" s="270" t="str">
        <f>FHD_NOTE_P_50</f>
        <v/>
      </c>
      <c r="K88" s="729"/>
      <c r="L88" s="730"/>
      <c r="M88" s="730"/>
      <c r="N88" s="904"/>
      <c r="O88" s="904"/>
      <c r="P88" s="904"/>
      <c r="Q88" s="904"/>
      <c r="R88" s="730"/>
      <c r="S88" s="904"/>
      <c r="T88" s="904"/>
      <c r="U88" s="731"/>
      <c r="V88" s="904"/>
      <c r="W88" s="904"/>
      <c r="X88" s="904"/>
      <c r="Y88" s="904"/>
      <c r="Z88" s="904"/>
      <c r="AA88" s="732"/>
      <c r="AB88" s="732"/>
      <c r="AC88" s="732"/>
      <c r="AD88" s="732"/>
      <c r="AE88" s="732"/>
    </row>
    <row s="1660" customFormat="1" customHeight="1" ht="18.75" hidden="1">
      <c r="A89" s="2192"/>
      <c r="B89" s="904"/>
      <c r="C89" s="730"/>
      <c r="D89" s="728"/>
      <c r="E89" s="542" t="str">
        <f>FHD_NUM_P_51</f>
        <v/>
      </c>
      <c r="F89" s="1905" t="str">
        <f>FHD_P_51</f>
        <v/>
      </c>
      <c r="G89" s="1906" t="s">
        <v>592</v>
      </c>
      <c r="H89" s="972"/>
      <c r="I89" s="573"/>
      <c r="J89" s="270" t="str">
        <f>FHD_NOTE_P_51</f>
        <v/>
      </c>
      <c r="K89" s="729"/>
      <c r="L89" s="730"/>
      <c r="M89" s="730"/>
      <c r="N89" s="904"/>
      <c r="O89" s="904"/>
      <c r="P89" s="904"/>
      <c r="Q89" s="904"/>
      <c r="R89" s="730"/>
      <c r="S89" s="904"/>
      <c r="T89" s="904"/>
      <c r="U89" s="731"/>
      <c r="V89" s="904"/>
      <c r="W89" s="904"/>
      <c r="X89" s="904"/>
      <c r="Y89" s="904"/>
      <c r="Z89" s="904"/>
      <c r="AA89" s="732"/>
      <c r="AB89" s="732"/>
      <c r="AC89" s="732"/>
      <c r="AD89" s="732"/>
      <c r="AE89" s="732"/>
    </row>
    <row s="1660" customFormat="1" customHeight="1" ht="18.75" hidden="1">
      <c r="A90" s="2192"/>
      <c r="B90" s="904"/>
      <c r="C90" s="730"/>
      <c r="D90" s="728"/>
      <c r="E90" s="542" t="str">
        <f>FHD_NUM_P_52</f>
        <v/>
      </c>
      <c r="F90" s="1905" t="str">
        <f>FHD_P_52</f>
        <v/>
      </c>
      <c r="G90" s="1906" t="s">
        <v>569</v>
      </c>
      <c r="H90" s="971"/>
      <c r="I90" s="553"/>
      <c r="J90" s="270" t="str">
        <f>FHD_NOTE_P_52</f>
        <v/>
      </c>
      <c r="K90" s="729"/>
      <c r="L90" s="730"/>
      <c r="M90" s="730"/>
      <c r="N90" s="904"/>
      <c r="O90" s="904"/>
      <c r="P90" s="904"/>
      <c r="Q90" s="904"/>
      <c r="R90" s="730"/>
      <c r="S90" s="904"/>
      <c r="T90" s="904"/>
      <c r="U90" s="731"/>
      <c r="V90" s="904"/>
      <c r="W90" s="904"/>
      <c r="X90" s="904"/>
      <c r="Y90" s="904"/>
      <c r="Z90" s="904"/>
      <c r="AA90" s="732"/>
      <c r="AB90" s="732"/>
      <c r="AC90" s="732"/>
      <c r="AD90" s="732"/>
      <c r="AE90" s="732"/>
    </row>
    <row s="1383" customFormat="1" customHeight="1" ht="18.75" hidden="1">
      <c r="A91" s="2194" t="s">
        <v>593</v>
      </c>
      <c r="C91" s="730"/>
      <c r="D91" s="728"/>
      <c r="E91" s="542" t="str">
        <f>FHD_NUM_P_53</f>
        <v/>
      </c>
      <c r="F91" s="1905" t="str">
        <f>FHD_P_53</f>
        <v/>
      </c>
      <c r="G91" s="1906" t="s">
        <v>592</v>
      </c>
      <c r="H91" s="972"/>
      <c r="I91" s="573"/>
      <c r="J91" s="270" t="str">
        <f>FHD_NOTE_P_53</f>
        <v/>
      </c>
      <c r="K91" s="729"/>
      <c r="L91" s="730"/>
      <c r="M91" s="730"/>
      <c r="R91" s="730"/>
      <c r="U91" s="731"/>
      <c r="AA91" s="732"/>
      <c r="AB91" s="732"/>
      <c r="AC91" s="732"/>
      <c r="AD91" s="732"/>
      <c r="AE91" s="732"/>
    </row>
    <row s="1383" customFormat="1" customHeight="1" ht="18.75" hidden="1">
      <c r="A92" s="2194"/>
      <c r="C92" s="730"/>
      <c r="D92" s="728"/>
      <c r="E92" s="542" t="str">
        <f>FHD_NUM_P_54</f>
        <v/>
      </c>
      <c r="F92" s="1905" t="str">
        <f>FHD_P_54</f>
        <v/>
      </c>
      <c r="G92" s="1906" t="s">
        <v>592</v>
      </c>
      <c r="H92" s="972"/>
      <c r="I92" s="573"/>
      <c r="J92" s="270" t="str">
        <f>FHD_NOTE_P_54</f>
        <v/>
      </c>
      <c r="K92" s="729"/>
      <c r="L92" s="730"/>
      <c r="M92" s="730"/>
      <c r="R92" s="730"/>
      <c r="U92" s="731"/>
      <c r="AA92" s="732"/>
      <c r="AB92" s="732"/>
      <c r="AC92" s="732"/>
      <c r="AD92" s="732"/>
      <c r="AE92" s="732"/>
    </row>
    <row s="1383" customFormat="1" customHeight="1" ht="18.75" hidden="1">
      <c r="A93" s="2194"/>
      <c r="C93" s="730"/>
      <c r="D93" s="733"/>
      <c r="E93" s="542" t="str">
        <f>FHD_NUM_P_55</f>
        <v/>
      </c>
      <c r="F93" s="1905" t="str">
        <f>FHD_P_55</f>
        <v/>
      </c>
      <c r="G93" s="1909"/>
      <c r="H93" s="972"/>
      <c r="I93" s="573"/>
      <c r="J93" s="270" t="str">
        <f>FHD_NOTE_P_55</f>
        <v/>
      </c>
      <c r="K93" s="729"/>
      <c r="L93" s="730"/>
      <c r="M93" s="730"/>
      <c r="R93" s="730"/>
      <c r="U93" s="731"/>
      <c r="AA93" s="732"/>
      <c r="AB93" s="732"/>
      <c r="AC93" s="732"/>
      <c r="AD93" s="732"/>
      <c r="AE93" s="732"/>
    </row>
    <row s="1383" customFormat="1" customHeight="1" ht="18.75" hidden="1">
      <c r="A94" s="2194"/>
      <c r="C94" s="730"/>
      <c r="D94" s="728"/>
      <c r="E94" s="542" t="str">
        <f>FHD_NUM_P_56</f>
        <v/>
      </c>
      <c r="F94" s="1905" t="str">
        <f>FHD_P_56</f>
        <v/>
      </c>
      <c r="G94" s="1906" t="s">
        <v>594</v>
      </c>
      <c r="H94" s="972"/>
      <c r="I94" s="573"/>
      <c r="J94" s="270" t="str">
        <f>FHD_NOTE_P_56</f>
        <v/>
      </c>
      <c r="K94" s="729"/>
      <c r="L94" s="730"/>
      <c r="M94" s="730"/>
      <c r="R94" s="730"/>
      <c r="U94" s="731"/>
      <c r="AA94" s="732"/>
      <c r="AB94" s="732"/>
      <c r="AC94" s="732"/>
      <c r="AD94" s="732"/>
      <c r="AE94" s="732"/>
    </row>
    <row s="1660" customFormat="1" customHeight="1" ht="18.75" hidden="1">
      <c r="A95" s="2194"/>
      <c r="B95" s="904"/>
      <c r="C95" s="730"/>
      <c r="D95" s="728"/>
      <c r="E95" s="542" t="str">
        <f>FHD_NUM_P_57</f>
        <v/>
      </c>
      <c r="F95" s="1905" t="str">
        <f>FHD_P_57</f>
        <v/>
      </c>
      <c r="G95" s="1906" t="s">
        <v>569</v>
      </c>
      <c r="H95" s="971"/>
      <c r="I95" s="553"/>
      <c r="J95" s="270" t="str">
        <f>FHD_NOTE_P_57</f>
        <v/>
      </c>
      <c r="K95" s="729"/>
      <c r="L95" s="730"/>
      <c r="M95" s="730"/>
      <c r="N95" s="904"/>
      <c r="O95" s="904"/>
      <c r="P95" s="904"/>
      <c r="Q95" s="904"/>
      <c r="R95" s="730"/>
      <c r="S95" s="904"/>
      <c r="T95" s="904"/>
      <c r="U95" s="731"/>
      <c r="V95" s="904"/>
      <c r="W95" s="904"/>
      <c r="X95" s="904"/>
      <c r="Y95" s="904"/>
      <c r="Z95" s="904"/>
      <c r="AA95" s="732"/>
      <c r="AB95" s="732"/>
      <c r="AC95" s="732"/>
      <c r="AD95" s="732"/>
      <c r="AE95" s="732"/>
    </row>
    <row customHeight="1" ht="18.75" hidden="1">
      <c r="A96" s="2192" t="s">
        <v>595</v>
      </c>
      <c r="D96" s="1663"/>
      <c r="E96" s="542" t="str">
        <f>FHD_NUM_P_58</f>
        <v/>
      </c>
      <c r="F96" s="1905" t="str">
        <f>FHD_P_58</f>
        <v/>
      </c>
      <c r="G96" s="1906" t="s">
        <v>592</v>
      </c>
      <c r="H96" s="972"/>
      <c r="I96" s="573"/>
      <c r="J96" s="270" t="str">
        <f>FHD_NOTE_P_58</f>
        <v/>
      </c>
      <c r="K96" s="539"/>
    </row>
    <row customHeight="1" ht="18.75" hidden="1">
      <c r="A97" s="2192"/>
      <c r="D97" s="1663"/>
      <c r="E97" s="542" t="str">
        <f>FHD_NUM_P_59</f>
        <v/>
      </c>
      <c r="F97" s="1905" t="str">
        <f>FHD_P_59</f>
        <v/>
      </c>
      <c r="G97" s="1906" t="s">
        <v>592</v>
      </c>
      <c r="H97" s="972"/>
      <c r="I97" s="573"/>
      <c r="J97" s="270" t="str">
        <f>FHD_NOTE_P_59</f>
        <v/>
      </c>
      <c r="K97" s="539"/>
    </row>
    <row customHeight="1" ht="18.75" hidden="1">
      <c r="A98" s="2192"/>
      <c r="D98" s="1663"/>
      <c r="E98" s="542" t="str">
        <f>FHD_NUM_P_60</f>
        <v/>
      </c>
      <c r="F98" s="1905" t="str">
        <f>FHD_P_60</f>
        <v/>
      </c>
      <c r="G98" s="1906" t="s">
        <v>592</v>
      </c>
      <c r="H98" s="972"/>
      <c r="I98" s="573"/>
      <c r="J98" s="270" t="str">
        <f>FHD_NOTE_P_60</f>
        <v/>
      </c>
      <c r="K98" s="539"/>
    </row>
    <row s="1383" customFormat="1" customHeight="1" ht="18.75">
      <c r="A99" s="2192" t="s">
        <v>596</v>
      </c>
      <c r="C99" s="1661"/>
      <c r="D99" s="1663"/>
      <c r="E99" s="542" t="str">
        <f>FHD_NUM_P_61</f>
        <v>7</v>
      </c>
      <c r="F99" s="1905"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03" t="s">
        <v>567</v>
      </c>
      <c r="H99" s="974"/>
      <c r="I99" s="737"/>
      <c r="J99" s="270"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39"/>
      <c r="L99" s="1661"/>
      <c r="M99" s="1661"/>
      <c r="R99" s="1661"/>
      <c r="U99" s="540"/>
      <c r="AA99" s="1657"/>
      <c r="AB99" s="1657"/>
      <c r="AC99" s="1657"/>
      <c r="AD99" s="1657"/>
      <c r="AE99" s="1657"/>
    </row>
    <row s="1667" customFormat="1" customHeight="1" ht="0.75">
      <c r="A100" s="2192"/>
      <c r="D100" s="544"/>
      <c r="E100" s="1008" t="str">
        <f>E99&amp;".0"</f>
        <v>7.0</v>
      </c>
      <c r="F100" s="989"/>
      <c r="G100" s="990"/>
      <c r="H100" s="987"/>
      <c r="I100" s="987"/>
      <c r="J100" s="991"/>
    </row>
    <row customHeight="1" ht="15">
      <c r="A101" s="2192"/>
      <c r="D101" s="1658"/>
      <c r="E101" s="966"/>
      <c r="F101" s="967" t="s">
        <v>597</v>
      </c>
      <c r="G101" s="568"/>
      <c r="H101" s="569"/>
      <c r="I101" s="569"/>
      <c r="J101" s="999" t="s">
        <v>598</v>
      </c>
      <c r="K101" s="539"/>
    </row>
    <row s="1383" customFormat="1" customHeight="1" ht="18.75">
      <c r="A102" s="2192"/>
      <c r="C102" s="1661"/>
      <c r="D102" s="1663"/>
      <c r="E102" s="542" t="str">
        <f>FHD_NUM_P_62</f>
        <v>8</v>
      </c>
      <c r="F102" s="1905" t="str">
        <f>FHD_P_62</f>
        <v>Тепловая нагрузка по договорам, заключенным в рамках осуществления регулируемых видов деятельности</v>
      </c>
      <c r="G102" s="1902" t="s">
        <v>567</v>
      </c>
      <c r="H102" s="553"/>
      <c r="I102" s="553"/>
      <c r="J102" s="270"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39"/>
      <c r="L102" s="1661"/>
      <c r="M102" s="1661"/>
      <c r="R102" s="1661"/>
      <c r="U102" s="540"/>
      <c r="AA102" s="1657"/>
      <c r="AB102" s="1657"/>
      <c r="AC102" s="1657"/>
      <c r="AD102" s="1657"/>
      <c r="AE102" s="1657"/>
    </row>
    <row s="1383" customFormat="1" customHeight="1" ht="18.75">
      <c r="A103" s="2192"/>
      <c r="C103" s="1661"/>
      <c r="D103" s="1663"/>
      <c r="E103" s="542" t="str">
        <f>FHD_NUM_P_63</f>
        <v>9</v>
      </c>
      <c r="F103" s="1905" t="str">
        <f>FHD_P_63</f>
        <v>Объем вырабатываемой регулируемой организацией тепловой энергии в рамках осуществления регулируемых видов деятельности</v>
      </c>
      <c r="G103" s="1902" t="s">
        <v>594</v>
      </c>
      <c r="H103" s="573"/>
      <c r="I103" s="573"/>
      <c r="J103" s="270"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39"/>
      <c r="L103" s="1661"/>
      <c r="M103" s="1661"/>
      <c r="R103" s="1661"/>
      <c r="U103" s="540"/>
      <c r="AA103" s="1657"/>
      <c r="AB103" s="1657"/>
      <c r="AC103" s="1657"/>
      <c r="AD103" s="1657"/>
      <c r="AE103" s="1657"/>
    </row>
    <row s="1383" customFormat="1" customHeight="1" ht="18.75">
      <c r="A104" s="2192"/>
      <c r="C104" s="1661" t="s">
        <v>599</v>
      </c>
      <c r="D104" s="1663"/>
      <c r="E104" s="542" t="str">
        <f>FHD_NUM_P_64</f>
        <v>9.1</v>
      </c>
      <c r="F104" s="1905" t="str">
        <f>FHD_P_64</f>
        <v>Объем приобретаемой регулируемой организацией тепловой энергии в рамках осуществления регулируемых видов деятельности</v>
      </c>
      <c r="G104" s="1902" t="s">
        <v>594</v>
      </c>
      <c r="H104" s="541"/>
      <c r="I104" s="541"/>
      <c r="J104" s="270" t="str">
        <f>FHD_NOTE_P_64</f>
        <v>Информация указывается только едиными теплоснабжающими организациями.</v>
      </c>
      <c r="K104" s="539"/>
      <c r="L104" s="1661"/>
      <c r="M104" s="1661"/>
      <c r="R104" s="1661"/>
      <c r="U104" s="540"/>
      <c r="AA104" s="1657"/>
      <c r="AB104" s="1657"/>
      <c r="AC104" s="1657"/>
      <c r="AD104" s="1657"/>
      <c r="AE104" s="1657"/>
    </row>
    <row s="1383" customFormat="1" customHeight="1" ht="18.75">
      <c r="A105" s="2192"/>
      <c r="C105" s="1661"/>
      <c r="D105" s="1663"/>
      <c r="E105" s="542" t="str">
        <f>FHD_NUM_P_65</f>
        <v>10</v>
      </c>
      <c r="F105" s="1905"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02" t="s">
        <v>594</v>
      </c>
      <c r="H105" s="573"/>
      <c r="I105" s="573"/>
      <c r="J105" s="270"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39"/>
      <c r="L105" s="1661"/>
      <c r="M105" s="1661"/>
      <c r="R105" s="1661"/>
      <c r="U105" s="540"/>
      <c r="AA105" s="1657"/>
      <c r="AB105" s="1657"/>
      <c r="AC105" s="1657"/>
      <c r="AD105" s="1657"/>
      <c r="AE105" s="1657"/>
    </row>
    <row s="1383" customFormat="1" customHeight="1" ht="18.75">
      <c r="A106" s="2192"/>
      <c r="C106" s="1661"/>
      <c r="D106" s="1663"/>
      <c r="E106" s="542" t="str">
        <f>FHD_NUM_P_66</f>
        <v>10.1</v>
      </c>
      <c r="F106" s="1541" t="str">
        <f>FHD_P_66</f>
        <v>По приборам учёта </v>
      </c>
      <c r="G106" s="1902" t="s">
        <v>594</v>
      </c>
      <c r="H106" s="573"/>
      <c r="I106" s="573"/>
      <c r="J106" s="270" t="str">
        <f>FHD_NOTE_P_66</f>
        <v/>
      </c>
      <c r="K106" s="539"/>
      <c r="L106" s="1661"/>
      <c r="M106" s="1661"/>
      <c r="R106" s="1661"/>
      <c r="U106" s="540"/>
      <c r="AA106" s="1657"/>
      <c r="AB106" s="1657"/>
      <c r="AC106" s="1657"/>
      <c r="AD106" s="1657"/>
      <c r="AE106" s="1657"/>
    </row>
    <row s="1383" customFormat="1" customHeight="1" ht="18.75">
      <c r="A107" s="2192"/>
      <c r="C107" s="1661"/>
      <c r="D107" s="1663"/>
      <c r="E107" s="542" t="str">
        <f>FHD_NUM_P_67</f>
        <v>10.1.1</v>
      </c>
      <c r="F107" s="1675"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02" t="s">
        <v>594</v>
      </c>
      <c r="H107" s="573"/>
      <c r="I107" s="573"/>
      <c r="J107" s="270" t="str">
        <f>FHD_NOTE_P_67</f>
        <v/>
      </c>
      <c r="K107" s="539"/>
      <c r="L107" s="1661"/>
      <c r="M107" s="1661"/>
      <c r="R107" s="1661"/>
      <c r="U107" s="540"/>
      <c r="AA107" s="1657"/>
      <c r="AB107" s="1657"/>
      <c r="AC107" s="1657"/>
      <c r="AD107" s="1657"/>
      <c r="AE107" s="1657"/>
    </row>
    <row s="1383" customFormat="1" customHeight="1" ht="18.75">
      <c r="A108" s="2192"/>
      <c r="C108" s="1661"/>
      <c r="D108" s="1663"/>
      <c r="E108" s="542" t="str">
        <f>FHD_NUM_P_68</f>
        <v>10.2</v>
      </c>
      <c r="F108" s="1541" t="str">
        <f>FHD_P_68</f>
        <v>Расчётным путём</v>
      </c>
      <c r="G108" s="1902" t="s">
        <v>594</v>
      </c>
      <c r="H108" s="573"/>
      <c r="I108" s="573"/>
      <c r="J108" s="270" t="str">
        <f>FHD_NOTE_P_68</f>
        <v/>
      </c>
      <c r="K108" s="539"/>
      <c r="L108" s="1661"/>
      <c r="M108" s="1661"/>
      <c r="R108" s="1661"/>
      <c r="U108" s="540"/>
      <c r="AA108" s="1657"/>
      <c r="AB108" s="1657"/>
      <c r="AC108" s="1657"/>
      <c r="AD108" s="1657"/>
      <c r="AE108" s="1657"/>
    </row>
    <row s="1383" customFormat="1" customHeight="1" ht="18.75">
      <c r="A109" s="2192"/>
      <c r="C109" s="1661"/>
      <c r="D109" s="1663"/>
      <c r="E109" s="542" t="str">
        <f>FHD_NUM_P_69</f>
        <v>10.3</v>
      </c>
      <c r="F109" s="1541" t="str">
        <f>FHD_P_69</f>
        <v>По нормативам потребления коммунальных услуг и нормативам потребления коммунальных ресурсов</v>
      </c>
      <c r="G109" s="1902" t="s">
        <v>594</v>
      </c>
      <c r="H109" s="573"/>
      <c r="I109" s="573"/>
      <c r="J109" s="270" t="str">
        <f>FHD_NOTE_P_69</f>
        <v/>
      </c>
      <c r="K109" s="539"/>
      <c r="L109" s="1661"/>
      <c r="M109" s="1661"/>
      <c r="R109" s="1661"/>
      <c r="U109" s="540"/>
      <c r="AA109" s="1657"/>
      <c r="AB109" s="1657"/>
      <c r="AC109" s="1657"/>
      <c r="AD109" s="1657"/>
      <c r="AE109" s="1657"/>
    </row>
    <row s="1383" customFormat="1" customHeight="1" ht="22.5">
      <c r="A110" s="2192"/>
      <c r="C110" s="1661"/>
      <c r="D110" s="1663"/>
      <c r="E110" s="542" t="str">
        <f>FHD_NUM_P_70</f>
        <v>11</v>
      </c>
      <c r="F110" s="1905"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02" t="s">
        <v>600</v>
      </c>
      <c r="H110" s="553"/>
      <c r="I110" s="553"/>
      <c r="J110" s="270" t="str">
        <f>FHD_NOTE_P_70</f>
        <v/>
      </c>
      <c r="K110" s="539"/>
      <c r="L110" s="1661"/>
      <c r="M110" s="1661"/>
      <c r="R110" s="1661"/>
      <c r="U110" s="540"/>
      <c r="AA110" s="1657"/>
      <c r="AB110" s="1657"/>
      <c r="AC110" s="1657"/>
      <c r="AD110" s="1657"/>
      <c r="AE110" s="1657"/>
    </row>
    <row s="1383" customFormat="1" customHeight="1" ht="22.5">
      <c r="A111" s="2192"/>
      <c r="C111" s="1661"/>
      <c r="D111" s="1663"/>
      <c r="E111" s="542" t="str">
        <f>FHD_NUM_P_71</f>
        <v>12</v>
      </c>
      <c r="F111" s="1905" t="str">
        <f>FHD_P_71</f>
        <v>Фактический объем потерь при передаче тепловой энергии</v>
      </c>
      <c r="G111" s="1902" t="s">
        <v>600</v>
      </c>
      <c r="H111" s="553"/>
      <c r="I111" s="553"/>
      <c r="J111" s="270" t="str">
        <f>FHD_NOTE_P_71</f>
        <v/>
      </c>
      <c r="K111" s="539"/>
      <c r="L111" s="1661"/>
      <c r="M111" s="1661"/>
      <c r="R111" s="1661"/>
      <c r="U111" s="540"/>
      <c r="AA111" s="1657"/>
      <c r="AB111" s="1657"/>
      <c r="AC111" s="1657"/>
      <c r="AD111" s="1657"/>
      <c r="AE111" s="1657"/>
    </row>
    <row customHeight="1" ht="18.75">
      <c r="D112" s="1663"/>
      <c r="E112" s="542" t="str">
        <f>FHD_NUM_P_72</f>
        <v>13</v>
      </c>
      <c r="F112" s="1905" t="str">
        <f>FHD_P_72</f>
        <v>Среднесписочная численность основного производственного персонала</v>
      </c>
      <c r="G112" s="1901" t="s">
        <v>601</v>
      </c>
      <c r="H112" s="573"/>
      <c r="I112" s="573"/>
      <c r="J112" s="270" t="str">
        <f>FHD_NOTE_P_72</f>
        <v/>
      </c>
      <c r="K112" s="539"/>
    </row>
    <row customHeight="1" ht="18.75">
      <c r="A113" s="984" t="s">
        <v>602</v>
      </c>
      <c r="D113" s="1663"/>
      <c r="E113" s="542" t="str">
        <f>FHD_NUM_P_73</f>
        <v>14</v>
      </c>
      <c r="F113" s="1905" t="str">
        <f>FHD_P_73</f>
        <v>Среднесписочная численность административно-управленческого персонала</v>
      </c>
      <c r="G113" s="965" t="s">
        <v>601</v>
      </c>
      <c r="H113" s="963"/>
      <c r="I113" s="963"/>
      <c r="J113" s="270" t="str">
        <f>FHD_NOTE_P_73</f>
        <v/>
      </c>
      <c r="K113" s="539"/>
    </row>
    <row customHeight="1" ht="33.75" hidden="1">
      <c r="A114" s="984" t="s">
        <v>603</v>
      </c>
      <c r="D114" s="1663"/>
      <c r="E114" s="542" t="str">
        <f>FHD_NUM_P_74</f>
        <v/>
      </c>
      <c r="F114" s="1905" t="str">
        <f>FHD_P_74</f>
        <v/>
      </c>
      <c r="G114" s="1901" t="s">
        <v>604</v>
      </c>
      <c r="H114" s="573"/>
      <c r="I114" s="573"/>
      <c r="J114" s="270" t="str">
        <f>FHD_NOTE_P_74</f>
        <v/>
      </c>
      <c r="K114" s="539"/>
    </row>
    <row s="1660" customFormat="1" customHeight="1" ht="18.75" hidden="1">
      <c r="A115" s="2194" t="s">
        <v>605</v>
      </c>
      <c r="B115" s="904"/>
      <c r="C115" s="730"/>
      <c r="D115" s="728"/>
      <c r="E115" s="542" t="str">
        <f>FHD_NUM_P_75</f>
        <v/>
      </c>
      <c r="F115" s="1905" t="str">
        <f>FHD_P_75</f>
        <v/>
      </c>
      <c r="G115" s="1901" t="s">
        <v>569</v>
      </c>
      <c r="H115" s="553"/>
      <c r="I115" s="553"/>
      <c r="J115" s="270" t="str">
        <f>FHD_NOTE_P_75</f>
        <v/>
      </c>
      <c r="K115" s="729"/>
      <c r="L115" s="730"/>
      <c r="M115" s="730"/>
      <c r="N115" s="904"/>
      <c r="O115" s="904"/>
      <c r="P115" s="904"/>
      <c r="Q115" s="904"/>
      <c r="R115" s="730"/>
      <c r="S115" s="904"/>
      <c r="T115" s="904"/>
      <c r="U115" s="731"/>
      <c r="V115" s="904"/>
      <c r="W115" s="904"/>
      <c r="X115" s="904"/>
      <c r="Y115" s="904"/>
      <c r="Z115" s="904"/>
      <c r="AA115" s="732"/>
      <c r="AB115" s="732"/>
      <c r="AC115" s="732"/>
      <c r="AD115" s="732"/>
      <c r="AE115" s="732"/>
    </row>
    <row s="1660" customFormat="1" customHeight="1" ht="18.75" hidden="1">
      <c r="A116" s="2194"/>
      <c r="B116" s="904"/>
      <c r="C116" s="730"/>
      <c r="D116" s="728"/>
      <c r="E116" s="542" t="str">
        <f>FHD_NUM_P_76</f>
        <v/>
      </c>
      <c r="F116" s="1905" t="str">
        <f>FHD_P_76</f>
        <v/>
      </c>
      <c r="G116" s="1901" t="s">
        <v>569</v>
      </c>
      <c r="H116" s="553"/>
      <c r="I116" s="553"/>
      <c r="J116" s="270" t="str">
        <f>FHD_NOTE_P_76</f>
        <v/>
      </c>
      <c r="K116" s="729"/>
      <c r="L116" s="730"/>
      <c r="M116" s="730"/>
      <c r="N116" s="904"/>
      <c r="O116" s="904"/>
      <c r="P116" s="904"/>
      <c r="Q116" s="904"/>
      <c r="R116" s="730"/>
      <c r="S116" s="904"/>
      <c r="T116" s="904"/>
      <c r="U116" s="731"/>
      <c r="V116" s="904"/>
      <c r="W116" s="904"/>
      <c r="X116" s="904"/>
      <c r="Y116" s="904"/>
      <c r="Z116" s="904"/>
      <c r="AA116" s="732"/>
      <c r="AB116" s="732"/>
      <c r="AC116" s="732"/>
      <c r="AD116" s="732"/>
      <c r="AE116" s="732"/>
    </row>
    <row s="1660" customFormat="1" customHeight="1" ht="18.75" hidden="1">
      <c r="A117" s="2194"/>
      <c r="B117" s="904"/>
      <c r="C117" s="730"/>
      <c r="D117" s="728"/>
      <c r="E117" s="542" t="str">
        <f>FHD_NUM_P_77</f>
        <v/>
      </c>
      <c r="F117" s="1905" t="str">
        <f>FHD_P_77</f>
        <v/>
      </c>
      <c r="G117" s="1901" t="s">
        <v>569</v>
      </c>
      <c r="H117" s="553"/>
      <c r="I117" s="553"/>
      <c r="J117" s="270" t="str">
        <f>FHD_NOTE_P_77</f>
        <v/>
      </c>
      <c r="K117" s="729"/>
      <c r="L117" s="730"/>
      <c r="M117" s="730"/>
      <c r="N117" s="904"/>
      <c r="O117" s="904"/>
      <c r="P117" s="904"/>
      <c r="Q117" s="904"/>
      <c r="R117" s="730"/>
      <c r="S117" s="904"/>
      <c r="T117" s="904"/>
      <c r="U117" s="731"/>
      <c r="V117" s="904"/>
      <c r="W117" s="904"/>
      <c r="X117" s="904"/>
      <c r="Y117" s="904"/>
      <c r="Z117" s="904"/>
      <c r="AA117" s="732"/>
      <c r="AB117" s="732"/>
      <c r="AC117" s="732"/>
      <c r="AD117" s="732"/>
      <c r="AE117" s="732"/>
    </row>
    <row s="1667" customFormat="1" customHeight="1" ht="0.75" hidden="1">
      <c r="A118" s="2194"/>
      <c r="D118" s="544"/>
      <c r="E118" s="1008" t="str">
        <f>E117&amp;".0"</f>
        <v>.0</v>
      </c>
      <c r="F118" s="992"/>
      <c r="G118" s="1676"/>
      <c r="H118" s="987"/>
      <c r="I118" s="987"/>
      <c r="J118" s="991"/>
    </row>
    <row s="1660" customFormat="1" customHeight="1" ht="15" hidden="1">
      <c r="A119" s="2194"/>
      <c r="B119" s="904"/>
      <c r="C119" s="730"/>
      <c r="D119" s="741"/>
      <c r="E119" s="968"/>
      <c r="F119" s="969" t="s">
        <v>606</v>
      </c>
      <c r="G119" s="742"/>
      <c r="H119" s="743"/>
      <c r="I119" s="743"/>
      <c r="J119" s="998" t="s">
        <v>607</v>
      </c>
      <c r="K119" s="729"/>
      <c r="L119" s="730"/>
      <c r="M119" s="730"/>
      <c r="N119" s="904"/>
      <c r="O119" s="904"/>
      <c r="P119" s="904"/>
      <c r="Q119" s="904"/>
      <c r="R119" s="730"/>
      <c r="S119" s="904"/>
      <c r="T119" s="904"/>
      <c r="U119" s="731"/>
      <c r="V119" s="904"/>
      <c r="W119" s="904"/>
      <c r="X119" s="904"/>
      <c r="Y119" s="904"/>
      <c r="Z119" s="904"/>
      <c r="AA119" s="732"/>
      <c r="AB119" s="732"/>
      <c r="AC119" s="732"/>
      <c r="AD119" s="732"/>
      <c r="AE119" s="732"/>
    </row>
    <row customHeight="1" ht="22.5">
      <c r="A120" s="2192" t="s">
        <v>608</v>
      </c>
      <c r="D120" s="1663"/>
      <c r="E120" s="542" t="str">
        <f>FHD_NUM_P_78</f>
        <v>15</v>
      </c>
      <c r="F120" s="1905"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02" t="s">
        <v>571</v>
      </c>
      <c r="H120" s="573"/>
      <c r="I120" s="573"/>
      <c r="J120" s="270" t="str">
        <f>FHD_NOTE_P_78</f>
        <v/>
      </c>
      <c r="K120" s="539"/>
    </row>
    <row s="1667" customFormat="1" customHeight="1" ht="0.75">
      <c r="A121" s="2192"/>
      <c r="D121" s="544"/>
      <c r="E121" s="1008" t="str">
        <f>E120&amp;".0"</f>
        <v>15.0</v>
      </c>
      <c r="F121" s="992"/>
      <c r="G121" s="1676"/>
      <c r="H121" s="987"/>
      <c r="I121" s="987"/>
      <c r="J121" s="991"/>
    </row>
    <row customHeight="1" ht="15">
      <c r="A122" s="2192"/>
      <c r="D122" s="1658"/>
      <c r="E122" s="566"/>
      <c r="F122" s="1163" t="s">
        <v>597</v>
      </c>
      <c r="G122" s="568"/>
      <c r="H122" s="569"/>
      <c r="I122" s="569"/>
      <c r="J122" s="999" t="s">
        <v>609</v>
      </c>
      <c r="K122" s="539"/>
    </row>
    <row customHeight="1" ht="22.5">
      <c r="A123" s="2192"/>
      <c r="D123" s="1663"/>
      <c r="E123" s="542" t="str">
        <f>FHD_NUM_P_79</f>
        <v>16</v>
      </c>
      <c r="F123" s="1905"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03" t="s">
        <v>573</v>
      </c>
      <c r="H123" s="573"/>
      <c r="I123" s="573"/>
      <c r="J123" s="270"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39"/>
    </row>
    <row s="1667" customFormat="1" customHeight="1" ht="0.75">
      <c r="A124" s="2192"/>
      <c r="D124" s="544"/>
      <c r="E124" s="1008" t="str">
        <f>E123&amp;".0"</f>
        <v>16.0</v>
      </c>
      <c r="F124" s="993"/>
      <c r="G124" s="1676"/>
      <c r="H124" s="987"/>
      <c r="I124" s="987"/>
      <c r="J124" s="991"/>
    </row>
    <row customHeight="1" ht="15">
      <c r="A125" s="2192"/>
      <c r="D125" s="1658"/>
      <c r="E125" s="566"/>
      <c r="F125" s="1163" t="s">
        <v>597</v>
      </c>
      <c r="G125" s="568"/>
      <c r="H125" s="569"/>
      <c r="I125" s="569"/>
      <c r="J125" s="999" t="s">
        <v>610</v>
      </c>
      <c r="K125" s="539"/>
    </row>
    <row customHeight="1" ht="22.5">
      <c r="A126" s="2192"/>
      <c r="D126" s="1663"/>
      <c r="E126" s="542" t="str">
        <f>FHD_NUM_P_80</f>
        <v>17</v>
      </c>
      <c r="F126" s="1905"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03" t="s">
        <v>611</v>
      </c>
      <c r="H126" s="553"/>
      <c r="I126" s="553"/>
      <c r="J126" s="270" t="str">
        <f>FHD_NOTE_P_80</f>
        <v>Регулируемыми организациями указывается информация с по договорам, заключенным в рамках осуществления регулируемой деятельности.</v>
      </c>
      <c r="K126" s="539"/>
    </row>
    <row customHeight="1" ht="18.75">
      <c r="A127" s="2192"/>
      <c r="D127" s="1663"/>
      <c r="E127" s="542" t="str">
        <f>FHD_NUM_P_81</f>
        <v>18</v>
      </c>
      <c r="F127" s="1905"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03" t="s">
        <v>612</v>
      </c>
      <c r="H127" s="553"/>
      <c r="I127" s="553"/>
      <c r="J127" s="270" t="str">
        <f>FHD_NOTE_P_81</f>
        <v>Регулируемыми организациями указывается информация с по договорам, заключенным в рамках осуществления регулируемой деятельности.</v>
      </c>
      <c r="K127" s="539"/>
    </row>
    <row customHeight="1" ht="18.75">
      <c r="A128" s="2192"/>
      <c r="C128" s="1661" t="s">
        <v>599</v>
      </c>
      <c r="D128" s="1663"/>
      <c r="E128" s="542" t="str">
        <f>FHD_NUM_P_82</f>
        <v>19</v>
      </c>
      <c r="F128" s="1905"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03" t="s">
        <v>318</v>
      </c>
      <c r="H128" s="398"/>
      <c r="I128" s="398"/>
      <c r="J128" s="270" t="str">
        <f>FHD_NOTE_P_82</f>
        <v>Указывается ссылка на документ, предварительно загруженный в хранилище файлов ФГИС ЕИАС.</v>
      </c>
      <c r="K128" s="539"/>
    </row>
    <row customHeight="1" ht="18.75">
      <c r="A129" s="2192"/>
      <c r="C129" s="1661" t="s">
        <v>599</v>
      </c>
      <c r="D129" s="1663"/>
      <c r="E129" s="542" t="str">
        <f>FHD_NUM_P_83</f>
        <v>19.1</v>
      </c>
      <c r="F129" s="1541" t="str">
        <f>FHD_P_83</f>
        <v>Информация о показателях физического износа объектов теплоснабжения</v>
      </c>
      <c r="G129" s="1903" t="s">
        <v>318</v>
      </c>
      <c r="H129" s="398"/>
      <c r="I129" s="398"/>
      <c r="J129" s="270" t="str">
        <f>FHD_NOTE_P_83</f>
        <v>Указывается ссылка на документ, предварительно загруженный в хранилище файлов ФГИС ЕИАС.</v>
      </c>
      <c r="K129" s="539"/>
    </row>
    <row customHeight="1" ht="18.75">
      <c r="A130" s="2192"/>
      <c r="C130" s="1661" t="s">
        <v>599</v>
      </c>
      <c r="D130" s="1663"/>
      <c r="E130" s="542" t="str">
        <f>FHD_NUM_P_84</f>
        <v>19.2</v>
      </c>
      <c r="F130" s="1541" t="str">
        <f>FHD_P_84</f>
        <v>Информация о показателях энергетической эффективности объектов теплоснабжения</v>
      </c>
      <c r="G130" s="1903" t="s">
        <v>318</v>
      </c>
      <c r="H130" s="398"/>
      <c r="I130" s="398"/>
      <c r="J130" s="270" t="str">
        <f>FHD_NOTE_P_84</f>
        <v>Указывается ссылка на документ, предварительно загруженный в хранилище файлов ФГИС ЕИАС.</v>
      </c>
      <c r="K130" s="539"/>
    </row>
    <row customHeight="1" ht="11.25">
      <c r="D131" s="1663"/>
    </row>
    <row customHeight="1" ht="12.75">
      <c r="D132" s="1663"/>
      <c r="E132" s="324"/>
      <c r="F132" s="361"/>
      <c r="G132" s="361"/>
      <c r="H132" s="361"/>
      <c r="I132" s="1672"/>
      <c r="J132" s="577"/>
    </row>
    <row s="1666" customFormat="1" customHeight="1" ht="11.25">
      <c r="A133" s="982"/>
      <c r="B133" s="1661"/>
      <c r="C133" s="1661"/>
      <c r="D133" s="339"/>
      <c r="F133" s="1665"/>
      <c r="G133" s="1656"/>
      <c r="H133" s="1656"/>
      <c r="I133" s="1656"/>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H136" s="562" t="str">
        <f>IF(H30-H31&lt;&gt;H72,"WARNING","")</f>
        <v/>
      </c>
      <c r="I136" s="562" t="str">
        <f>IF(I30-I31&lt;&gt;I72,"WARNING","")</f>
        <v/>
      </c>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s="1666" customFormat="1" customHeight="1" ht="11.25">
      <c r="A205" s="982"/>
      <c r="B205" s="1661"/>
      <c r="C205" s="1661"/>
      <c r="D205" s="339"/>
      <c r="K205" s="1155"/>
      <c r="L205" s="1661"/>
      <c r="M205" s="1661"/>
      <c r="N205" s="1155"/>
      <c r="O205" s="1155"/>
      <c r="P205" s="1155"/>
      <c r="Q205" s="1155"/>
      <c r="R205" s="1661"/>
      <c r="S205" s="1155"/>
      <c r="T205" s="1155"/>
      <c r="U205" s="540"/>
      <c r="V205" s="1155"/>
      <c r="W205" s="1155"/>
      <c r="X205" s="1155"/>
      <c r="Y205" s="1155"/>
      <c r="Z205" s="1155"/>
      <c r="AA205" s="1657"/>
      <c r="AB205" s="562"/>
      <c r="AC205" s="562"/>
      <c r="AD205" s="562"/>
      <c r="AE205" s="562"/>
    </row>
    <row s="1666" customFormat="1" customHeight="1" ht="11.25">
      <c r="A206" s="982"/>
      <c r="B206" s="1661"/>
      <c r="C206" s="1661"/>
      <c r="D206" s="339"/>
      <c r="K206" s="1155"/>
      <c r="L206" s="1661"/>
      <c r="M206" s="1661"/>
      <c r="N206" s="1155"/>
      <c r="O206" s="1155"/>
      <c r="P206" s="1155"/>
      <c r="Q206" s="1155"/>
      <c r="R206" s="1661"/>
      <c r="S206" s="1155"/>
      <c r="T206" s="1155"/>
      <c r="U206" s="540"/>
      <c r="V206" s="1155"/>
      <c r="W206" s="1155"/>
      <c r="X206" s="1155"/>
      <c r="Y206" s="1155"/>
      <c r="Z206" s="1155"/>
      <c r="AA206" s="1657"/>
      <c r="AB206" s="562"/>
      <c r="AC206" s="562"/>
      <c r="AD206" s="562"/>
      <c r="AE206" s="562"/>
    </row>
    <row s="1666" customFormat="1" customHeight="1" ht="11.25">
      <c r="A207" s="982"/>
      <c r="B207" s="1661"/>
      <c r="C207" s="1661"/>
      <c r="D207" s="339"/>
      <c r="K207" s="1155"/>
      <c r="L207" s="1661"/>
      <c r="M207" s="1661"/>
      <c r="N207" s="1155"/>
      <c r="O207" s="1155"/>
      <c r="P207" s="1155"/>
      <c r="Q207" s="1155"/>
      <c r="R207" s="1661"/>
      <c r="S207" s="1155"/>
      <c r="T207" s="1155"/>
      <c r="U207" s="540"/>
      <c r="V207" s="1155"/>
      <c r="W207" s="1155"/>
      <c r="X207" s="1155"/>
      <c r="Y207" s="1155"/>
      <c r="Z207" s="1155"/>
      <c r="AA207" s="1657"/>
      <c r="AB207" s="562"/>
      <c r="AC207" s="562"/>
      <c r="AD207" s="562"/>
      <c r="AE207" s="562"/>
    </row>
    <row s="1666" customFormat="1" customHeight="1" ht="11.25">
      <c r="A208" s="982"/>
      <c r="B208" s="1661"/>
      <c r="C208" s="1661"/>
      <c r="D208" s="339"/>
      <c r="K208" s="1155"/>
      <c r="L208" s="1661"/>
      <c r="M208" s="1661"/>
      <c r="N208" s="1155"/>
      <c r="O208" s="1155"/>
      <c r="P208" s="1155"/>
      <c r="Q208" s="1155"/>
      <c r="R208" s="1661"/>
      <c r="S208" s="1155"/>
      <c r="T208" s="1155"/>
      <c r="U208" s="540"/>
      <c r="V208" s="1155"/>
      <c r="W208" s="1155"/>
      <c r="X208" s="1155"/>
      <c r="Y208" s="1155"/>
      <c r="Z208" s="1155"/>
      <c r="AA208" s="1657"/>
      <c r="AB208" s="562"/>
      <c r="AC208" s="562"/>
      <c r="AD208" s="562"/>
      <c r="AE208" s="562"/>
    </row>
    <row s="1666" customFormat="1" customHeight="1" ht="11.25">
      <c r="A209" s="982"/>
      <c r="B209" s="1661"/>
      <c r="C209" s="1661"/>
      <c r="D209" s="339"/>
      <c r="K209" s="1155"/>
      <c r="L209" s="1661"/>
      <c r="M209" s="1661"/>
      <c r="N209" s="1155"/>
      <c r="O209" s="1155"/>
      <c r="P209" s="1155"/>
      <c r="Q209" s="1155"/>
      <c r="R209" s="1661"/>
      <c r="S209" s="1155"/>
      <c r="T209" s="1155"/>
      <c r="U209" s="540"/>
      <c r="V209" s="1155"/>
      <c r="W209" s="1155"/>
      <c r="X209" s="1155"/>
      <c r="Y209" s="1155"/>
      <c r="Z209" s="1155"/>
      <c r="AA209" s="1657"/>
      <c r="AB209" s="562"/>
      <c r="AC209" s="562"/>
      <c r="AD209" s="562"/>
      <c r="AE209" s="562"/>
    </row>
    <row s="1666" customFormat="1" customHeight="1" ht="11.25">
      <c r="A210" s="982"/>
      <c r="B210" s="1661"/>
      <c r="C210" s="1661"/>
      <c r="D210" s="339"/>
      <c r="K210" s="1155"/>
      <c r="L210" s="1661"/>
      <c r="M210" s="1661"/>
      <c r="N210" s="1155"/>
      <c r="O210" s="1155"/>
      <c r="P210" s="1155"/>
      <c r="Q210" s="1155"/>
      <c r="R210" s="1661"/>
      <c r="S210" s="1155"/>
      <c r="T210" s="1155"/>
      <c r="U210" s="540"/>
      <c r="V210" s="1155"/>
      <c r="W210" s="1155"/>
      <c r="X210" s="1155"/>
      <c r="Y210" s="1155"/>
      <c r="Z210" s="1155"/>
      <c r="AA210" s="1657"/>
      <c r="AB210" s="562"/>
      <c r="AC210" s="562"/>
      <c r="AD210" s="562"/>
      <c r="AE210" s="562"/>
    </row>
    <row s="1666" customFormat="1" customHeight="1" ht="11.25">
      <c r="A211" s="982"/>
      <c r="B211" s="1661"/>
      <c r="C211" s="1661"/>
      <c r="D211" s="339"/>
      <c r="K211" s="1155"/>
      <c r="L211" s="1661"/>
      <c r="M211" s="1661"/>
      <c r="N211" s="1155"/>
      <c r="O211" s="1155"/>
      <c r="P211" s="1155"/>
      <c r="Q211" s="1155"/>
      <c r="R211" s="1661"/>
      <c r="S211" s="1155"/>
      <c r="T211" s="1155"/>
      <c r="U211" s="540"/>
      <c r="V211" s="1155"/>
      <c r="W211" s="1155"/>
      <c r="X211" s="1155"/>
      <c r="Y211" s="1155"/>
      <c r="Z211" s="1155"/>
      <c r="AA211" s="1657"/>
      <c r="AB211" s="562"/>
      <c r="AC211" s="562"/>
      <c r="AD211" s="562"/>
      <c r="AE211" s="562"/>
    </row>
    <row s="1666" customFormat="1" customHeight="1" ht="11.25">
      <c r="A212" s="982"/>
      <c r="B212" s="1661"/>
      <c r="C212" s="1661"/>
      <c r="D212" s="339"/>
      <c r="K212" s="1155"/>
      <c r="L212" s="1661"/>
      <c r="M212" s="1661"/>
      <c r="N212" s="1155"/>
      <c r="O212" s="1155"/>
      <c r="P212" s="1155"/>
      <c r="Q212" s="1155"/>
      <c r="R212" s="1661"/>
      <c r="S212" s="1155"/>
      <c r="T212" s="1155"/>
      <c r="U212" s="540"/>
      <c r="V212" s="1155"/>
      <c r="W212" s="1155"/>
      <c r="X212" s="1155"/>
      <c r="Y212" s="1155"/>
      <c r="Z212" s="1155"/>
      <c r="AA212" s="1657"/>
      <c r="AB212" s="562"/>
      <c r="AC212" s="562"/>
      <c r="AD212" s="562"/>
      <c r="AE212" s="562"/>
    </row>
    <row s="1666" customFormat="1" customHeight="1" ht="11.25">
      <c r="A213" s="982"/>
      <c r="B213" s="1661"/>
      <c r="C213" s="1661"/>
      <c r="D213" s="339"/>
      <c r="K213" s="1155"/>
      <c r="L213" s="1661"/>
      <c r="M213" s="1661"/>
      <c r="N213" s="1155"/>
      <c r="O213" s="1155"/>
      <c r="P213" s="1155"/>
      <c r="Q213" s="1155"/>
      <c r="R213" s="1661"/>
      <c r="S213" s="1155"/>
      <c r="T213" s="1155"/>
      <c r="U213" s="540"/>
      <c r="V213" s="1155"/>
      <c r="W213" s="1155"/>
      <c r="X213" s="1155"/>
      <c r="Y213" s="1155"/>
      <c r="Z213" s="1155"/>
      <c r="AA213" s="1657"/>
      <c r="AB213" s="562"/>
      <c r="AC213" s="562"/>
      <c r="AD213" s="562"/>
      <c r="AE213" s="562"/>
    </row>
    <row s="1666" customFormat="1" customHeight="1" ht="11.25">
      <c r="A214" s="982"/>
      <c r="B214" s="1661"/>
      <c r="C214" s="1661"/>
      <c r="D214" s="339"/>
      <c r="K214" s="1155"/>
      <c r="L214" s="1661"/>
      <c r="M214" s="1661"/>
      <c r="N214" s="1155"/>
      <c r="O214" s="1155"/>
      <c r="P214" s="1155"/>
      <c r="Q214" s="1155"/>
      <c r="R214" s="1661"/>
      <c r="S214" s="1155"/>
      <c r="T214" s="1155"/>
      <c r="U214" s="540"/>
      <c r="V214" s="1155"/>
      <c r="W214" s="1155"/>
      <c r="X214" s="1155"/>
      <c r="Y214" s="1155"/>
      <c r="Z214" s="1155"/>
      <c r="AA214" s="1657"/>
      <c r="AB214" s="562"/>
      <c r="AC214" s="562"/>
      <c r="AD214" s="562"/>
      <c r="AE214" s="562"/>
    </row>
    <row s="1666" customFormat="1" customHeight="1" ht="11.25">
      <c r="A215" s="982"/>
      <c r="B215" s="1661"/>
      <c r="C215" s="1661"/>
      <c r="D215" s="339"/>
      <c r="K215" s="1155"/>
      <c r="L215" s="1661"/>
      <c r="M215" s="1661"/>
      <c r="N215" s="1155"/>
      <c r="O215" s="1155"/>
      <c r="P215" s="1155"/>
      <c r="Q215" s="1155"/>
      <c r="R215" s="1661"/>
      <c r="S215" s="1155"/>
      <c r="T215" s="1155"/>
      <c r="U215" s="540"/>
      <c r="V215" s="1155"/>
      <c r="W215" s="1155"/>
      <c r="X215" s="1155"/>
      <c r="Y215" s="1155"/>
      <c r="Z215" s="1155"/>
      <c r="AA215" s="1657"/>
      <c r="AB215" s="562"/>
      <c r="AC215" s="562"/>
      <c r="AD215" s="562"/>
      <c r="AE215" s="562"/>
    </row>
    <row s="1666" customFormat="1" customHeight="1" ht="11.25">
      <c r="A216" s="982"/>
      <c r="B216" s="1661"/>
      <c r="C216" s="1661"/>
      <c r="D216" s="339"/>
      <c r="K216" s="1155"/>
      <c r="L216" s="1661"/>
      <c r="M216" s="1661"/>
      <c r="N216" s="1155"/>
      <c r="O216" s="1155"/>
      <c r="P216" s="1155"/>
      <c r="Q216" s="1155"/>
      <c r="R216" s="1661"/>
      <c r="S216" s="1155"/>
      <c r="T216" s="1155"/>
      <c r="U216" s="540"/>
      <c r="V216" s="1155"/>
      <c r="W216" s="1155"/>
      <c r="X216" s="1155"/>
      <c r="Y216" s="1155"/>
      <c r="Z216" s="1155"/>
      <c r="AA216" s="1657"/>
      <c r="AB216" s="562"/>
      <c r="AC216" s="562"/>
      <c r="AD216" s="562"/>
      <c r="AE216" s="562"/>
    </row>
    <row s="1666" customFormat="1" customHeight="1" ht="11.25">
      <c r="A217" s="982"/>
      <c r="B217" s="1661"/>
      <c r="C217" s="1661"/>
      <c r="D217" s="339"/>
      <c r="K217" s="1155"/>
      <c r="L217" s="1661"/>
      <c r="M217" s="1661"/>
      <c r="N217" s="1155"/>
      <c r="O217" s="1155"/>
      <c r="P217" s="1155"/>
      <c r="Q217" s="1155"/>
      <c r="R217" s="1661"/>
      <c r="S217" s="1155"/>
      <c r="T217" s="1155"/>
      <c r="U217" s="540"/>
      <c r="V217" s="1155"/>
      <c r="W217" s="1155"/>
      <c r="X217" s="1155"/>
      <c r="Y217" s="1155"/>
      <c r="Z217" s="1155"/>
      <c r="AA217" s="1657"/>
      <c r="AB217" s="562"/>
      <c r="AC217" s="562"/>
      <c r="AD217" s="562"/>
      <c r="AE217" s="562"/>
    </row>
    <row s="1666" customFormat="1" customHeight="1" ht="11.25">
      <c r="A218" s="982"/>
      <c r="B218" s="1661"/>
      <c r="C218" s="1661"/>
      <c r="D218" s="339"/>
      <c r="K218" s="1155"/>
      <c r="L218" s="1661"/>
      <c r="M218" s="1661"/>
      <c r="N218" s="1155"/>
      <c r="O218" s="1155"/>
      <c r="P218" s="1155"/>
      <c r="Q218" s="1155"/>
      <c r="R218" s="1661"/>
      <c r="S218" s="1155"/>
      <c r="T218" s="1155"/>
      <c r="U218" s="540"/>
      <c r="V218" s="1155"/>
      <c r="W218" s="1155"/>
      <c r="X218" s="1155"/>
      <c r="Y218" s="1155"/>
      <c r="Z218" s="1155"/>
      <c r="AA218" s="1657"/>
      <c r="AB218" s="562"/>
      <c r="AC218" s="562"/>
      <c r="AD218" s="562"/>
      <c r="AE218" s="562"/>
    </row>
    <row s="1666" customFormat="1" customHeight="1" ht="11.25">
      <c r="A219" s="982"/>
      <c r="B219" s="1661"/>
      <c r="C219" s="1661"/>
      <c r="D219" s="339"/>
      <c r="K219" s="1155"/>
      <c r="L219" s="1661"/>
      <c r="M219" s="1661"/>
      <c r="N219" s="1155"/>
      <c r="O219" s="1155"/>
      <c r="P219" s="1155"/>
      <c r="Q219" s="1155"/>
      <c r="R219" s="1661"/>
      <c r="S219" s="1155"/>
      <c r="T219" s="1155"/>
      <c r="U219" s="540"/>
      <c r="V219" s="1155"/>
      <c r="W219" s="1155"/>
      <c r="X219" s="1155"/>
      <c r="Y219" s="1155"/>
      <c r="Z219" s="1155"/>
      <c r="AA219" s="1657"/>
      <c r="AB219" s="562"/>
      <c r="AC219" s="562"/>
      <c r="AD219" s="562"/>
      <c r="AE219" s="562"/>
    </row>
    <row s="1666" customFormat="1" customHeight="1" ht="11.25">
      <c r="A220" s="982"/>
      <c r="B220" s="1661"/>
      <c r="C220" s="1661"/>
      <c r="D220" s="339"/>
      <c r="K220" s="1155"/>
      <c r="L220" s="1661"/>
      <c r="M220" s="1661"/>
      <c r="N220" s="1155"/>
      <c r="O220" s="1155"/>
      <c r="P220" s="1155"/>
      <c r="Q220" s="1155"/>
      <c r="R220" s="1661"/>
      <c r="S220" s="1155"/>
      <c r="T220" s="1155"/>
      <c r="U220" s="540"/>
      <c r="V220" s="1155"/>
      <c r="W220" s="1155"/>
      <c r="X220" s="1155"/>
      <c r="Y220" s="1155"/>
      <c r="Z220" s="1155"/>
      <c r="AA220" s="1657"/>
      <c r="AB220" s="562"/>
      <c r="AC220" s="562"/>
      <c r="AD220" s="562"/>
      <c r="AE220" s="562"/>
    </row>
    <row s="1666" customFormat="1" customHeight="1" ht="11.25">
      <c r="A221" s="982"/>
      <c r="B221" s="1661"/>
      <c r="C221" s="1661"/>
      <c r="D221" s="339"/>
      <c r="K221" s="1155"/>
      <c r="L221" s="1661"/>
      <c r="M221" s="1661"/>
      <c r="N221" s="1155"/>
      <c r="O221" s="1155"/>
      <c r="P221" s="1155"/>
      <c r="Q221" s="1155"/>
      <c r="R221" s="1661"/>
      <c r="S221" s="1155"/>
      <c r="T221" s="1155"/>
      <c r="U221" s="540"/>
      <c r="V221" s="1155"/>
      <c r="W221" s="1155"/>
      <c r="X221" s="1155"/>
      <c r="Y221" s="1155"/>
      <c r="Z221" s="1155"/>
      <c r="AA221" s="1657"/>
      <c r="AB221" s="562"/>
      <c r="AC221" s="562"/>
      <c r="AD221" s="562"/>
      <c r="AE221" s="562"/>
    </row>
    <row s="1666" customFormat="1" customHeight="1" ht="11.25">
      <c r="A222" s="982"/>
      <c r="B222" s="1661"/>
      <c r="C222" s="1661"/>
      <c r="D222" s="339"/>
      <c r="K222" s="1155"/>
      <c r="L222" s="1661"/>
      <c r="M222" s="1661"/>
      <c r="N222" s="1155"/>
      <c r="O222" s="1155"/>
      <c r="P222" s="1155"/>
      <c r="Q222" s="1155"/>
      <c r="R222" s="1661"/>
      <c r="S222" s="1155"/>
      <c r="T222" s="1155"/>
      <c r="U222" s="540"/>
      <c r="V222" s="1155"/>
      <c r="W222" s="1155"/>
      <c r="X222" s="1155"/>
      <c r="Y222" s="1155"/>
      <c r="Z222" s="1155"/>
      <c r="AA222" s="1657"/>
      <c r="AB222" s="562"/>
      <c r="AC222" s="562"/>
      <c r="AD222" s="562"/>
      <c r="AE222" s="562"/>
    </row>
    <row s="1666" customFormat="1" customHeight="1" ht="11.25">
      <c r="A223" s="982"/>
      <c r="B223" s="1661"/>
      <c r="C223" s="1661"/>
      <c r="D223" s="339"/>
      <c r="K223" s="1155"/>
      <c r="L223" s="1661"/>
      <c r="M223" s="1661"/>
      <c r="N223" s="1155"/>
      <c r="O223" s="1155"/>
      <c r="P223" s="1155"/>
      <c r="Q223" s="1155"/>
      <c r="R223" s="1661"/>
      <c r="S223" s="1155"/>
      <c r="T223" s="1155"/>
      <c r="U223" s="540"/>
      <c r="V223" s="1155"/>
      <c r="W223" s="1155"/>
      <c r="X223" s="1155"/>
      <c r="Y223" s="1155"/>
      <c r="Z223" s="1155"/>
      <c r="AA223" s="1657"/>
      <c r="AB223" s="562"/>
      <c r="AC223" s="562"/>
      <c r="AD223" s="562"/>
      <c r="AE223" s="562"/>
    </row>
    <row s="1666" customFormat="1" customHeight="1" ht="11.25">
      <c r="A224" s="982"/>
      <c r="B224" s="1661"/>
      <c r="C224" s="1661"/>
      <c r="D224" s="339"/>
      <c r="K224" s="1155"/>
      <c r="L224" s="1661"/>
      <c r="M224" s="1661"/>
      <c r="N224" s="1155"/>
      <c r="O224" s="1155"/>
      <c r="P224" s="1155"/>
      <c r="Q224" s="1155"/>
      <c r="R224" s="1661"/>
      <c r="S224" s="1155"/>
      <c r="T224" s="1155"/>
      <c r="U224" s="540"/>
      <c r="V224" s="1155"/>
      <c r="W224" s="1155"/>
      <c r="X224" s="1155"/>
      <c r="Y224" s="1155"/>
      <c r="Z224" s="1155"/>
      <c r="AA224" s="1657"/>
      <c r="AB224" s="562"/>
      <c r="AC224" s="562"/>
      <c r="AD224" s="562"/>
      <c r="AE224" s="562"/>
    </row>
    <row s="1666" customFormat="1" customHeight="1" ht="11.25">
      <c r="A225" s="982"/>
      <c r="B225" s="1661"/>
      <c r="C225" s="1661"/>
      <c r="D225" s="339"/>
      <c r="K225" s="1155"/>
      <c r="L225" s="1661"/>
      <c r="M225" s="1661"/>
      <c r="N225" s="1155"/>
      <c r="O225" s="1155"/>
      <c r="P225" s="1155"/>
      <c r="Q225" s="1155"/>
      <c r="R225" s="1661"/>
      <c r="S225" s="1155"/>
      <c r="T225" s="1155"/>
      <c r="U225" s="540"/>
      <c r="V225" s="1155"/>
      <c r="W225" s="1155"/>
      <c r="X225" s="1155"/>
      <c r="Y225" s="1155"/>
      <c r="Z225" s="1155"/>
      <c r="AA225" s="1657"/>
      <c r="AB225" s="562"/>
      <c r="AC225" s="562"/>
      <c r="AD225" s="562"/>
      <c r="AE225" s="562"/>
    </row>
    <row s="1666" customFormat="1" customHeight="1" ht="11.25">
      <c r="A226" s="982"/>
      <c r="B226" s="1661"/>
      <c r="C226" s="1661"/>
      <c r="D226" s="339"/>
      <c r="K226" s="1155"/>
      <c r="L226" s="1661"/>
      <c r="M226" s="1661"/>
      <c r="N226" s="1155"/>
      <c r="O226" s="1155"/>
      <c r="P226" s="1155"/>
      <c r="Q226" s="1155"/>
      <c r="R226" s="1661"/>
      <c r="S226" s="1155"/>
      <c r="T226" s="1155"/>
      <c r="U226" s="540"/>
      <c r="V226" s="1155"/>
      <c r="W226" s="1155"/>
      <c r="X226" s="1155"/>
      <c r="Y226" s="1155"/>
      <c r="Z226" s="1155"/>
      <c r="AA226" s="1657"/>
      <c r="AB226" s="562"/>
      <c r="AC226" s="562"/>
      <c r="AD226" s="562"/>
      <c r="AE226" s="562"/>
    </row>
    <row s="1666" customFormat="1" customHeight="1" ht="11.25">
      <c r="A227" s="982"/>
      <c r="B227" s="1661"/>
      <c r="C227" s="1661"/>
      <c r="D227" s="339"/>
      <c r="K227" s="1155"/>
      <c r="L227" s="1661"/>
      <c r="M227" s="1661"/>
      <c r="N227" s="1155"/>
      <c r="O227" s="1155"/>
      <c r="P227" s="1155"/>
      <c r="Q227" s="1155"/>
      <c r="R227" s="1661"/>
      <c r="S227" s="1155"/>
      <c r="T227" s="1155"/>
      <c r="U227" s="540"/>
      <c r="V227" s="1155"/>
      <c r="W227" s="1155"/>
      <c r="X227" s="1155"/>
      <c r="Y227" s="1155"/>
      <c r="Z227" s="1155"/>
      <c r="AA227" s="1657"/>
      <c r="AB227" s="562"/>
      <c r="AC227" s="562"/>
      <c r="AD227" s="562"/>
      <c r="AE227" s="562"/>
    </row>
    <row s="1666" customFormat="1" customHeight="1" ht="11.25">
      <c r="A228" s="982"/>
      <c r="B228" s="1661"/>
      <c r="C228" s="1661"/>
      <c r="D228" s="339"/>
      <c r="K228" s="1155"/>
      <c r="L228" s="1661"/>
      <c r="M228" s="1661"/>
      <c r="N228" s="1155"/>
      <c r="O228" s="1155"/>
      <c r="P228" s="1155"/>
      <c r="Q228" s="1155"/>
      <c r="R228" s="1661"/>
      <c r="S228" s="1155"/>
      <c r="T228" s="1155"/>
      <c r="U228" s="540"/>
      <c r="V228" s="1155"/>
      <c r="W228" s="1155"/>
      <c r="X228" s="1155"/>
      <c r="Y228" s="1155"/>
      <c r="Z228" s="1155"/>
      <c r="AA228" s="1657"/>
      <c r="AB228" s="562"/>
      <c r="AC228" s="562"/>
      <c r="AD228" s="562"/>
      <c r="AE228" s="562"/>
    </row>
    <row s="1666" customFormat="1" customHeight="1" ht="11.25">
      <c r="A229" s="982"/>
      <c r="B229" s="1661"/>
      <c r="C229" s="1661"/>
      <c r="D229" s="339"/>
      <c r="K229" s="1155"/>
      <c r="L229" s="1661"/>
      <c r="M229" s="1661"/>
      <c r="N229" s="1155"/>
      <c r="O229" s="1155"/>
      <c r="P229" s="1155"/>
      <c r="Q229" s="1155"/>
      <c r="R229" s="1661"/>
      <c r="S229" s="1155"/>
      <c r="T229" s="1155"/>
      <c r="U229" s="540"/>
      <c r="V229" s="1155"/>
      <c r="W229" s="1155"/>
      <c r="X229" s="1155"/>
      <c r="Y229" s="1155"/>
      <c r="Z229" s="1155"/>
      <c r="AA229" s="1657"/>
      <c r="AB229" s="562"/>
      <c r="AC229" s="562"/>
      <c r="AD229" s="562"/>
      <c r="AE229" s="562"/>
    </row>
    <row s="1666" customFormat="1" customHeight="1" ht="11.25">
      <c r="A230" s="982"/>
      <c r="B230" s="1661"/>
      <c r="C230" s="1661"/>
      <c r="D230" s="339"/>
      <c r="K230" s="1155"/>
      <c r="L230" s="1661"/>
      <c r="M230" s="1661"/>
      <c r="N230" s="1155"/>
      <c r="O230" s="1155"/>
      <c r="P230" s="1155"/>
      <c r="Q230" s="1155"/>
      <c r="R230" s="1661"/>
      <c r="S230" s="1155"/>
      <c r="T230" s="1155"/>
      <c r="U230" s="540"/>
      <c r="V230" s="1155"/>
      <c r="W230" s="1155"/>
      <c r="X230" s="1155"/>
      <c r="Y230" s="1155"/>
      <c r="Z230" s="1155"/>
      <c r="AA230" s="1657"/>
      <c r="AB230" s="562"/>
      <c r="AC230" s="562"/>
      <c r="AD230" s="562"/>
      <c r="AE230" s="562"/>
    </row>
    <row s="1666" customFormat="1" customHeight="1" ht="11.25">
      <c r="A231" s="982"/>
      <c r="B231" s="1661"/>
      <c r="C231" s="1661"/>
      <c r="D231" s="339"/>
      <c r="K231" s="1155"/>
      <c r="L231" s="1661"/>
      <c r="M231" s="1661"/>
      <c r="N231" s="1155"/>
      <c r="O231" s="1155"/>
      <c r="P231" s="1155"/>
      <c r="Q231" s="1155"/>
      <c r="R231" s="1661"/>
      <c r="S231" s="1155"/>
      <c r="T231" s="1155"/>
      <c r="U231" s="540"/>
      <c r="V231" s="1155"/>
      <c r="W231" s="1155"/>
      <c r="X231" s="1155"/>
      <c r="Y231" s="1155"/>
      <c r="Z231" s="1155"/>
      <c r="AA231" s="1657"/>
      <c r="AB231" s="562"/>
      <c r="AC231" s="562"/>
      <c r="AD231" s="562"/>
      <c r="AE231" s="562"/>
    </row>
    <row s="1666" customFormat="1" customHeight="1" ht="11.25">
      <c r="A232" s="982"/>
      <c r="B232" s="1661"/>
      <c r="C232" s="1661"/>
      <c r="D232" s="339"/>
      <c r="K232" s="1155"/>
      <c r="L232" s="1661"/>
      <c r="M232" s="1661"/>
      <c r="N232" s="1155"/>
      <c r="O232" s="1155"/>
      <c r="P232" s="1155"/>
      <c r="Q232" s="1155"/>
      <c r="R232" s="1661"/>
      <c r="S232" s="1155"/>
      <c r="T232" s="1155"/>
      <c r="U232" s="540"/>
      <c r="V232" s="1155"/>
      <c r="W232" s="1155"/>
      <c r="X232" s="1155"/>
      <c r="Y232" s="1155"/>
      <c r="Z232" s="1155"/>
      <c r="AA232" s="1657"/>
      <c r="AB232" s="562"/>
      <c r="AC232" s="562"/>
      <c r="AD232" s="562"/>
      <c r="AE232" s="562"/>
    </row>
    <row s="1666" customFormat="1" customHeight="1" ht="11.25">
      <c r="A233" s="982"/>
      <c r="B233" s="1661"/>
      <c r="C233" s="1661"/>
      <c r="D233" s="339"/>
      <c r="K233" s="1155"/>
      <c r="L233" s="1661"/>
      <c r="M233" s="1661"/>
      <c r="N233" s="1155"/>
      <c r="O233" s="1155"/>
      <c r="P233" s="1155"/>
      <c r="Q233" s="1155"/>
      <c r="R233" s="1661"/>
      <c r="S233" s="1155"/>
      <c r="T233" s="1155"/>
      <c r="U233" s="540"/>
      <c r="V233" s="1155"/>
      <c r="W233" s="1155"/>
      <c r="X233" s="1155"/>
      <c r="Y233" s="1155"/>
      <c r="Z233" s="1155"/>
      <c r="AA233" s="1657"/>
      <c r="AB233" s="562"/>
      <c r="AC233" s="562"/>
      <c r="AD233" s="562"/>
      <c r="AE233" s="562"/>
    </row>
    <row s="1666" customFormat="1" customHeight="1" ht="11.25">
      <c r="A234" s="982"/>
      <c r="B234" s="1661"/>
      <c r="C234" s="1661"/>
      <c r="D234" s="339"/>
      <c r="K234" s="1155"/>
      <c r="L234" s="1661"/>
      <c r="M234" s="1661"/>
      <c r="N234" s="1155"/>
      <c r="O234" s="1155"/>
      <c r="P234" s="1155"/>
      <c r="Q234" s="1155"/>
      <c r="R234" s="1661"/>
      <c r="S234" s="1155"/>
      <c r="T234" s="1155"/>
      <c r="U234" s="540"/>
      <c r="V234" s="1155"/>
      <c r="W234" s="1155"/>
      <c r="X234" s="1155"/>
      <c r="Y234" s="1155"/>
      <c r="Z234" s="1155"/>
      <c r="AA234" s="1657"/>
      <c r="AB234" s="562"/>
      <c r="AC234" s="562"/>
      <c r="AD234" s="562"/>
      <c r="AE234" s="562"/>
    </row>
    <row s="1666" customFormat="1" customHeight="1" ht="11.25">
      <c r="A235" s="982"/>
      <c r="B235" s="1661"/>
      <c r="C235" s="1661"/>
      <c r="D235" s="339"/>
      <c r="K235" s="1155"/>
      <c r="L235" s="1661"/>
      <c r="M235" s="1661"/>
      <c r="N235" s="1155"/>
      <c r="O235" s="1155"/>
      <c r="P235" s="1155"/>
      <c r="Q235" s="1155"/>
      <c r="R235" s="1661"/>
      <c r="S235" s="1155"/>
      <c r="T235" s="1155"/>
      <c r="U235" s="540"/>
      <c r="V235" s="1155"/>
      <c r="W235" s="1155"/>
      <c r="X235" s="1155"/>
      <c r="Y235" s="1155"/>
      <c r="Z235" s="1155"/>
      <c r="AA235" s="1657"/>
      <c r="AB235" s="562"/>
      <c r="AC235" s="562"/>
      <c r="AD235" s="562"/>
      <c r="AE235" s="562"/>
    </row>
    <row s="1666" customFormat="1" customHeight="1" ht="11.25">
      <c r="A236" s="982"/>
      <c r="B236" s="1661"/>
      <c r="C236" s="1661"/>
      <c r="D236" s="339"/>
      <c r="K236" s="1155"/>
      <c r="L236" s="1661"/>
      <c r="M236" s="1661"/>
      <c r="N236" s="1155"/>
      <c r="O236" s="1155"/>
      <c r="P236" s="1155"/>
      <c r="Q236" s="1155"/>
      <c r="R236" s="1661"/>
      <c r="S236" s="1155"/>
      <c r="T236" s="1155"/>
      <c r="U236" s="540"/>
      <c r="V236" s="1155"/>
      <c r="W236" s="1155"/>
      <c r="X236" s="1155"/>
      <c r="Y236" s="1155"/>
      <c r="Z236" s="1155"/>
      <c r="AA236" s="1657"/>
      <c r="AB236" s="562"/>
      <c r="AC236" s="562"/>
      <c r="AD236" s="562"/>
      <c r="AE236" s="562"/>
    </row>
    <row s="1666" customFormat="1" customHeight="1" ht="11.25">
      <c r="A237" s="982"/>
      <c r="B237" s="1661"/>
      <c r="C237" s="1661"/>
      <c r="D237" s="339"/>
      <c r="K237" s="1155"/>
      <c r="L237" s="1661"/>
      <c r="M237" s="1661"/>
      <c r="N237" s="1155"/>
      <c r="O237" s="1155"/>
      <c r="P237" s="1155"/>
      <c r="Q237" s="1155"/>
      <c r="R237" s="1661"/>
      <c r="S237" s="1155"/>
      <c r="T237" s="1155"/>
      <c r="U237" s="540"/>
      <c r="V237" s="1155"/>
      <c r="W237" s="1155"/>
      <c r="X237" s="1155"/>
      <c r="Y237" s="1155"/>
      <c r="Z237" s="1155"/>
      <c r="AA237" s="1657"/>
      <c r="AB237" s="562"/>
      <c r="AC237" s="562"/>
      <c r="AD237" s="562"/>
      <c r="AE237" s="562"/>
    </row>
    <row s="1666" customFormat="1" customHeight="1" ht="11.25">
      <c r="A238" s="982"/>
      <c r="B238" s="1661"/>
      <c r="C238" s="1661"/>
      <c r="D238" s="339"/>
      <c r="K238" s="1155"/>
      <c r="L238" s="1661"/>
      <c r="M238" s="1661"/>
      <c r="N238" s="1155"/>
      <c r="O238" s="1155"/>
      <c r="P238" s="1155"/>
      <c r="Q238" s="1155"/>
      <c r="R238" s="1661"/>
      <c r="S238" s="1155"/>
      <c r="T238" s="1155"/>
      <c r="U238" s="540"/>
      <c r="V238" s="1155"/>
      <c r="W238" s="1155"/>
      <c r="X238" s="1155"/>
      <c r="Y238" s="1155"/>
      <c r="Z238" s="1155"/>
      <c r="AA238" s="1657"/>
      <c r="AB238" s="562"/>
      <c r="AC238" s="562"/>
      <c r="AD238" s="562"/>
      <c r="AE238" s="562"/>
    </row>
    <row s="1666" customFormat="1" customHeight="1" ht="11.25">
      <c r="A239" s="982"/>
      <c r="B239" s="1661"/>
      <c r="C239" s="1661"/>
      <c r="D239" s="339"/>
      <c r="K239" s="1155"/>
      <c r="L239" s="1661"/>
      <c r="M239" s="1661"/>
      <c r="N239" s="1155"/>
      <c r="O239" s="1155"/>
      <c r="P239" s="1155"/>
      <c r="Q239" s="1155"/>
      <c r="R239" s="1661"/>
      <c r="S239" s="1155"/>
      <c r="T239" s="1155"/>
      <c r="U239" s="540"/>
      <c r="V239" s="1155"/>
      <c r="W239" s="1155"/>
      <c r="X239" s="1155"/>
      <c r="Y239" s="1155"/>
      <c r="Z239" s="1155"/>
      <c r="AA239" s="1657"/>
      <c r="AB239" s="562"/>
      <c r="AC239" s="562"/>
      <c r="AD239" s="562"/>
      <c r="AE239" s="562"/>
    </row>
    <row s="1666" customFormat="1" customHeight="1" ht="11.25">
      <c r="A240" s="982"/>
      <c r="B240" s="1661"/>
      <c r="C240" s="1661"/>
      <c r="D240" s="339"/>
      <c r="K240" s="1155"/>
      <c r="L240" s="1661"/>
      <c r="M240" s="1661"/>
      <c r="N240" s="1155"/>
      <c r="O240" s="1155"/>
      <c r="P240" s="1155"/>
      <c r="Q240" s="1155"/>
      <c r="R240" s="1661"/>
      <c r="S240" s="1155"/>
      <c r="T240" s="1155"/>
      <c r="U240" s="540"/>
      <c r="V240" s="1155"/>
      <c r="W240" s="1155"/>
      <c r="X240" s="1155"/>
      <c r="Y240" s="1155"/>
      <c r="Z240" s="1155"/>
      <c r="AA240" s="1657"/>
      <c r="AB240" s="562"/>
      <c r="AC240" s="562"/>
      <c r="AD240" s="562"/>
      <c r="AE240" s="562"/>
    </row>
    <row s="1666" customFormat="1" customHeight="1" ht="11.25">
      <c r="A241" s="982"/>
      <c r="B241" s="1661"/>
      <c r="C241" s="1661"/>
      <c r="D241" s="339"/>
      <c r="K241" s="1155"/>
      <c r="L241" s="1661"/>
      <c r="M241" s="1661"/>
      <c r="N241" s="1155"/>
      <c r="O241" s="1155"/>
      <c r="P241" s="1155"/>
      <c r="Q241" s="1155"/>
      <c r="R241" s="1661"/>
      <c r="S241" s="1155"/>
      <c r="T241" s="1155"/>
      <c r="U241" s="540"/>
      <c r="V241" s="1155"/>
      <c r="W241" s="1155"/>
      <c r="X241" s="1155"/>
      <c r="Y241" s="1155"/>
      <c r="Z241" s="1155"/>
      <c r="AA241" s="1657"/>
      <c r="AB241" s="562"/>
      <c r="AC241" s="562"/>
      <c r="AD241" s="562"/>
      <c r="AE241" s="562"/>
    </row>
    <row s="1666" customFormat="1" customHeight="1" ht="11.25">
      <c r="A242" s="982"/>
      <c r="B242" s="1661"/>
      <c r="C242" s="1661"/>
      <c r="D242" s="339"/>
      <c r="K242" s="1155"/>
      <c r="L242" s="1661"/>
      <c r="M242" s="1661"/>
      <c r="N242" s="1155"/>
      <c r="O242" s="1155"/>
      <c r="P242" s="1155"/>
      <c r="Q242" s="1155"/>
      <c r="R242" s="1661"/>
      <c r="S242" s="1155"/>
      <c r="T242" s="1155"/>
      <c r="U242" s="540"/>
      <c r="V242" s="1155"/>
      <c r="W242" s="1155"/>
      <c r="X242" s="1155"/>
      <c r="Y242" s="1155"/>
      <c r="Z242" s="1155"/>
      <c r="AA242" s="1657"/>
      <c r="AB242" s="562"/>
      <c r="AC242" s="562"/>
      <c r="AD242" s="562"/>
      <c r="AE242" s="562"/>
    </row>
    <row s="1666" customFormat="1" customHeight="1" ht="11.25">
      <c r="A243" s="982"/>
      <c r="B243" s="1661"/>
      <c r="C243" s="1661"/>
      <c r="D243" s="339"/>
      <c r="K243" s="1155"/>
      <c r="L243" s="1661"/>
      <c r="M243" s="1661"/>
      <c r="N243" s="1155"/>
      <c r="O243" s="1155"/>
      <c r="P243" s="1155"/>
      <c r="Q243" s="1155"/>
      <c r="R243" s="1661"/>
      <c r="S243" s="1155"/>
      <c r="T243" s="1155"/>
      <c r="U243" s="540"/>
      <c r="V243" s="1155"/>
      <c r="W243" s="1155"/>
      <c r="X243" s="1155"/>
      <c r="Y243" s="1155"/>
      <c r="Z243" s="1155"/>
      <c r="AA243" s="1657"/>
      <c r="AB243" s="562"/>
      <c r="AC243" s="562"/>
      <c r="AD243" s="562"/>
      <c r="AE243" s="562"/>
    </row>
    <row s="1666" customFormat="1" customHeight="1" ht="11.25">
      <c r="A244" s="982"/>
      <c r="B244" s="1661"/>
      <c r="C244" s="1661"/>
      <c r="D244" s="339"/>
      <c r="K244" s="1155"/>
      <c r="L244" s="1661"/>
      <c r="M244" s="1661"/>
      <c r="N244" s="1155"/>
      <c r="O244" s="1155"/>
      <c r="P244" s="1155"/>
      <c r="Q244" s="1155"/>
      <c r="R244" s="1661"/>
      <c r="S244" s="1155"/>
      <c r="T244" s="1155"/>
      <c r="U244" s="540"/>
      <c r="V244" s="1155"/>
      <c r="W244" s="1155"/>
      <c r="X244" s="1155"/>
      <c r="Y244" s="1155"/>
      <c r="Z244" s="1155"/>
      <c r="AA244" s="1657"/>
      <c r="AB244" s="562"/>
      <c r="AC244" s="562"/>
      <c r="AD244" s="562"/>
      <c r="AE244" s="562"/>
    </row>
    <row s="1666" customFormat="1" customHeight="1" ht="11.25">
      <c r="A245" s="982"/>
      <c r="B245" s="1661"/>
      <c r="C245" s="1661"/>
      <c r="D245" s="339"/>
      <c r="K245" s="1155"/>
      <c r="L245" s="1661"/>
      <c r="M245" s="1661"/>
      <c r="N245" s="1155"/>
      <c r="O245" s="1155"/>
      <c r="P245" s="1155"/>
      <c r="Q245" s="1155"/>
      <c r="R245" s="1661"/>
      <c r="S245" s="1155"/>
      <c r="T245" s="1155"/>
      <c r="U245" s="540"/>
      <c r="V245" s="1155"/>
      <c r="W245" s="1155"/>
      <c r="X245" s="1155"/>
      <c r="Y245" s="1155"/>
      <c r="Z245" s="1155"/>
      <c r="AA245" s="1657"/>
      <c r="AB245" s="562"/>
      <c r="AC245" s="562"/>
      <c r="AD245" s="562"/>
      <c r="AE245" s="562"/>
    </row>
    <row s="1666" customFormat="1" customHeight="1" ht="11.25">
      <c r="A246" s="982"/>
      <c r="B246" s="1661"/>
      <c r="C246" s="1661"/>
      <c r="D246" s="339"/>
      <c r="K246" s="1155"/>
      <c r="L246" s="1661"/>
      <c r="M246" s="1661"/>
      <c r="N246" s="1155"/>
      <c r="O246" s="1155"/>
      <c r="P246" s="1155"/>
      <c r="Q246" s="1155"/>
      <c r="R246" s="1661"/>
      <c r="S246" s="1155"/>
      <c r="T246" s="1155"/>
      <c r="U246" s="540"/>
      <c r="V246" s="1155"/>
      <c r="W246" s="1155"/>
      <c r="X246" s="1155"/>
      <c r="Y246" s="1155"/>
      <c r="Z246" s="1155"/>
      <c r="AA246" s="1657"/>
      <c r="AB246" s="562"/>
      <c r="AC246" s="562"/>
      <c r="AD246" s="562"/>
      <c r="AE246" s="562"/>
    </row>
    <row s="1666" customFormat="1" customHeight="1" ht="11.25">
      <c r="A247" s="982"/>
      <c r="B247" s="1661"/>
      <c r="C247" s="1661"/>
      <c r="D247" s="339"/>
      <c r="K247" s="1155"/>
      <c r="L247" s="1661"/>
      <c r="M247" s="1661"/>
      <c r="N247" s="1155"/>
      <c r="O247" s="1155"/>
      <c r="P247" s="1155"/>
      <c r="Q247" s="1155"/>
      <c r="R247" s="1661"/>
      <c r="S247" s="1155"/>
      <c r="T247" s="1155"/>
      <c r="U247" s="540"/>
      <c r="V247" s="1155"/>
      <c r="W247" s="1155"/>
      <c r="X247" s="1155"/>
      <c r="Y247" s="1155"/>
      <c r="Z247" s="1155"/>
      <c r="AA247" s="1657"/>
      <c r="AB247" s="562"/>
      <c r="AC247" s="562"/>
      <c r="AD247" s="562"/>
      <c r="AE247" s="562"/>
    </row>
    <row s="1666" customFormat="1" customHeight="1" ht="11.25">
      <c r="A248" s="982"/>
      <c r="B248" s="1661"/>
      <c r="C248" s="1661"/>
      <c r="D248" s="339"/>
      <c r="K248" s="1155"/>
      <c r="L248" s="1661"/>
      <c r="M248" s="1661"/>
      <c r="N248" s="1155"/>
      <c r="O248" s="1155"/>
      <c r="P248" s="1155"/>
      <c r="Q248" s="1155"/>
      <c r="R248" s="1661"/>
      <c r="S248" s="1155"/>
      <c r="T248" s="1155"/>
      <c r="U248" s="540"/>
      <c r="V248" s="1155"/>
      <c r="W248" s="1155"/>
      <c r="X248" s="1155"/>
      <c r="Y248" s="1155"/>
      <c r="Z248" s="1155"/>
      <c r="AA248" s="1657"/>
      <c r="AB248" s="562"/>
      <c r="AC248" s="562"/>
      <c r="AD248" s="562"/>
      <c r="AE248" s="562"/>
    </row>
    <row s="1666" customFormat="1" customHeight="1" ht="11.25">
      <c r="A249" s="982"/>
      <c r="B249" s="1661"/>
      <c r="C249" s="1661"/>
      <c r="D249" s="339"/>
      <c r="K249" s="1155"/>
      <c r="L249" s="1661"/>
      <c r="M249" s="1661"/>
      <c r="N249" s="1155"/>
      <c r="O249" s="1155"/>
      <c r="P249" s="1155"/>
      <c r="Q249" s="1155"/>
      <c r="R249" s="1661"/>
      <c r="S249" s="1155"/>
      <c r="T249" s="1155"/>
      <c r="U249" s="540"/>
      <c r="V249" s="1155"/>
      <c r="W249" s="1155"/>
      <c r="X249" s="1155"/>
      <c r="Y249" s="1155"/>
      <c r="Z249" s="1155"/>
      <c r="AA249" s="1657"/>
      <c r="AB249" s="562"/>
      <c r="AC249" s="562"/>
      <c r="AD249" s="562"/>
      <c r="AE249" s="562"/>
    </row>
    <row s="1666" customFormat="1" customHeight="1" ht="11.25">
      <c r="A250" s="982"/>
      <c r="B250" s="1661"/>
      <c r="C250" s="1661"/>
      <c r="D250" s="339"/>
      <c r="K250" s="1155"/>
      <c r="L250" s="1661"/>
      <c r="M250" s="1661"/>
      <c r="N250" s="1155"/>
      <c r="O250" s="1155"/>
      <c r="P250" s="1155"/>
      <c r="Q250" s="1155"/>
      <c r="R250" s="1661"/>
      <c r="S250" s="1155"/>
      <c r="T250" s="1155"/>
      <c r="U250" s="540"/>
      <c r="V250" s="1155"/>
      <c r="W250" s="1155"/>
      <c r="X250" s="1155"/>
      <c r="Y250" s="1155"/>
      <c r="Z250" s="1155"/>
      <c r="AA250" s="1657"/>
      <c r="AB250" s="562"/>
      <c r="AC250" s="562"/>
      <c r="AD250" s="562"/>
      <c r="AE250" s="562"/>
    </row>
    <row s="1666" customFormat="1" customHeight="1" ht="11.25">
      <c r="A251" s="982"/>
      <c r="B251" s="1661"/>
      <c r="C251" s="1661"/>
      <c r="D251" s="339"/>
      <c r="K251" s="1155"/>
      <c r="L251" s="1661"/>
      <c r="M251" s="1661"/>
      <c r="N251" s="1155"/>
      <c r="O251" s="1155"/>
      <c r="P251" s="1155"/>
      <c r="Q251" s="1155"/>
      <c r="R251" s="1661"/>
      <c r="S251" s="1155"/>
      <c r="T251" s="1155"/>
      <c r="U251" s="540"/>
      <c r="V251" s="1155"/>
      <c r="W251" s="1155"/>
      <c r="X251" s="1155"/>
      <c r="Y251" s="1155"/>
      <c r="Z251" s="1155"/>
      <c r="AA251" s="1657"/>
      <c r="AB251" s="562"/>
      <c r="AC251" s="562"/>
      <c r="AD251" s="562"/>
      <c r="AE251" s="562"/>
    </row>
    <row s="1666" customFormat="1" customHeight="1" ht="11.25">
      <c r="A252" s="982"/>
      <c r="B252" s="1661"/>
      <c r="C252" s="1661"/>
      <c r="D252" s="339"/>
      <c r="K252" s="1155"/>
      <c r="L252" s="1661"/>
      <c r="M252" s="1661"/>
      <c r="N252" s="1155"/>
      <c r="O252" s="1155"/>
      <c r="P252" s="1155"/>
      <c r="Q252" s="1155"/>
      <c r="R252" s="1661"/>
      <c r="S252" s="1155"/>
      <c r="T252" s="1155"/>
      <c r="U252" s="540"/>
      <c r="V252" s="1155"/>
      <c r="W252" s="1155"/>
      <c r="X252" s="1155"/>
      <c r="Y252" s="1155"/>
      <c r="Z252" s="1155"/>
      <c r="AA252" s="1657"/>
      <c r="AB252" s="562"/>
      <c r="AC252" s="562"/>
      <c r="AD252" s="562"/>
      <c r="AE252" s="562"/>
    </row>
    <row s="1666" customFormat="1" customHeight="1" ht="11.25">
      <c r="A253" s="982"/>
      <c r="B253" s="1661"/>
      <c r="C253" s="1661"/>
      <c r="D253" s="339"/>
      <c r="K253" s="1155"/>
      <c r="L253" s="1661"/>
      <c r="M253" s="1661"/>
      <c r="N253" s="1155"/>
      <c r="O253" s="1155"/>
      <c r="P253" s="1155"/>
      <c r="Q253" s="1155"/>
      <c r="R253" s="1661"/>
      <c r="S253" s="1155"/>
      <c r="T253" s="1155"/>
      <c r="U253" s="540"/>
      <c r="V253" s="1155"/>
      <c r="W253" s="1155"/>
      <c r="X253" s="1155"/>
      <c r="Y253" s="1155"/>
      <c r="Z253" s="1155"/>
      <c r="AA253" s="1657"/>
      <c r="AB253" s="562"/>
      <c r="AC253" s="562"/>
      <c r="AD253" s="562"/>
      <c r="AE253" s="562"/>
    </row>
    <row s="1666" customFormat="1" customHeight="1" ht="11.25">
      <c r="A254" s="982"/>
      <c r="B254" s="1661"/>
      <c r="C254" s="1661"/>
      <c r="D254" s="339"/>
      <c r="K254" s="1155"/>
      <c r="L254" s="1661"/>
      <c r="M254" s="1661"/>
      <c r="N254" s="1155"/>
      <c r="O254" s="1155"/>
      <c r="P254" s="1155"/>
      <c r="Q254" s="1155"/>
      <c r="R254" s="1661"/>
      <c r="S254" s="1155"/>
      <c r="T254" s="1155"/>
      <c r="U254" s="540"/>
      <c r="V254" s="1155"/>
      <c r="W254" s="1155"/>
      <c r="X254" s="1155"/>
      <c r="Y254" s="1155"/>
      <c r="Z254" s="1155"/>
      <c r="AA254" s="1657"/>
      <c r="AB254" s="562"/>
      <c r="AC254" s="562"/>
      <c r="AD254" s="562"/>
      <c r="AE254" s="562"/>
    </row>
    <row s="1666" customFormat="1" customHeight="1" ht="11.25">
      <c r="A255" s="982"/>
      <c r="B255" s="1661"/>
      <c r="C255" s="1661"/>
      <c r="D255" s="339"/>
      <c r="K255" s="1155"/>
      <c r="L255" s="1661"/>
      <c r="M255" s="1661"/>
      <c r="N255" s="1155"/>
      <c r="O255" s="1155"/>
      <c r="P255" s="1155"/>
      <c r="Q255" s="1155"/>
      <c r="R255" s="1661"/>
      <c r="S255" s="1155"/>
      <c r="T255" s="1155"/>
      <c r="U255" s="540"/>
      <c r="V255" s="1155"/>
      <c r="W255" s="1155"/>
      <c r="X255" s="1155"/>
      <c r="Y255" s="1155"/>
      <c r="Z255" s="1155"/>
      <c r="AA255" s="1657"/>
      <c r="AB255" s="562"/>
      <c r="AC255" s="562"/>
      <c r="AD255" s="562"/>
      <c r="AE255" s="562"/>
    </row>
    <row s="1666" customFormat="1" customHeight="1" ht="11.25">
      <c r="A256" s="982"/>
      <c r="B256" s="1661"/>
      <c r="C256" s="1661"/>
      <c r="D256" s="339"/>
      <c r="K256" s="1155"/>
      <c r="L256" s="1661"/>
      <c r="M256" s="1661"/>
      <c r="N256" s="1155"/>
      <c r="O256" s="1155"/>
      <c r="P256" s="1155"/>
      <c r="Q256" s="1155"/>
      <c r="R256" s="1661"/>
      <c r="S256" s="1155"/>
      <c r="T256" s="1155"/>
      <c r="U256" s="540"/>
      <c r="V256" s="1155"/>
      <c r="W256" s="1155"/>
      <c r="X256" s="1155"/>
      <c r="Y256" s="1155"/>
      <c r="Z256" s="1155"/>
      <c r="AA256" s="1657"/>
      <c r="AB256" s="562"/>
      <c r="AC256" s="562"/>
      <c r="AD256" s="562"/>
      <c r="AE256" s="562"/>
    </row>
    <row s="1666" customFormat="1" customHeight="1" ht="11.25">
      <c r="A257" s="982"/>
      <c r="B257" s="1661"/>
      <c r="C257" s="1661"/>
      <c r="D257" s="339"/>
      <c r="K257" s="1155"/>
      <c r="L257" s="1661"/>
      <c r="M257" s="1661"/>
      <c r="N257" s="1155"/>
      <c r="O257" s="1155"/>
      <c r="P257" s="1155"/>
      <c r="Q257" s="1155"/>
      <c r="R257" s="1661"/>
      <c r="S257" s="1155"/>
      <c r="T257" s="1155"/>
      <c r="U257" s="540"/>
      <c r="V257" s="1155"/>
      <c r="W257" s="1155"/>
      <c r="X257" s="1155"/>
      <c r="Y257" s="1155"/>
      <c r="Z257" s="1155"/>
      <c r="AA257" s="1657"/>
      <c r="AB257" s="562"/>
      <c r="AC257" s="562"/>
      <c r="AD257" s="562"/>
      <c r="AE257" s="562"/>
    </row>
    <row s="1666" customFormat="1" customHeight="1" ht="11.25">
      <c r="A258" s="982"/>
      <c r="B258" s="1661"/>
      <c r="C258" s="1661"/>
      <c r="D258" s="339"/>
      <c r="K258" s="1155"/>
      <c r="L258" s="1661"/>
      <c r="M258" s="1661"/>
      <c r="N258" s="1155"/>
      <c r="O258" s="1155"/>
      <c r="P258" s="1155"/>
      <c r="Q258" s="1155"/>
      <c r="R258" s="1661"/>
      <c r="S258" s="1155"/>
      <c r="T258" s="1155"/>
      <c r="U258" s="540"/>
      <c r="V258" s="1155"/>
      <c r="W258" s="1155"/>
      <c r="X258" s="1155"/>
      <c r="Y258" s="1155"/>
      <c r="Z258" s="1155"/>
      <c r="AA258" s="1657"/>
      <c r="AB258" s="562"/>
      <c r="AC258" s="562"/>
      <c r="AD258" s="562"/>
      <c r="AE258" s="562"/>
    </row>
    <row s="1666" customFormat="1" customHeight="1" ht="11.25">
      <c r="A259" s="982"/>
      <c r="B259" s="1661"/>
      <c r="C259" s="1661"/>
      <c r="D259" s="339"/>
      <c r="K259" s="1155"/>
      <c r="L259" s="1661"/>
      <c r="M259" s="1661"/>
      <c r="N259" s="1155"/>
      <c r="O259" s="1155"/>
      <c r="P259" s="1155"/>
      <c r="Q259" s="1155"/>
      <c r="R259" s="1661"/>
      <c r="S259" s="1155"/>
      <c r="T259" s="1155"/>
      <c r="U259" s="540"/>
      <c r="V259" s="1155"/>
      <c r="W259" s="1155"/>
      <c r="X259" s="1155"/>
      <c r="Y259" s="1155"/>
      <c r="Z259" s="1155"/>
      <c r="AA259" s="1657"/>
      <c r="AB259" s="562"/>
      <c r="AC259" s="562"/>
      <c r="AD259" s="562"/>
      <c r="AE259" s="562"/>
    </row>
    <row s="1666" customFormat="1" customHeight="1" ht="11.25">
      <c r="A260" s="982"/>
      <c r="B260" s="1661"/>
      <c r="C260" s="1661"/>
      <c r="D260" s="339"/>
      <c r="K260" s="1155"/>
      <c r="L260" s="1661"/>
      <c r="M260" s="1661"/>
      <c r="N260" s="1155"/>
      <c r="O260" s="1155"/>
      <c r="P260" s="1155"/>
      <c r="Q260" s="1155"/>
      <c r="R260" s="1661"/>
      <c r="S260" s="1155"/>
      <c r="T260" s="1155"/>
      <c r="U260" s="540"/>
      <c r="V260" s="1155"/>
      <c r="W260" s="1155"/>
      <c r="X260" s="1155"/>
      <c r="Y260" s="1155"/>
      <c r="Z260" s="1155"/>
      <c r="AA260" s="1657"/>
      <c r="AB260" s="562"/>
      <c r="AC260" s="562"/>
      <c r="AD260" s="562"/>
      <c r="AE260" s="562"/>
    </row>
    <row s="1666" customFormat="1" customHeight="1" ht="11.25">
      <c r="A261" s="982"/>
      <c r="B261" s="1661"/>
      <c r="C261" s="1661"/>
      <c r="D261" s="339"/>
      <c r="K261" s="1155"/>
      <c r="L261" s="1661"/>
      <c r="M261" s="1661"/>
      <c r="N261" s="1155"/>
      <c r="O261" s="1155"/>
      <c r="P261" s="1155"/>
      <c r="Q261" s="1155"/>
      <c r="R261" s="1661"/>
      <c r="S261" s="1155"/>
      <c r="T261" s="1155"/>
      <c r="U261" s="540"/>
      <c r="V261" s="1155"/>
      <c r="W261" s="1155"/>
      <c r="X261" s="1155"/>
      <c r="Y261" s="1155"/>
      <c r="Z261" s="1155"/>
      <c r="AA261" s="1657"/>
      <c r="AB261" s="562"/>
      <c r="AC261" s="562"/>
      <c r="AD261" s="562"/>
      <c r="AE261" s="562"/>
    </row>
    <row s="1666" customFormat="1" customHeight="1" ht="11.25">
      <c r="A262" s="982"/>
      <c r="B262" s="1661"/>
      <c r="C262" s="1661"/>
      <c r="D262" s="339"/>
      <c r="K262" s="1155"/>
      <c r="L262" s="1661"/>
      <c r="M262" s="1661"/>
      <c r="N262" s="1155"/>
      <c r="O262" s="1155"/>
      <c r="P262" s="1155"/>
      <c r="Q262" s="1155"/>
      <c r="R262" s="1661"/>
      <c r="S262" s="1155"/>
      <c r="T262" s="1155"/>
      <c r="U262" s="540"/>
      <c r="V262" s="1155"/>
      <c r="W262" s="1155"/>
      <c r="X262" s="1155"/>
      <c r="Y262" s="1155"/>
      <c r="Z262" s="1155"/>
      <c r="AA262" s="1657"/>
      <c r="AB262" s="562"/>
      <c r="AC262" s="562"/>
      <c r="AD262" s="562"/>
      <c r="AE262" s="562"/>
    </row>
    <row s="1666" customFormat="1" customHeight="1" ht="11.25">
      <c r="A263" s="982"/>
      <c r="B263" s="1661"/>
      <c r="C263" s="1661"/>
      <c r="D263" s="339"/>
      <c r="K263" s="1155"/>
      <c r="L263" s="1661"/>
      <c r="M263" s="1661"/>
      <c r="N263" s="1155"/>
      <c r="O263" s="1155"/>
      <c r="P263" s="1155"/>
      <c r="Q263" s="1155"/>
      <c r="R263" s="1661"/>
      <c r="S263" s="1155"/>
      <c r="T263" s="1155"/>
      <c r="U263" s="540"/>
      <c r="V263" s="1155"/>
      <c r="W263" s="1155"/>
      <c r="X263" s="1155"/>
      <c r="Y263" s="1155"/>
      <c r="Z263" s="1155"/>
      <c r="AA263" s="1657"/>
      <c r="AB263" s="562"/>
      <c r="AC263" s="562"/>
      <c r="AD263" s="562"/>
      <c r="AE263" s="562"/>
    </row>
    <row s="1666" customFormat="1" customHeight="1" ht="11.25">
      <c r="A264" s="982"/>
      <c r="B264" s="1661"/>
      <c r="C264" s="1661"/>
      <c r="D264" s="339"/>
      <c r="K264" s="1155"/>
      <c r="L264" s="1661"/>
      <c r="M264" s="1661"/>
      <c r="N264" s="1155"/>
      <c r="O264" s="1155"/>
      <c r="P264" s="1155"/>
      <c r="Q264" s="1155"/>
      <c r="R264" s="1661"/>
      <c r="S264" s="1155"/>
      <c r="T264" s="1155"/>
      <c r="U264" s="540"/>
      <c r="V264" s="1155"/>
      <c r="W264" s="1155"/>
      <c r="X264" s="1155"/>
      <c r="Y264" s="1155"/>
      <c r="Z264" s="1155"/>
      <c r="AA264" s="1657"/>
      <c r="AB264" s="562"/>
      <c r="AC264" s="562"/>
      <c r="AD264" s="562"/>
      <c r="AE264" s="562"/>
    </row>
    <row s="1666" customFormat="1" customHeight="1" ht="11.25">
      <c r="A265" s="982"/>
      <c r="B265" s="1661"/>
      <c r="C265" s="1661"/>
      <c r="D265" s="339"/>
      <c r="K265" s="1155"/>
      <c r="L265" s="1661"/>
      <c r="M265" s="1661"/>
      <c r="N265" s="1155"/>
      <c r="O265" s="1155"/>
      <c r="P265" s="1155"/>
      <c r="Q265" s="1155"/>
      <c r="R265" s="1661"/>
      <c r="S265" s="1155"/>
      <c r="T265" s="1155"/>
      <c r="U265" s="540"/>
      <c r="V265" s="1155"/>
      <c r="W265" s="1155"/>
      <c r="X265" s="1155"/>
      <c r="Y265" s="1155"/>
      <c r="Z265" s="1155"/>
      <c r="AA265" s="1657"/>
      <c r="AB265" s="562"/>
      <c r="AC265" s="562"/>
      <c r="AD265" s="562"/>
      <c r="AE265" s="562"/>
    </row>
    <row s="1666" customFormat="1" customHeight="1" ht="11.25">
      <c r="A266" s="982"/>
      <c r="B266" s="1661"/>
      <c r="C266" s="1661"/>
      <c r="D266" s="339"/>
      <c r="K266" s="1155"/>
      <c r="L266" s="1661"/>
      <c r="M266" s="1661"/>
      <c r="N266" s="1155"/>
      <c r="O266" s="1155"/>
      <c r="P266" s="1155"/>
      <c r="Q266" s="1155"/>
      <c r="R266" s="1661"/>
      <c r="S266" s="1155"/>
      <c r="T266" s="1155"/>
      <c r="U266" s="540"/>
      <c r="V266" s="1155"/>
      <c r="W266" s="1155"/>
      <c r="X266" s="1155"/>
      <c r="Y266" s="1155"/>
      <c r="Z266" s="1155"/>
      <c r="AA266" s="1657"/>
      <c r="AB266" s="562"/>
      <c r="AC266" s="562"/>
      <c r="AD266" s="562"/>
      <c r="AE266" s="562"/>
    </row>
    <row s="1666" customFormat="1" customHeight="1" ht="11.25">
      <c r="A267" s="982"/>
      <c r="B267" s="1661"/>
      <c r="C267" s="1661"/>
      <c r="D267" s="339"/>
      <c r="K267" s="1155"/>
      <c r="L267" s="1661"/>
      <c r="M267" s="1661"/>
      <c r="N267" s="1155"/>
      <c r="O267" s="1155"/>
      <c r="P267" s="1155"/>
      <c r="Q267" s="1155"/>
      <c r="R267" s="1661"/>
      <c r="S267" s="1155"/>
      <c r="T267" s="1155"/>
      <c r="U267" s="540"/>
      <c r="V267" s="1155"/>
      <c r="W267" s="1155"/>
      <c r="X267" s="1155"/>
      <c r="Y267" s="1155"/>
      <c r="Z267" s="1155"/>
      <c r="AA267" s="1657"/>
      <c r="AB267" s="562"/>
      <c r="AC267" s="562"/>
      <c r="AD267" s="562"/>
      <c r="AE267" s="562"/>
    </row>
    <row s="1666" customFormat="1" customHeight="1" ht="11.25">
      <c r="A268" s="982"/>
      <c r="B268" s="1661"/>
      <c r="C268" s="1661"/>
      <c r="D268" s="339"/>
      <c r="K268" s="1155"/>
      <c r="L268" s="1661"/>
      <c r="M268" s="1661"/>
      <c r="N268" s="1155"/>
      <c r="O268" s="1155"/>
      <c r="P268" s="1155"/>
      <c r="Q268" s="1155"/>
      <c r="R268" s="1661"/>
      <c r="S268" s="1155"/>
      <c r="T268" s="1155"/>
      <c r="U268" s="540"/>
      <c r="V268" s="1155"/>
      <c r="W268" s="1155"/>
      <c r="X268" s="1155"/>
      <c r="Y268" s="1155"/>
      <c r="Z268" s="1155"/>
      <c r="AA268" s="1657"/>
      <c r="AB268" s="562"/>
      <c r="AC268" s="562"/>
      <c r="AD268" s="562"/>
      <c r="AE268" s="562"/>
    </row>
    <row s="1666" customFormat="1" customHeight="1" ht="11.25">
      <c r="A269" s="982"/>
      <c r="B269" s="1661"/>
      <c r="C269" s="1661"/>
      <c r="D269" s="339"/>
      <c r="K269" s="1155"/>
      <c r="L269" s="1661"/>
      <c r="M269" s="1661"/>
      <c r="N269" s="1155"/>
      <c r="O269" s="1155"/>
      <c r="P269" s="1155"/>
      <c r="Q269" s="1155"/>
      <c r="R269" s="1661"/>
      <c r="S269" s="1155"/>
      <c r="T269" s="1155"/>
      <c r="U269" s="540"/>
      <c r="V269" s="1155"/>
      <c r="W269" s="1155"/>
      <c r="X269" s="1155"/>
      <c r="Y269" s="1155"/>
      <c r="Z269" s="1155"/>
      <c r="AA269" s="1657"/>
      <c r="AB269" s="562"/>
      <c r="AC269" s="562"/>
      <c r="AD269" s="562"/>
      <c r="AE269" s="562"/>
    </row>
    <row s="1666" customFormat="1" customHeight="1" ht="11.25">
      <c r="A270" s="982"/>
      <c r="B270" s="1661"/>
      <c r="C270" s="1661"/>
      <c r="D270" s="339"/>
      <c r="K270" s="1155"/>
      <c r="L270" s="1661"/>
      <c r="M270" s="1661"/>
      <c r="N270" s="1155"/>
      <c r="O270" s="1155"/>
      <c r="P270" s="1155"/>
      <c r="Q270" s="1155"/>
      <c r="R270" s="1661"/>
      <c r="S270" s="1155"/>
      <c r="T270" s="1155"/>
      <c r="U270" s="540"/>
      <c r="V270" s="1155"/>
      <c r="W270" s="1155"/>
      <c r="X270" s="1155"/>
      <c r="Y270" s="1155"/>
      <c r="Z270" s="1155"/>
      <c r="AA270" s="1657"/>
      <c r="AB270" s="562"/>
      <c r="AC270" s="562"/>
      <c r="AD270" s="562"/>
      <c r="AE270" s="562"/>
    </row>
    <row s="1666" customFormat="1" customHeight="1" ht="11.25">
      <c r="A271" s="982"/>
      <c r="B271" s="1661"/>
      <c r="C271" s="1661"/>
      <c r="D271" s="339"/>
      <c r="K271" s="1155"/>
      <c r="L271" s="1661"/>
      <c r="M271" s="1661"/>
      <c r="N271" s="1155"/>
      <c r="O271" s="1155"/>
      <c r="P271" s="1155"/>
      <c r="Q271" s="1155"/>
      <c r="R271" s="1661"/>
      <c r="S271" s="1155"/>
      <c r="T271" s="1155"/>
      <c r="U271" s="540"/>
      <c r="V271" s="1155"/>
      <c r="W271" s="1155"/>
      <c r="X271" s="1155"/>
      <c r="Y271" s="1155"/>
      <c r="Z271" s="1155"/>
      <c r="AA271" s="1657"/>
      <c r="AB271" s="562"/>
      <c r="AC271" s="562"/>
      <c r="AD271" s="562"/>
      <c r="AE271" s="562"/>
    </row>
    <row s="1666" customFormat="1" customHeight="1" ht="11.25">
      <c r="A272" s="982"/>
      <c r="B272" s="1661"/>
      <c r="C272" s="1661"/>
      <c r="D272" s="339"/>
      <c r="K272" s="1155"/>
      <c r="L272" s="1661"/>
      <c r="M272" s="1661"/>
      <c r="N272" s="1155"/>
      <c r="O272" s="1155"/>
      <c r="P272" s="1155"/>
      <c r="Q272" s="1155"/>
      <c r="R272" s="1661"/>
      <c r="S272" s="1155"/>
      <c r="T272" s="1155"/>
      <c r="U272" s="540"/>
      <c r="V272" s="1155"/>
      <c r="W272" s="1155"/>
      <c r="X272" s="1155"/>
      <c r="Y272" s="1155"/>
      <c r="Z272" s="1155"/>
      <c r="AA272" s="1657"/>
      <c r="AB272" s="562"/>
      <c r="AC272" s="562"/>
      <c r="AD272" s="562"/>
      <c r="AE272" s="562"/>
    </row>
    <row s="1666" customFormat="1" customHeight="1" ht="11.25">
      <c r="A273" s="982"/>
      <c r="B273" s="1661"/>
      <c r="C273" s="1661"/>
      <c r="D273" s="339"/>
      <c r="K273" s="1155"/>
      <c r="L273" s="1661"/>
      <c r="M273" s="1661"/>
      <c r="N273" s="1155"/>
      <c r="O273" s="1155"/>
      <c r="P273" s="1155"/>
      <c r="Q273" s="1155"/>
      <c r="R273" s="1661"/>
      <c r="S273" s="1155"/>
      <c r="T273" s="1155"/>
      <c r="U273" s="540"/>
      <c r="V273" s="1155"/>
      <c r="W273" s="1155"/>
      <c r="X273" s="1155"/>
      <c r="Y273" s="1155"/>
      <c r="Z273" s="1155"/>
      <c r="AA273" s="1657"/>
      <c r="AB273" s="562"/>
      <c r="AC273" s="562"/>
      <c r="AD273" s="562"/>
      <c r="AE273" s="562"/>
    </row>
    <row s="1666" customFormat="1" customHeight="1" ht="11.25">
      <c r="A274" s="982"/>
      <c r="B274" s="1661"/>
      <c r="C274" s="1661"/>
      <c r="D274" s="339"/>
      <c r="K274" s="1155"/>
      <c r="L274" s="1661"/>
      <c r="M274" s="1661"/>
      <c r="N274" s="1155"/>
      <c r="O274" s="1155"/>
      <c r="P274" s="1155"/>
      <c r="Q274" s="1155"/>
      <c r="R274" s="1661"/>
      <c r="S274" s="1155"/>
      <c r="T274" s="1155"/>
      <c r="U274" s="540"/>
      <c r="V274" s="1155"/>
      <c r="W274" s="1155"/>
      <c r="X274" s="1155"/>
      <c r="Y274" s="1155"/>
      <c r="Z274" s="1155"/>
      <c r="AA274" s="1657"/>
      <c r="AB274" s="562"/>
      <c r="AC274" s="562"/>
      <c r="AD274" s="562"/>
      <c r="AE274" s="562"/>
    </row>
    <row s="1666" customFormat="1" customHeight="1" ht="11.25">
      <c r="A275" s="982"/>
      <c r="B275" s="1661"/>
      <c r="C275" s="1661"/>
      <c r="D275" s="339"/>
      <c r="K275" s="1155"/>
      <c r="L275" s="1661"/>
      <c r="M275" s="1661"/>
      <c r="N275" s="1155"/>
      <c r="O275" s="1155"/>
      <c r="P275" s="1155"/>
      <c r="Q275" s="1155"/>
      <c r="R275" s="1661"/>
      <c r="S275" s="1155"/>
      <c r="T275" s="1155"/>
      <c r="U275" s="540"/>
      <c r="V275" s="1155"/>
      <c r="W275" s="1155"/>
      <c r="X275" s="1155"/>
      <c r="Y275" s="1155"/>
      <c r="Z275" s="1155"/>
      <c r="AA275" s="1657"/>
      <c r="AB275" s="562"/>
      <c r="AC275" s="562"/>
      <c r="AD275" s="562"/>
      <c r="AE275" s="562"/>
    </row>
    <row s="1666" customFormat="1" customHeight="1" ht="11.25">
      <c r="A276" s="982"/>
      <c r="B276" s="1661"/>
      <c r="C276" s="1661"/>
      <c r="D276" s="339"/>
      <c r="K276" s="1155"/>
      <c r="L276" s="1661"/>
      <c r="M276" s="1661"/>
      <c r="N276" s="1155"/>
      <c r="O276" s="1155"/>
      <c r="P276" s="1155"/>
      <c r="Q276" s="1155"/>
      <c r="R276" s="1661"/>
      <c r="S276" s="1155"/>
      <c r="T276" s="1155"/>
      <c r="U276" s="540"/>
      <c r="V276" s="1155"/>
      <c r="W276" s="1155"/>
      <c r="X276" s="1155"/>
      <c r="Y276" s="1155"/>
      <c r="Z276" s="1155"/>
      <c r="AA276" s="1657"/>
      <c r="AB276" s="562"/>
      <c r="AC276" s="562"/>
      <c r="AD276" s="562"/>
      <c r="AE276" s="562"/>
    </row>
    <row s="1666" customFormat="1" customHeight="1" ht="11.25">
      <c r="A277" s="982"/>
      <c r="B277" s="1661"/>
      <c r="C277" s="1661"/>
      <c r="D277" s="339"/>
      <c r="K277" s="1155"/>
      <c r="L277" s="1661"/>
      <c r="M277" s="1661"/>
      <c r="N277" s="1155"/>
      <c r="O277" s="1155"/>
      <c r="P277" s="1155"/>
      <c r="Q277" s="1155"/>
      <c r="R277" s="1661"/>
      <c r="S277" s="1155"/>
      <c r="T277" s="1155"/>
      <c r="U277" s="540"/>
      <c r="V277" s="1155"/>
      <c r="W277" s="1155"/>
      <c r="X277" s="1155"/>
      <c r="Y277" s="1155"/>
      <c r="Z277" s="1155"/>
      <c r="AA277" s="1657"/>
      <c r="AB277" s="562"/>
      <c r="AC277" s="562"/>
      <c r="AD277" s="562"/>
      <c r="AE277" s="562"/>
    </row>
    <row s="1666" customFormat="1" customHeight="1" ht="11.25">
      <c r="A278" s="982"/>
      <c r="B278" s="1661"/>
      <c r="C278" s="1661"/>
      <c r="D278" s="339"/>
      <c r="K278" s="1155"/>
      <c r="L278" s="1661"/>
      <c r="M278" s="1661"/>
      <c r="N278" s="1155"/>
      <c r="O278" s="1155"/>
      <c r="P278" s="1155"/>
      <c r="Q278" s="1155"/>
      <c r="R278" s="1661"/>
      <c r="S278" s="1155"/>
      <c r="T278" s="1155"/>
      <c r="U278" s="540"/>
      <c r="V278" s="1155"/>
      <c r="W278" s="1155"/>
      <c r="X278" s="1155"/>
      <c r="Y278" s="1155"/>
      <c r="Z278" s="1155"/>
      <c r="AA278" s="1657"/>
      <c r="AB278" s="562"/>
      <c r="AC278" s="562"/>
      <c r="AD278" s="562"/>
      <c r="AE278" s="562"/>
    </row>
    <row s="1666" customFormat="1" customHeight="1" ht="11.25">
      <c r="A279" s="982"/>
      <c r="B279" s="1661"/>
      <c r="C279" s="1661"/>
      <c r="D279" s="339"/>
      <c r="K279" s="1155"/>
      <c r="L279" s="1661"/>
      <c r="M279" s="1661"/>
      <c r="N279" s="1155"/>
      <c r="O279" s="1155"/>
      <c r="P279" s="1155"/>
      <c r="Q279" s="1155"/>
      <c r="R279" s="1661"/>
      <c r="S279" s="1155"/>
      <c r="T279" s="1155"/>
      <c r="U279" s="540"/>
      <c r="V279" s="1155"/>
      <c r="W279" s="1155"/>
      <c r="X279" s="1155"/>
      <c r="Y279" s="1155"/>
      <c r="Z279" s="1155"/>
      <c r="AA279" s="1657"/>
      <c r="AB279" s="562"/>
      <c r="AC279" s="562"/>
      <c r="AD279" s="562"/>
      <c r="AE279" s="562"/>
    </row>
    <row s="1666" customFormat="1" customHeight="1" ht="11.25">
      <c r="A280" s="982"/>
      <c r="B280" s="1661"/>
      <c r="C280" s="1661"/>
      <c r="D280" s="339"/>
      <c r="K280" s="1155"/>
      <c r="L280" s="1661"/>
      <c r="M280" s="1661"/>
      <c r="N280" s="1155"/>
      <c r="O280" s="1155"/>
      <c r="P280" s="1155"/>
      <c r="Q280" s="1155"/>
      <c r="R280" s="1661"/>
      <c r="S280" s="1155"/>
      <c r="T280" s="1155"/>
      <c r="U280" s="540"/>
      <c r="V280" s="1155"/>
      <c r="W280" s="1155"/>
      <c r="X280" s="1155"/>
      <c r="Y280" s="1155"/>
      <c r="Z280" s="1155"/>
      <c r="AA280" s="1657"/>
      <c r="AB280" s="562"/>
      <c r="AC280" s="562"/>
      <c r="AD280" s="562"/>
      <c r="AE280" s="562"/>
    </row>
    <row s="1666" customFormat="1" customHeight="1" ht="11.25">
      <c r="A281" s="982"/>
      <c r="B281" s="1661"/>
      <c r="C281" s="1661"/>
      <c r="D281" s="339"/>
      <c r="K281" s="1155"/>
      <c r="L281" s="1661"/>
      <c r="M281" s="1661"/>
      <c r="N281" s="1155"/>
      <c r="O281" s="1155"/>
      <c r="P281" s="1155"/>
      <c r="Q281" s="1155"/>
      <c r="R281" s="1661"/>
      <c r="S281" s="1155"/>
      <c r="T281" s="1155"/>
      <c r="U281" s="540"/>
      <c r="V281" s="1155"/>
      <c r="W281" s="1155"/>
      <c r="X281" s="1155"/>
      <c r="Y281" s="1155"/>
      <c r="Z281" s="1155"/>
      <c r="AA281" s="1657"/>
      <c r="AB281" s="562"/>
      <c r="AC281" s="562"/>
      <c r="AD281" s="562"/>
      <c r="AE281" s="562"/>
    </row>
    <row s="1666" customFormat="1" customHeight="1" ht="11.25">
      <c r="A282" s="982"/>
      <c r="B282" s="1661"/>
      <c r="C282" s="1661"/>
      <c r="D282" s="339"/>
      <c r="K282" s="1155"/>
      <c r="L282" s="1661"/>
      <c r="M282" s="1661"/>
      <c r="N282" s="1155"/>
      <c r="O282" s="1155"/>
      <c r="P282" s="1155"/>
      <c r="Q282" s="1155"/>
      <c r="R282" s="1661"/>
      <c r="S282" s="1155"/>
      <c r="T282" s="1155"/>
      <c r="U282" s="540"/>
      <c r="V282" s="1155"/>
      <c r="W282" s="1155"/>
      <c r="X282" s="1155"/>
      <c r="Y282" s="1155"/>
      <c r="Z282" s="1155"/>
      <c r="AA282" s="1657"/>
      <c r="AB282" s="562"/>
      <c r="AC282" s="562"/>
      <c r="AD282" s="562"/>
      <c r="AE282" s="562"/>
    </row>
    <row s="1666" customFormat="1" customHeight="1" ht="11.25">
      <c r="A283" s="982"/>
      <c r="B283" s="1661"/>
      <c r="C283" s="1661"/>
      <c r="D283" s="339"/>
      <c r="K283" s="1155"/>
      <c r="L283" s="1661"/>
      <c r="M283" s="1661"/>
      <c r="N283" s="1155"/>
      <c r="O283" s="1155"/>
      <c r="P283" s="1155"/>
      <c r="Q283" s="1155"/>
      <c r="R283" s="1661"/>
      <c r="S283" s="1155"/>
      <c r="T283" s="1155"/>
      <c r="U283" s="540"/>
      <c r="V283" s="1155"/>
      <c r="W283" s="1155"/>
      <c r="X283" s="1155"/>
      <c r="Y283" s="1155"/>
      <c r="Z283" s="1155"/>
      <c r="AA283" s="1657"/>
      <c r="AB283" s="562"/>
      <c r="AC283" s="562"/>
      <c r="AD283" s="562"/>
      <c r="AE283" s="562"/>
    </row>
    <row s="1666" customFormat="1" customHeight="1" ht="11.25">
      <c r="A284" s="982"/>
      <c r="B284" s="1661"/>
      <c r="C284" s="1661"/>
      <c r="D284" s="339"/>
      <c r="K284" s="1155"/>
      <c r="L284" s="1661"/>
      <c r="M284" s="1661"/>
      <c r="N284" s="1155"/>
      <c r="O284" s="1155"/>
      <c r="P284" s="1155"/>
      <c r="Q284" s="1155"/>
      <c r="R284" s="1661"/>
      <c r="S284" s="1155"/>
      <c r="T284" s="1155"/>
      <c r="U284" s="540"/>
      <c r="V284" s="1155"/>
      <c r="W284" s="1155"/>
      <c r="X284" s="1155"/>
      <c r="Y284" s="1155"/>
      <c r="Z284" s="1155"/>
      <c r="AA284" s="1657"/>
      <c r="AB284" s="562"/>
      <c r="AC284" s="562"/>
      <c r="AD284" s="562"/>
      <c r="AE284" s="562"/>
    </row>
    <row s="1666" customFormat="1" customHeight="1" ht="11.25">
      <c r="A285" s="982"/>
      <c r="B285" s="1661"/>
      <c r="C285" s="1661"/>
      <c r="D285" s="339"/>
      <c r="K285" s="1155"/>
      <c r="L285" s="1661"/>
      <c r="M285" s="1661"/>
      <c r="N285" s="1155"/>
      <c r="O285" s="1155"/>
      <c r="P285" s="1155"/>
      <c r="Q285" s="1155"/>
      <c r="R285" s="1661"/>
      <c r="S285" s="1155"/>
      <c r="T285" s="1155"/>
      <c r="U285" s="540"/>
      <c r="V285" s="1155"/>
      <c r="W285" s="1155"/>
      <c r="X285" s="1155"/>
      <c r="Y285" s="1155"/>
      <c r="Z285" s="1155"/>
      <c r="AA285" s="1657"/>
      <c r="AB285" s="562"/>
      <c r="AC285" s="562"/>
      <c r="AD285" s="562"/>
      <c r="AE285" s="562"/>
    </row>
    <row s="1666" customFormat="1" customHeight="1" ht="11.25">
      <c r="A286" s="982"/>
      <c r="B286" s="1661"/>
      <c r="C286" s="1661"/>
      <c r="D286" s="339"/>
      <c r="K286" s="1155"/>
      <c r="L286" s="1661"/>
      <c r="M286" s="1661"/>
      <c r="N286" s="1155"/>
      <c r="O286" s="1155"/>
      <c r="P286" s="1155"/>
      <c r="Q286" s="1155"/>
      <c r="R286" s="1661"/>
      <c r="S286" s="1155"/>
      <c r="T286" s="1155"/>
      <c r="U286" s="540"/>
      <c r="V286" s="1155"/>
      <c r="W286" s="1155"/>
      <c r="X286" s="1155"/>
      <c r="Y286" s="1155"/>
      <c r="Z286" s="1155"/>
      <c r="AA286" s="1657"/>
      <c r="AB286" s="562"/>
      <c r="AC286" s="562"/>
      <c r="AD286" s="562"/>
      <c r="AE286" s="562"/>
    </row>
    <row s="1666" customFormat="1" customHeight="1" ht="11.25">
      <c r="A287" s="982"/>
      <c r="B287" s="1661"/>
      <c r="C287" s="1661"/>
      <c r="D287" s="339"/>
      <c r="K287" s="1155"/>
      <c r="L287" s="1661"/>
      <c r="M287" s="1661"/>
      <c r="N287" s="1155"/>
      <c r="O287" s="1155"/>
      <c r="P287" s="1155"/>
      <c r="Q287" s="1155"/>
      <c r="R287" s="1661"/>
      <c r="S287" s="1155"/>
      <c r="T287" s="1155"/>
      <c r="U287" s="540"/>
      <c r="V287" s="1155"/>
      <c r="W287" s="1155"/>
      <c r="X287" s="1155"/>
      <c r="Y287" s="1155"/>
      <c r="Z287" s="1155"/>
      <c r="AA287" s="1657"/>
      <c r="AB287" s="562"/>
      <c r="AC287" s="562"/>
      <c r="AD287" s="562"/>
      <c r="AE287" s="562"/>
    </row>
    <row s="1666" customFormat="1" customHeight="1" ht="11.25">
      <c r="A288" s="982"/>
      <c r="B288" s="1661"/>
      <c r="C288" s="1661"/>
      <c r="D288" s="339"/>
      <c r="K288" s="1155"/>
      <c r="L288" s="1661"/>
      <c r="M288" s="1661"/>
      <c r="N288" s="1155"/>
      <c r="O288" s="1155"/>
      <c r="P288" s="1155"/>
      <c r="Q288" s="1155"/>
      <c r="R288" s="1661"/>
      <c r="S288" s="1155"/>
      <c r="T288" s="1155"/>
      <c r="U288" s="540"/>
      <c r="V288" s="1155"/>
      <c r="W288" s="1155"/>
      <c r="X288" s="1155"/>
      <c r="Y288" s="1155"/>
      <c r="Z288" s="1155"/>
      <c r="AA288" s="1657"/>
      <c r="AB288" s="562"/>
      <c r="AC288" s="562"/>
      <c r="AD288" s="562"/>
      <c r="AE288" s="562"/>
    </row>
    <row r="292" customHeight="1" ht="11.25">
      <c r="A292" s="985"/>
      <c r="B292" s="1656"/>
      <c r="D292" s="1656"/>
      <c r="K292" s="1656"/>
      <c r="N292" s="1656"/>
      <c r="O292" s="1656"/>
      <c r="P292" s="1656"/>
      <c r="Q292" s="1656"/>
      <c r="S292" s="1656"/>
      <c r="T292" s="1656"/>
      <c r="U292" s="1656"/>
      <c r="V292" s="1656"/>
      <c r="W292" s="1656"/>
      <c r="X292" s="1656"/>
      <c r="Y292" s="1656"/>
      <c r="Z292" s="1656"/>
      <c r="AA292" s="1656"/>
      <c r="AB292" s="1656"/>
      <c r="AC292" s="1656"/>
      <c r="AD292" s="1656"/>
      <c r="AE292" s="1656"/>
    </row>
    <row customHeight="1" ht="11.25">
      <c r="A293" s="985"/>
      <c r="B293" s="1656"/>
      <c r="D293" s="1656"/>
      <c r="K293" s="1656"/>
      <c r="N293" s="1656"/>
      <c r="O293" s="1656"/>
      <c r="P293" s="1656"/>
      <c r="Q293" s="1656"/>
      <c r="S293" s="1656"/>
      <c r="T293" s="1656"/>
      <c r="U293" s="1656"/>
      <c r="V293" s="1656"/>
      <c r="W293" s="1656"/>
      <c r="X293" s="1656"/>
      <c r="Y293" s="1656"/>
      <c r="Z293" s="1656"/>
      <c r="AA293" s="1656"/>
      <c r="AB293" s="1656"/>
      <c r="AC293" s="1656"/>
      <c r="AD293" s="1656"/>
      <c r="AE293" s="1656"/>
    </row>
    <row customHeight="1" ht="11.25">
      <c r="A294" s="985"/>
      <c r="B294" s="1656"/>
      <c r="D294" s="1656"/>
      <c r="K294" s="1656"/>
      <c r="N294" s="1656"/>
      <c r="O294" s="1656"/>
      <c r="P294" s="1656"/>
      <c r="Q294" s="1656"/>
      <c r="S294" s="1656"/>
      <c r="T294" s="1656"/>
      <c r="U294" s="1656"/>
      <c r="V294" s="1656"/>
      <c r="W294" s="1656"/>
      <c r="X294" s="1656"/>
      <c r="Y294" s="1656"/>
      <c r="Z294" s="1656"/>
      <c r="AA294" s="1656"/>
      <c r="AB294" s="1656"/>
      <c r="AC294" s="1656"/>
      <c r="AD294" s="1656"/>
      <c r="AE294" s="1656"/>
    </row>
    <row customHeight="1" ht="11.25">
      <c r="A295" s="985"/>
      <c r="B295" s="1656"/>
      <c r="D295" s="1656"/>
      <c r="K295" s="1656"/>
      <c r="N295" s="1656"/>
      <c r="O295" s="1656"/>
      <c r="P295" s="1656"/>
      <c r="Q295" s="1656"/>
      <c r="S295" s="1656"/>
      <c r="T295" s="1656"/>
      <c r="U295" s="1656"/>
      <c r="V295" s="1656"/>
      <c r="W295" s="1656"/>
      <c r="X295" s="1656"/>
      <c r="Y295" s="1656"/>
      <c r="Z295" s="1656"/>
      <c r="AA295" s="1656"/>
      <c r="AB295" s="1656"/>
      <c r="AC295" s="1656"/>
      <c r="AD295" s="1656"/>
      <c r="AE295" s="1656"/>
    </row>
    <row customHeight="1" ht="11.25">
      <c r="A296" s="985"/>
      <c r="B296" s="1656"/>
      <c r="D296" s="1656"/>
      <c r="K296" s="1656"/>
      <c r="N296" s="1656"/>
      <c r="O296" s="1656"/>
      <c r="P296" s="1656"/>
      <c r="Q296" s="1656"/>
      <c r="S296" s="1656"/>
      <c r="T296" s="1656"/>
      <c r="U296" s="1656"/>
      <c r="V296" s="1656"/>
      <c r="W296" s="1656"/>
      <c r="X296" s="1656"/>
      <c r="Y296" s="1656"/>
      <c r="Z296" s="1656"/>
      <c r="AA296" s="1656"/>
      <c r="AB296" s="1656"/>
      <c r="AC296" s="1656"/>
      <c r="AD296" s="1656"/>
      <c r="AE296" s="1656"/>
    </row>
    <row customHeight="1" ht="11.25">
      <c r="A297" s="985"/>
      <c r="B297" s="1656"/>
      <c r="D297" s="1656"/>
      <c r="K297" s="1656"/>
      <c r="N297" s="1656"/>
      <c r="O297" s="1656"/>
      <c r="P297" s="1656"/>
      <c r="Q297" s="1656"/>
      <c r="S297" s="1656"/>
      <c r="T297" s="1656"/>
      <c r="U297" s="1656"/>
      <c r="V297" s="1656"/>
      <c r="W297" s="1656"/>
      <c r="X297" s="1656"/>
      <c r="Y297" s="1656"/>
      <c r="Z297" s="1656"/>
      <c r="AA297" s="1656"/>
      <c r="AB297" s="1656"/>
      <c r="AC297" s="1656"/>
      <c r="AD297" s="1656"/>
      <c r="AE297" s="1656"/>
    </row>
    <row customHeight="1" ht="11.25">
      <c r="A298" s="985"/>
      <c r="B298" s="1656"/>
      <c r="D298" s="1656"/>
      <c r="K298" s="1656"/>
      <c r="N298" s="1656"/>
      <c r="O298" s="1656"/>
      <c r="P298" s="1656"/>
      <c r="Q298" s="1656"/>
      <c r="S298" s="1656"/>
      <c r="T298" s="1656"/>
      <c r="U298" s="1656"/>
      <c r="V298" s="1656"/>
      <c r="W298" s="1656"/>
      <c r="X298" s="1656"/>
      <c r="Y298" s="1656"/>
      <c r="Z298" s="1656"/>
      <c r="AA298" s="1656"/>
      <c r="AB298" s="1656"/>
      <c r="AC298" s="1656"/>
      <c r="AD298" s="1656"/>
      <c r="AE298" s="1656"/>
    </row>
    <row customHeight="1" ht="11.25">
      <c r="A299" s="985"/>
      <c r="B299" s="1656"/>
      <c r="D299" s="1656"/>
      <c r="K299" s="1656"/>
      <c r="N299" s="1656"/>
      <c r="O299" s="1656"/>
      <c r="P299" s="1656"/>
      <c r="Q299" s="1656"/>
      <c r="S299" s="1656"/>
      <c r="T299" s="1656"/>
      <c r="U299" s="1656"/>
      <c r="V299" s="1656"/>
      <c r="W299" s="1656"/>
      <c r="X299" s="1656"/>
      <c r="Y299" s="1656"/>
      <c r="Z299" s="1656"/>
      <c r="AA299" s="1656"/>
      <c r="AB299" s="1656"/>
      <c r="AC299" s="1656"/>
      <c r="AD299" s="1656"/>
      <c r="AE299" s="1656"/>
    </row>
    <row customHeight="1" ht="11.25">
      <c r="A300" s="985"/>
      <c r="B300" s="1656"/>
      <c r="D300" s="1656"/>
      <c r="K300" s="1656"/>
      <c r="N300" s="1656"/>
      <c r="O300" s="1656"/>
      <c r="P300" s="1656"/>
      <c r="Q300" s="1656"/>
      <c r="S300" s="1656"/>
      <c r="T300" s="1656"/>
      <c r="U300" s="1656"/>
      <c r="V300" s="1656"/>
      <c r="W300" s="1656"/>
      <c r="X300" s="1656"/>
      <c r="Y300" s="1656"/>
      <c r="Z300" s="1656"/>
      <c r="AA300" s="1656"/>
      <c r="AB300" s="1656"/>
      <c r="AC300" s="1656"/>
      <c r="AD300" s="1656"/>
      <c r="AE300" s="1656"/>
    </row>
    <row customHeight="1" ht="11.25">
      <c r="A301" s="985"/>
      <c r="B301" s="1656"/>
      <c r="D301" s="1656"/>
      <c r="K301" s="1656"/>
      <c r="N301" s="1656"/>
      <c r="O301" s="1656"/>
      <c r="P301" s="1656"/>
      <c r="Q301" s="1656"/>
      <c r="S301" s="1656"/>
      <c r="T301" s="1656"/>
      <c r="U301" s="1656"/>
      <c r="V301" s="1656"/>
      <c r="W301" s="1656"/>
      <c r="X301" s="1656"/>
      <c r="Y301" s="1656"/>
      <c r="Z301" s="1656"/>
      <c r="AA301" s="1656"/>
      <c r="AB301" s="1656"/>
      <c r="AC301" s="1656"/>
      <c r="AD301" s="1656"/>
      <c r="AE301" s="1656"/>
    </row>
    <row customHeight="1" ht="11.25">
      <c r="A302" s="985"/>
      <c r="B302" s="1656"/>
      <c r="D302" s="1656"/>
      <c r="K302" s="1656"/>
      <c r="N302" s="1656"/>
      <c r="O302" s="1656"/>
      <c r="P302" s="1656"/>
      <c r="Q302" s="1656"/>
      <c r="S302" s="1656"/>
      <c r="T302" s="1656"/>
      <c r="U302" s="1656"/>
      <c r="V302" s="1656"/>
      <c r="W302" s="1656"/>
      <c r="X302" s="1656"/>
      <c r="Y302" s="1656"/>
      <c r="Z302" s="1656"/>
      <c r="AA302" s="1656"/>
      <c r="AB302" s="1656"/>
      <c r="AC302" s="1656"/>
      <c r="AD302" s="1656"/>
      <c r="AE302" s="1656"/>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19A33B3-7AC6-EDE3-7E42-6C0C72576A7D}"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938" width="14.7109375" hidden="1" customWidth="1"/>
    <col min="2" max="2" style="1657" width="17.00390625" hidden="1" customWidth="1"/>
    <col min="3" max="3" style="1660" width="3.7109375" customWidth="1"/>
    <col min="4" max="4" style="1660" width="1.8515625" hidden="1" customWidth="1"/>
    <col min="5" max="6" style="1660" width="7.7109375" customWidth="1"/>
    <col min="7" max="7" style="1660" width="29.7109375" customWidth="1"/>
    <col min="8" max="8" style="1660" width="3.7109375" customWidth="1"/>
    <col min="9" max="9" style="1660" width="5.421875" customWidth="1"/>
    <col min="10" max="10" style="1660" width="24.57421875" customWidth="1"/>
    <col min="11" max="11" style="1660" width="24.421875" customWidth="1"/>
    <col min="12" max="12" style="1660" width="3.7109375" customWidth="1"/>
    <col min="13" max="13" style="1660" width="6.28125" customWidth="1"/>
    <col min="14" max="14" style="1660" width="25.8515625" customWidth="1"/>
    <col min="15" max="18" style="1660" width="18.7109375" customWidth="1"/>
    <col min="19" max="19" style="1660" width="93.421875" customWidth="1"/>
    <col min="20" max="20" style="1660" width="10.57421875" customWidth="1"/>
    <col min="21" max="21" style="1667" width="10.57421875" customWidth="1"/>
    <col min="22" max="22" style="1667" width="11.7109375" customWidth="1"/>
    <col min="23" max="27" style="1657" width="10.57421875" customWidth="1"/>
    <col min="28" max="83" style="1660" width="9.140625"/>
  </cols>
  <sheetData>
    <row customHeight="1" ht="11.25" hidden="1"/>
    <row customHeight="1" ht="11.25" hidden="1"/>
    <row customHeight="1" ht="11.25" hidden="1"/>
    <row customHeight="1" ht="3">
      <c r="C4" s="505"/>
      <c r="D4" s="505"/>
      <c r="E4" s="505"/>
      <c r="F4" s="505"/>
      <c r="G4" s="505"/>
      <c r="H4" s="505"/>
      <c r="I4" s="505"/>
      <c r="J4" s="505"/>
      <c r="K4" s="146"/>
      <c r="L4" s="146"/>
      <c r="M4" s="146"/>
    </row>
    <row customHeight="1" ht="28.5">
      <c r="C5" s="505"/>
      <c r="D5" s="1052"/>
      <c r="E5" s="2067" t="str">
        <f>FHD20_NAME_FORM</f>
        <v>Форма 11. Информация о расходах на капитальный и текущий ремонт основных средств</v>
      </c>
      <c r="F5" s="2067"/>
      <c r="G5" s="2067"/>
      <c r="H5" s="2067"/>
      <c r="I5" s="2067"/>
      <c r="J5" s="2067"/>
      <c r="K5" s="2067"/>
      <c r="L5" s="609"/>
      <c r="M5" s="609"/>
    </row>
    <row s="1660" customFormat="1" customHeight="1" ht="16.5">
      <c r="A6" s="606"/>
      <c r="B6" s="754"/>
      <c r="C6" s="505"/>
      <c r="D6" s="1053"/>
      <c r="E6" s="2035" t="str">
        <f>IF(org=0,"Не определено",org)</f>
        <v>ПАО "ТГК-1" филиал "Невский"</v>
      </c>
      <c r="F6" s="2035"/>
      <c r="G6" s="2035"/>
      <c r="H6" s="2035"/>
      <c r="I6" s="2035"/>
      <c r="J6" s="2035"/>
      <c r="K6" s="2035"/>
      <c r="L6" s="609"/>
      <c r="M6" s="609"/>
      <c r="U6" s="607"/>
      <c r="V6" s="607"/>
      <c r="W6" s="608"/>
      <c r="X6" s="754"/>
      <c r="Y6" s="754"/>
      <c r="Z6" s="754"/>
      <c r="AA6" s="754"/>
    </row>
    <row customHeight="1" ht="11.25">
      <c r="C7" s="505"/>
      <c r="D7" s="505"/>
      <c r="E7" s="505"/>
      <c r="F7" s="505"/>
      <c r="G7" s="518"/>
      <c r="H7" s="518"/>
      <c r="I7" s="518"/>
      <c r="J7" s="518"/>
      <c r="K7" s="610"/>
      <c r="L7" s="610"/>
      <c r="M7" s="610"/>
      <c r="R7" s="747"/>
    </row>
    <row s="1666" customFormat="1" customHeight="1" ht="5.25">
      <c r="A8" s="617"/>
      <c r="B8" s="562"/>
      <c r="C8" s="339"/>
      <c r="D8" s="339"/>
      <c r="E8" s="339"/>
      <c r="F8" s="339"/>
      <c r="G8" s="970"/>
      <c r="H8" s="970"/>
      <c r="I8" s="970"/>
      <c r="J8" s="970"/>
      <c r="K8" s="1013"/>
      <c r="L8" s="1013"/>
      <c r="M8" s="1013"/>
      <c r="R8" s="1014"/>
      <c r="U8" s="607"/>
      <c r="V8" s="607"/>
      <c r="W8" s="618"/>
      <c r="X8" s="562"/>
      <c r="Y8" s="562"/>
      <c r="Z8" s="562"/>
      <c r="AA8" s="562"/>
    </row>
    <row customHeight="1" ht="18.75">
      <c r="D9" s="270"/>
      <c r="E9" s="1937" t="s">
        <v>312</v>
      </c>
      <c r="F9" s="1938"/>
      <c r="G9" s="1938"/>
      <c r="H9" s="1938"/>
      <c r="I9" s="1938"/>
      <c r="J9" s="1938"/>
      <c r="K9" s="1938"/>
      <c r="L9" s="1938"/>
      <c r="M9" s="1938"/>
      <c r="N9" s="1938"/>
      <c r="O9" s="1938"/>
      <c r="P9" s="1938"/>
      <c r="Q9" s="1938"/>
      <c r="R9" s="1939"/>
      <c r="S9" s="1953" t="s">
        <v>313</v>
      </c>
      <c r="T9" s="322"/>
    </row>
    <row customHeight="1" ht="33.75">
      <c r="D10" s="547" t="s">
        <v>87</v>
      </c>
      <c r="E10" s="1953" t="s">
        <v>87</v>
      </c>
      <c r="F10" s="1953"/>
      <c r="G10" s="517" t="s">
        <v>314</v>
      </c>
      <c r="H10" s="1953" t="s">
        <v>87</v>
      </c>
      <c r="I10" s="1953"/>
      <c r="J10" s="517" t="s">
        <v>613</v>
      </c>
      <c r="K10" s="517" t="s">
        <v>614</v>
      </c>
      <c r="L10" s="1953" t="s">
        <v>87</v>
      </c>
      <c r="M10" s="1953"/>
      <c r="N10" s="517" t="s">
        <v>615</v>
      </c>
      <c r="O10" s="517" t="s">
        <v>616</v>
      </c>
      <c r="P10" s="517" t="s">
        <v>617</v>
      </c>
      <c r="Q10" s="517" t="s">
        <v>618</v>
      </c>
      <c r="R10" s="517" t="s">
        <v>619</v>
      </c>
      <c r="S10" s="1953"/>
      <c r="T10" s="322"/>
    </row>
    <row s="1667" customFormat="1" customHeight="1" ht="15" hidden="1">
      <c r="A11" s="1047"/>
      <c r="D11" s="1020" t="s">
        <v>108</v>
      </c>
      <c r="E11" s="1020"/>
      <c r="F11" s="1020" t="s">
        <v>109</v>
      </c>
      <c r="G11" s="1020" t="s">
        <v>89</v>
      </c>
      <c r="H11" s="1020"/>
      <c r="I11" s="1020" t="s">
        <v>90</v>
      </c>
      <c r="J11" s="1020" t="s">
        <v>110</v>
      </c>
      <c r="K11" s="1020" t="s">
        <v>91</v>
      </c>
      <c r="L11" s="1020"/>
      <c r="M11" s="1020" t="s">
        <v>92</v>
      </c>
      <c r="N11" s="1020" t="s">
        <v>111</v>
      </c>
      <c r="O11" s="1020" t="s">
        <v>98</v>
      </c>
      <c r="P11" s="1020" t="s">
        <v>147</v>
      </c>
      <c r="Q11" s="1020" t="s">
        <v>148</v>
      </c>
      <c r="R11" s="1020" t="s">
        <v>149</v>
      </c>
      <c r="S11" s="1020" t="s">
        <v>150</v>
      </c>
      <c r="U11" s="607"/>
      <c r="V11" s="607"/>
      <c r="W11" s="607"/>
    </row>
    <row s="1660" customFormat="1" customHeight="1" ht="0.75">
      <c r="A12" s="611"/>
      <c r="B12" s="352"/>
      <c r="D12" s="544"/>
      <c r="E12" s="334"/>
      <c r="F12" s="334"/>
      <c r="Q12" s="612"/>
      <c r="R12" s="613"/>
      <c r="T12" s="614"/>
      <c r="U12" s="615"/>
      <c r="V12" s="615"/>
      <c r="W12" s="616"/>
      <c r="X12" s="352"/>
      <c r="Y12" s="352"/>
      <c r="Z12" s="352"/>
      <c r="AA12" s="352"/>
    </row>
    <row s="1666" customFormat="1" customHeight="1" ht="0.75">
      <c r="A13" s="617"/>
      <c r="B13" s="562"/>
      <c r="D13" s="544" t="s">
        <v>390</v>
      </c>
      <c r="E13" s="556"/>
      <c r="F13" s="556"/>
      <c r="G13" s="556"/>
      <c r="H13" s="556"/>
      <c r="I13" s="556"/>
      <c r="J13" s="556"/>
      <c r="K13" s="556"/>
      <c r="L13" s="556"/>
      <c r="M13" s="556"/>
      <c r="N13" s="556"/>
      <c r="O13" s="556"/>
      <c r="P13" s="556"/>
      <c r="Q13" s="556"/>
      <c r="R13" s="556"/>
      <c r="T13" s="322"/>
      <c r="U13" s="607"/>
      <c r="V13" s="607"/>
      <c r="W13" s="618"/>
      <c r="X13" s="562"/>
      <c r="Y13" s="562"/>
      <c r="Z13" s="562"/>
      <c r="AA13" s="562"/>
    </row>
    <row s="2437" customFormat="1" customHeight="1" ht="15" hidden="1">
      <c r="A14" s="619" t="s">
        <v>116</v>
      </c>
      <c r="B14" s="0"/>
      <c r="C14" s="0"/>
      <c r="D14" s="2199" t="s">
        <v>108</v>
      </c>
      <c r="E14" s="2207" t="s">
        <v>104</v>
      </c>
      <c r="F14" s="2208"/>
      <c r="G14" s="2209"/>
      <c r="H14" s="2202">
        <f>IF(A14="","",INDEX(DIFFERENTIATION_UNMERGE_VD,MATCH(A14,DIFFERENTIATION_ID_DIFF,0)))</f>
        <v>0</v>
      </c>
      <c r="I14" s="2202"/>
      <c r="J14" s="2202"/>
      <c r="K14" s="2202"/>
      <c r="L14" s="2202"/>
      <c r="M14" s="2202"/>
      <c r="N14" s="2202"/>
      <c r="O14" s="2202"/>
      <c r="P14" s="2202"/>
      <c r="Q14" s="2202"/>
      <c r="R14" s="2202"/>
      <c r="S14" s="714"/>
      <c r="T14" s="711"/>
      <c r="U14" s="620"/>
      <c r="V14" s="620"/>
      <c r="W14" s="621"/>
      <c r="X14" s="621"/>
      <c r="Y14" s="621"/>
      <c r="Z14" s="621"/>
      <c r="AA14" s="622"/>
      <c r="AB14" s="623"/>
      <c r="AC14" s="2206"/>
      <c r="AD14" s="624"/>
      <c r="AE14" s="625" t="s">
        <v>24</v>
      </c>
      <c r="AF14" s="625"/>
      <c r="AG14" s="626" t="s">
        <v>620</v>
      </c>
      <c r="AH14" s="627">
        <v>3</v>
      </c>
      <c r="AI14" s="620"/>
      <c r="AJ14" s="620"/>
      <c r="AK14" s="620"/>
      <c r="AL14" s="620"/>
      <c r="AM14" s="620"/>
      <c r="AN14" s="620"/>
      <c r="AO14" s="620"/>
      <c r="AP14" s="620"/>
      <c r="AQ14" s="620"/>
      <c r="AR14" s="620"/>
      <c r="AS14" s="620"/>
      <c r="AT14" s="620"/>
      <c r="AU14" s="620"/>
      <c r="AV14" s="620"/>
      <c r="AW14" s="620"/>
      <c r="AX14" s="620"/>
      <c r="AY14" s="620"/>
      <c r="AZ14" s="620"/>
      <c r="BA14" s="620"/>
      <c r="BB14" s="620"/>
      <c r="BC14" s="620"/>
      <c r="BD14" s="620"/>
      <c r="BE14" s="620"/>
      <c r="BF14" s="620"/>
      <c r="BG14" s="620"/>
      <c r="BH14" s="620"/>
      <c r="BI14" s="620"/>
      <c r="BJ14" s="620"/>
      <c r="BK14" s="620"/>
      <c r="BL14" s="620"/>
      <c r="BM14" s="620"/>
      <c r="BN14" s="620"/>
      <c r="BO14" s="620"/>
      <c r="BP14" s="620"/>
      <c r="BQ14" s="620"/>
      <c r="BR14" s="620"/>
      <c r="BS14" s="620"/>
      <c r="BT14" s="620"/>
      <c r="BU14" s="620"/>
      <c r="BV14" s="621"/>
      <c r="BW14" s="621"/>
      <c r="BX14" s="621"/>
      <c r="BY14" s="621"/>
      <c r="BZ14" s="621"/>
      <c r="CA14" s="621"/>
      <c r="CB14" s="621"/>
      <c r="CC14" s="621"/>
      <c r="CD14" s="621"/>
      <c r="CE14" s="621"/>
    </row>
    <row s="2437" customFormat="1" customHeight="1" ht="15" hidden="1">
      <c r="A15" s="619"/>
      <c r="B15" s="0"/>
      <c r="C15" s="0"/>
      <c r="D15" s="2200"/>
      <c r="E15" s="2207" t="s">
        <v>575</v>
      </c>
      <c r="F15" s="2208"/>
      <c r="G15" s="2209"/>
      <c r="H15" s="2202" t="str">
        <f>IF(A14="","",INDEX(DIFFERENTIATION_UNMERGE_AREA,MATCH(A14,DIFFERENTIATION_ID_DIFF,0)))</f>
        <v/>
      </c>
      <c r="I15" s="2202"/>
      <c r="J15" s="2202"/>
      <c r="K15" s="2202"/>
      <c r="L15" s="2202"/>
      <c r="M15" s="2202"/>
      <c r="N15" s="2202"/>
      <c r="O15" s="2202"/>
      <c r="P15" s="2202"/>
      <c r="Q15" s="2202"/>
      <c r="R15" s="2202"/>
      <c r="S15" s="714"/>
      <c r="T15" s="711"/>
      <c r="U15" s="620"/>
      <c r="V15" s="620"/>
      <c r="W15" s="621"/>
      <c r="X15" s="621"/>
      <c r="Y15" s="621"/>
      <c r="Z15" s="621"/>
      <c r="AA15" s="622"/>
      <c r="AB15" s="623"/>
      <c r="AC15" s="2206"/>
      <c r="AD15" s="624"/>
      <c r="AE15" s="625"/>
      <c r="AF15" s="625"/>
      <c r="AG15" s="626"/>
      <c r="AH15" s="627"/>
      <c r="AI15" s="620"/>
      <c r="AJ15" s="620"/>
      <c r="AK15" s="620"/>
      <c r="AL15" s="620"/>
      <c r="AM15" s="620"/>
      <c r="AN15" s="620"/>
      <c r="AO15" s="620"/>
      <c r="AP15" s="620"/>
      <c r="AQ15" s="620"/>
      <c r="AR15" s="620"/>
      <c r="AS15" s="620"/>
      <c r="AT15" s="620"/>
      <c r="AU15" s="620"/>
      <c r="AV15" s="620"/>
      <c r="AW15" s="620"/>
      <c r="AX15" s="620"/>
      <c r="AY15" s="620"/>
      <c r="AZ15" s="620"/>
      <c r="BA15" s="620"/>
      <c r="BB15" s="620"/>
      <c r="BC15" s="620"/>
      <c r="BD15" s="620"/>
      <c r="BE15" s="620"/>
      <c r="BF15" s="620"/>
      <c r="BG15" s="620"/>
      <c r="BH15" s="620"/>
      <c r="BI15" s="620"/>
      <c r="BJ15" s="620"/>
      <c r="BK15" s="620"/>
      <c r="BL15" s="620"/>
      <c r="BM15" s="620"/>
      <c r="BN15" s="620"/>
      <c r="BO15" s="620"/>
      <c r="BP15" s="620"/>
      <c r="BQ15" s="620"/>
      <c r="BR15" s="620"/>
      <c r="BS15" s="620"/>
      <c r="BT15" s="620"/>
      <c r="BU15" s="620"/>
      <c r="BV15" s="621"/>
      <c r="BW15" s="621"/>
      <c r="BX15" s="621"/>
      <c r="BY15" s="621"/>
      <c r="BZ15" s="621"/>
      <c r="CA15" s="621"/>
      <c r="CB15" s="621"/>
      <c r="CC15" s="621"/>
      <c r="CD15" s="621"/>
      <c r="CE15" s="621"/>
    </row>
    <row s="2437" customFormat="1" customHeight="1" ht="15" hidden="1">
      <c r="A16" s="619"/>
      <c r="B16" s="0"/>
      <c r="C16" s="0"/>
      <c r="D16" s="2200"/>
      <c r="E16" s="2207" t="s">
        <v>576</v>
      </c>
      <c r="F16" s="2208"/>
      <c r="G16" s="2209"/>
      <c r="H16" s="2202" t="str">
        <f>IF(A14="","",INDEX(DIFFERENTIATION_UNMERGE_SYSTEM,MATCH(A14,DIFFERENTIATION_ID_DIFF,0)))</f>
        <v>без дифференциации</v>
      </c>
      <c r="I16" s="2202"/>
      <c r="J16" s="2202"/>
      <c r="K16" s="2202"/>
      <c r="L16" s="2202"/>
      <c r="M16" s="2202"/>
      <c r="N16" s="2202"/>
      <c r="O16" s="2202"/>
      <c r="P16" s="2202"/>
      <c r="Q16" s="2202"/>
      <c r="R16" s="2202"/>
      <c r="S16" s="714"/>
      <c r="T16" s="711"/>
      <c r="U16" s="620"/>
      <c r="V16" s="620"/>
      <c r="W16" s="621"/>
      <c r="X16" s="621"/>
      <c r="Y16" s="621"/>
      <c r="Z16" s="621"/>
      <c r="AA16" s="622"/>
      <c r="AB16" s="623"/>
      <c r="AC16" s="2206"/>
      <c r="AD16" s="624"/>
      <c r="AE16" s="625"/>
      <c r="AF16" s="625"/>
      <c r="AG16" s="626"/>
      <c r="AH16" s="627"/>
      <c r="AI16" s="620"/>
      <c r="AJ16" s="620"/>
      <c r="AK16" s="620"/>
      <c r="AL16" s="620"/>
      <c r="AM16" s="620"/>
      <c r="AN16" s="620"/>
      <c r="AO16" s="620"/>
      <c r="AP16" s="620"/>
      <c r="AQ16" s="620"/>
      <c r="AR16" s="620"/>
      <c r="AS16" s="620"/>
      <c r="AT16" s="620"/>
      <c r="AU16" s="620"/>
      <c r="AV16" s="620"/>
      <c r="AW16" s="620"/>
      <c r="AX16" s="620"/>
      <c r="AY16" s="620"/>
      <c r="AZ16" s="620"/>
      <c r="BA16" s="620"/>
      <c r="BB16" s="620"/>
      <c r="BC16" s="620"/>
      <c r="BD16" s="620"/>
      <c r="BE16" s="620"/>
      <c r="BF16" s="620"/>
      <c r="BG16" s="620"/>
      <c r="BH16" s="620"/>
      <c r="BI16" s="620"/>
      <c r="BJ16" s="620"/>
      <c r="BK16" s="620"/>
      <c r="BL16" s="620"/>
      <c r="BM16" s="620"/>
      <c r="BN16" s="620"/>
      <c r="BO16" s="620"/>
      <c r="BP16" s="620"/>
      <c r="BQ16" s="620"/>
      <c r="BR16" s="620"/>
      <c r="BS16" s="620"/>
      <c r="BT16" s="620"/>
      <c r="BU16" s="620"/>
      <c r="BV16" s="621"/>
      <c r="BW16" s="621"/>
      <c r="BX16" s="621"/>
      <c r="BY16" s="621"/>
      <c r="BZ16" s="621"/>
      <c r="CA16" s="621"/>
      <c r="CB16" s="621"/>
      <c r="CC16" s="621"/>
      <c r="CD16" s="621"/>
      <c r="CE16" s="621"/>
    </row>
    <row s="2437" customFormat="1" customHeight="1" ht="22.5" hidden="1">
      <c r="A17" s="628"/>
      <c r="B17" s="414"/>
      <c r="C17" s="409"/>
      <c r="D17" s="2200"/>
      <c r="E17" s="2204" t="s">
        <v>621</v>
      </c>
      <c r="F17" s="2204"/>
      <c r="G17" s="2204"/>
      <c r="H17" s="2204"/>
      <c r="I17" s="2204"/>
      <c r="J17" s="2204"/>
      <c r="K17" s="2204"/>
      <c r="L17" s="2204"/>
      <c r="M17" s="2204"/>
      <c r="N17" s="2204"/>
      <c r="O17" s="2204"/>
      <c r="P17" s="2204"/>
      <c r="Q17" s="554">
        <f>SUMIF(T18:T19,"i",Q18:Q19)</f>
        <v>0</v>
      </c>
      <c r="R17" s="1012"/>
      <c r="S17" s="891" t="s">
        <v>622</v>
      </c>
      <c r="T17" s="712" t="s">
        <v>623</v>
      </c>
      <c r="U17" s="2205">
        <v>1</v>
      </c>
      <c r="V17" s="2205" t="str">
        <f>INDEX(B_FHD_FLAG_INDEX_1,1,MATCH(A14,B_FHD_FLAG_DIFFERENTIATION,0))</f>
        <v>отсутствует</v>
      </c>
      <c r="W17" s="414"/>
      <c r="X17" s="414"/>
      <c r="Y17" s="414"/>
      <c r="Z17" s="414"/>
      <c r="AA17" s="507"/>
      <c r="AB17" s="414"/>
      <c r="AC17" s="2206"/>
      <c r="AD17" s="624"/>
      <c r="AE17" s="414"/>
      <c r="AF17" s="414"/>
      <c r="AG17" s="507"/>
      <c r="AH17" s="507"/>
      <c r="AI17" s="507"/>
      <c r="AJ17" s="507"/>
      <c r="AK17" s="507"/>
      <c r="AL17" s="507"/>
      <c r="AM17" s="507"/>
      <c r="AN17" s="507"/>
      <c r="AO17" s="507"/>
      <c r="AP17" s="507"/>
      <c r="AQ17" s="507"/>
      <c r="AR17" s="507"/>
      <c r="AS17" s="507"/>
      <c r="AT17" s="507"/>
      <c r="AU17" s="507"/>
      <c r="AV17" s="507"/>
      <c r="AW17" s="507"/>
      <c r="AX17" s="507"/>
      <c r="AY17" s="507"/>
      <c r="AZ17" s="507"/>
      <c r="BA17" s="507"/>
      <c r="BB17" s="507"/>
      <c r="BC17" s="507"/>
      <c r="BD17" s="507"/>
      <c r="BE17" s="507"/>
      <c r="BF17" s="507"/>
      <c r="BG17" s="507"/>
      <c r="BH17" s="507"/>
      <c r="BI17" s="507"/>
      <c r="BJ17" s="507"/>
      <c r="BK17" s="507"/>
      <c r="BL17" s="507"/>
      <c r="BM17" s="507"/>
      <c r="BN17" s="507"/>
      <c r="BO17" s="507"/>
      <c r="BP17" s="507"/>
      <c r="BQ17" s="507"/>
      <c r="BR17" s="507"/>
      <c r="BS17" s="507"/>
      <c r="BT17" s="507"/>
      <c r="BU17" s="507"/>
      <c r="BV17" s="414"/>
      <c r="BW17" s="414"/>
      <c r="BX17" s="414"/>
      <c r="BY17" s="414"/>
      <c r="BZ17" s="414"/>
      <c r="CA17" s="414"/>
      <c r="CB17" s="414"/>
      <c r="CC17" s="414"/>
      <c r="CD17" s="414"/>
      <c r="CE17" s="414"/>
    </row>
    <row s="2437" customFormat="1" customHeight="1" ht="11.25" hidden="1">
      <c r="A18" s="629"/>
      <c r="B18" s="507"/>
      <c r="C18" s="507"/>
      <c r="D18" s="2200"/>
      <c r="E18" s="630"/>
      <c r="F18" s="630">
        <v>0</v>
      </c>
      <c r="G18" s="630"/>
      <c r="H18" s="630"/>
      <c r="I18" s="630"/>
      <c r="J18" s="630"/>
      <c r="K18" s="630"/>
      <c r="L18" s="630"/>
      <c r="M18" s="630"/>
      <c r="N18" s="630"/>
      <c r="O18" s="630"/>
      <c r="P18" s="630"/>
      <c r="Q18" s="630"/>
      <c r="R18" s="630"/>
      <c r="S18" s="631"/>
      <c r="T18" s="713"/>
      <c r="U18" s="2205"/>
      <c r="V18" s="2205"/>
      <c r="W18" s="507"/>
      <c r="X18" s="507"/>
      <c r="Y18" s="507"/>
      <c r="Z18" s="507"/>
      <c r="AA18" s="507"/>
      <c r="AB18" s="414"/>
      <c r="AC18" s="2206"/>
      <c r="AD18" s="624"/>
      <c r="AE18" s="414"/>
      <c r="AF18" s="414"/>
      <c r="AG18" s="507"/>
      <c r="AH18" s="507"/>
      <c r="AI18" s="507"/>
      <c r="AJ18" s="507"/>
      <c r="AK18" s="507"/>
      <c r="AL18" s="507"/>
      <c r="AM18" s="507"/>
      <c r="AN18" s="507"/>
      <c r="AO18" s="507"/>
      <c r="AP18" s="507"/>
      <c r="AQ18" s="507"/>
      <c r="AR18" s="507"/>
      <c r="AS18" s="507"/>
      <c r="AT18" s="507"/>
      <c r="AU18" s="507"/>
      <c r="AV18" s="507"/>
      <c r="AW18" s="507"/>
      <c r="AX18" s="507"/>
      <c r="AY18" s="507"/>
      <c r="AZ18" s="507"/>
      <c r="BA18" s="507"/>
      <c r="BB18" s="507"/>
      <c r="BC18" s="507"/>
      <c r="BD18" s="507"/>
      <c r="BE18" s="507"/>
      <c r="BF18" s="507"/>
      <c r="BG18" s="507"/>
      <c r="BH18" s="507"/>
      <c r="BI18" s="507"/>
      <c r="BJ18" s="507"/>
      <c r="BK18" s="507"/>
      <c r="BL18" s="507"/>
      <c r="BM18" s="507"/>
      <c r="BN18" s="507"/>
      <c r="BO18" s="507"/>
      <c r="BP18" s="507"/>
      <c r="BQ18" s="507"/>
      <c r="BR18" s="507"/>
      <c r="BS18" s="507"/>
      <c r="BT18" s="507"/>
      <c r="BU18" s="507"/>
      <c r="BV18" s="507"/>
      <c r="BW18" s="507"/>
      <c r="BX18" s="507"/>
      <c r="BY18" s="507"/>
      <c r="BZ18" s="507"/>
      <c r="CA18" s="507"/>
      <c r="CB18" s="507"/>
      <c r="CC18" s="507"/>
      <c r="CD18" s="507"/>
      <c r="CE18" s="507"/>
    </row>
    <row s="2437" customFormat="1" customHeight="1" ht="11.25" hidden="1">
      <c r="A19" s="628"/>
      <c r="B19" s="414"/>
      <c r="C19" s="409"/>
      <c r="D19" s="2200"/>
      <c r="E19" s="644" t="s">
        <v>24</v>
      </c>
      <c r="F19" s="645" t="s">
        <v>24</v>
      </c>
      <c r="G19" s="645" t="s">
        <v>24</v>
      </c>
      <c r="H19" s="646" t="s">
        <v>24</v>
      </c>
      <c r="I19" s="646"/>
      <c r="J19" s="646"/>
      <c r="K19" s="646"/>
      <c r="L19" s="646"/>
      <c r="M19" s="646"/>
      <c r="N19" s="646"/>
      <c r="O19" s="646"/>
      <c r="P19" s="646"/>
      <c r="Q19" s="646"/>
      <c r="R19" s="647"/>
      <c r="S19" s="1015"/>
      <c r="T19" s="713"/>
      <c r="U19" s="2205"/>
      <c r="V19" s="2205"/>
      <c r="W19" s="414"/>
      <c r="X19" s="414"/>
      <c r="Y19" s="414"/>
      <c r="Z19" s="414"/>
      <c r="AA19" s="507"/>
      <c r="AB19" s="414"/>
      <c r="AC19" s="2206"/>
      <c r="AD19" s="624"/>
      <c r="AE19" s="414"/>
      <c r="AF19" s="414"/>
      <c r="AG19" s="507"/>
      <c r="AH19" s="507"/>
      <c r="AI19" s="507"/>
      <c r="AJ19" s="507"/>
      <c r="AK19" s="507"/>
      <c r="AL19" s="507"/>
      <c r="AM19" s="507"/>
      <c r="AN19" s="507"/>
      <c r="AO19" s="507"/>
      <c r="AP19" s="507"/>
      <c r="AQ19" s="507"/>
      <c r="AR19" s="507"/>
      <c r="AS19" s="507"/>
      <c r="AT19" s="507"/>
      <c r="AU19" s="507"/>
      <c r="AV19" s="507"/>
      <c r="AW19" s="507"/>
      <c r="AX19" s="507"/>
      <c r="AY19" s="507"/>
      <c r="AZ19" s="507"/>
      <c r="BA19" s="507"/>
      <c r="BB19" s="507"/>
      <c r="BC19" s="507"/>
      <c r="BD19" s="507"/>
      <c r="BE19" s="507"/>
      <c r="BF19" s="507"/>
      <c r="BG19" s="507"/>
      <c r="BH19" s="507"/>
      <c r="BI19" s="507"/>
      <c r="BJ19" s="507"/>
      <c r="BK19" s="507"/>
      <c r="BL19" s="507"/>
      <c r="BM19" s="507"/>
      <c r="BN19" s="507"/>
      <c r="BO19" s="507"/>
      <c r="BP19" s="507"/>
      <c r="BQ19" s="507"/>
      <c r="BR19" s="507"/>
      <c r="BS19" s="507"/>
      <c r="BT19" s="507"/>
      <c r="BU19" s="507"/>
      <c r="BV19" s="414"/>
      <c r="BW19" s="414"/>
      <c r="BX19" s="414"/>
      <c r="BY19" s="414"/>
      <c r="BZ19" s="414"/>
      <c r="CA19" s="414"/>
      <c r="CB19" s="414"/>
      <c r="CC19" s="414"/>
      <c r="CD19" s="414"/>
      <c r="CE19" s="414"/>
    </row>
    <row s="2437" customFormat="1" customHeight="1" ht="22.5" hidden="1">
      <c r="A20" s="628"/>
      <c r="B20" s="414"/>
      <c r="C20" s="409"/>
      <c r="D20" s="2200"/>
      <c r="E20" s="2204" t="s">
        <v>624</v>
      </c>
      <c r="F20" s="2204"/>
      <c r="G20" s="2204"/>
      <c r="H20" s="2204"/>
      <c r="I20" s="2204"/>
      <c r="J20" s="2204"/>
      <c r="K20" s="2204"/>
      <c r="L20" s="2204"/>
      <c r="M20" s="2204"/>
      <c r="N20" s="2204"/>
      <c r="O20" s="2204"/>
      <c r="P20" s="2204"/>
      <c r="Q20" s="554">
        <f>SUMIF(T21:T22,"i",Q21:Q22)</f>
        <v>0</v>
      </c>
      <c r="R20" s="1012"/>
      <c r="S20" s="704" t="s">
        <v>625</v>
      </c>
      <c r="T20" s="712" t="s">
        <v>623</v>
      </c>
      <c r="U20" s="2205">
        <v>2</v>
      </c>
      <c r="V20" s="2205" t="str">
        <f>INDEX(B_FHD_FLAG_INDEX_2,1,MATCH(A14,B_FHD_FLAG_DIFFERENTIATION,0))</f>
        <v>отсутствует</v>
      </c>
      <c r="W20" s="414"/>
      <c r="X20" s="414"/>
      <c r="Y20" s="414"/>
      <c r="Z20" s="414"/>
      <c r="AA20" s="507"/>
      <c r="AB20" s="414"/>
      <c r="AC20" s="701"/>
      <c r="AD20" s="624"/>
      <c r="AE20" s="414"/>
      <c r="AF20" s="414"/>
      <c r="AG20" s="507"/>
      <c r="AH20" s="507"/>
      <c r="AI20" s="507"/>
      <c r="AJ20" s="507"/>
      <c r="AK20" s="507"/>
      <c r="AL20" s="507"/>
      <c r="AM20" s="507"/>
      <c r="AN20" s="507"/>
      <c r="AO20" s="507"/>
      <c r="AP20" s="507"/>
      <c r="AQ20" s="507"/>
      <c r="AR20" s="507"/>
      <c r="AS20" s="507"/>
      <c r="AT20" s="507"/>
      <c r="AU20" s="507"/>
      <c r="AV20" s="507"/>
      <c r="AW20" s="507"/>
      <c r="AX20" s="507"/>
      <c r="AY20" s="507"/>
      <c r="AZ20" s="507"/>
      <c r="BA20" s="507"/>
      <c r="BB20" s="507"/>
      <c r="BC20" s="507"/>
      <c r="BD20" s="507"/>
      <c r="BE20" s="507"/>
      <c r="BF20" s="507"/>
      <c r="BG20" s="507"/>
      <c r="BH20" s="507"/>
      <c r="BI20" s="507"/>
      <c r="BJ20" s="507"/>
      <c r="BK20" s="507"/>
      <c r="BL20" s="507"/>
      <c r="BM20" s="507"/>
      <c r="BN20" s="507"/>
      <c r="BO20" s="507"/>
      <c r="BP20" s="507"/>
      <c r="BQ20" s="507"/>
      <c r="BR20" s="507"/>
      <c r="BS20" s="507"/>
      <c r="BT20" s="507"/>
      <c r="BU20" s="507"/>
      <c r="BV20" s="414"/>
      <c r="BW20" s="414"/>
      <c r="BX20" s="414"/>
      <c r="BY20" s="414"/>
      <c r="BZ20" s="414"/>
      <c r="CA20" s="414"/>
      <c r="CB20" s="414"/>
      <c r="CC20" s="414"/>
      <c r="CD20" s="414"/>
      <c r="CE20" s="414"/>
    </row>
    <row s="2437" customFormat="1" customHeight="1" ht="11.25" hidden="1">
      <c r="A21" s="703"/>
      <c r="B21" s="507"/>
      <c r="C21" s="507"/>
      <c r="D21" s="2200"/>
      <c r="E21" s="630"/>
      <c r="F21" s="630">
        <v>0</v>
      </c>
      <c r="G21" s="630"/>
      <c r="H21" s="630"/>
      <c r="I21" s="630"/>
      <c r="J21" s="630"/>
      <c r="K21" s="630"/>
      <c r="L21" s="630"/>
      <c r="M21" s="630"/>
      <c r="N21" s="630"/>
      <c r="O21" s="630"/>
      <c r="P21" s="630"/>
      <c r="Q21" s="630"/>
      <c r="R21" s="630"/>
      <c r="S21" s="631"/>
      <c r="T21" s="713"/>
      <c r="U21" s="2205"/>
      <c r="V21" s="2205"/>
      <c r="W21" s="507"/>
      <c r="X21" s="507"/>
      <c r="Y21" s="507"/>
      <c r="Z21" s="507"/>
      <c r="AA21" s="507"/>
      <c r="AB21" s="414"/>
      <c r="AC21" s="701"/>
      <c r="AD21" s="624"/>
      <c r="AE21" s="414"/>
      <c r="AF21" s="414"/>
      <c r="AG21" s="507"/>
      <c r="AH21" s="507"/>
      <c r="AI21" s="507"/>
      <c r="AJ21" s="507"/>
      <c r="AK21" s="507"/>
      <c r="AL21" s="507"/>
      <c r="AM21" s="507"/>
      <c r="AN21" s="507"/>
      <c r="AO21" s="507"/>
      <c r="AP21" s="507"/>
      <c r="AQ21" s="507"/>
      <c r="AR21" s="507"/>
      <c r="AS21" s="507"/>
      <c r="AT21" s="507"/>
      <c r="AU21" s="507"/>
      <c r="AV21" s="507"/>
      <c r="AW21" s="507"/>
      <c r="AX21" s="507"/>
      <c r="AY21" s="507"/>
      <c r="AZ21" s="507"/>
      <c r="BA21" s="507"/>
      <c r="BB21" s="507"/>
      <c r="BC21" s="507"/>
      <c r="BD21" s="507"/>
      <c r="BE21" s="507"/>
      <c r="BF21" s="507"/>
      <c r="BG21" s="507"/>
      <c r="BH21" s="507"/>
      <c r="BI21" s="507"/>
      <c r="BJ21" s="507"/>
      <c r="BK21" s="507"/>
      <c r="BL21" s="507"/>
      <c r="BM21" s="507"/>
      <c r="BN21" s="507"/>
      <c r="BO21" s="507"/>
      <c r="BP21" s="507"/>
      <c r="BQ21" s="507"/>
      <c r="BR21" s="507"/>
      <c r="BS21" s="507"/>
      <c r="BT21" s="507"/>
      <c r="BU21" s="507"/>
      <c r="BV21" s="507"/>
      <c r="BW21" s="507"/>
      <c r="BX21" s="507"/>
      <c r="BY21" s="507"/>
      <c r="BZ21" s="507"/>
      <c r="CA21" s="507"/>
      <c r="CB21" s="507"/>
      <c r="CC21" s="507"/>
      <c r="CD21" s="507"/>
      <c r="CE21" s="507"/>
    </row>
    <row s="2437" customFormat="1" customHeight="1" ht="11.25" hidden="1">
      <c r="A22" s="628"/>
      <c r="B22" s="414"/>
      <c r="C22" s="409"/>
      <c r="D22" s="2201"/>
      <c r="E22" s="644" t="s">
        <v>24</v>
      </c>
      <c r="F22" s="645" t="s">
        <v>24</v>
      </c>
      <c r="G22" s="645" t="s">
        <v>24</v>
      </c>
      <c r="H22" s="646" t="s">
        <v>24</v>
      </c>
      <c r="I22" s="646"/>
      <c r="J22" s="646"/>
      <c r="K22" s="646"/>
      <c r="L22" s="646"/>
      <c r="M22" s="646"/>
      <c r="N22" s="646"/>
      <c r="O22" s="646"/>
      <c r="P22" s="646"/>
      <c r="Q22" s="646"/>
      <c r="R22" s="647"/>
      <c r="S22" s="1015"/>
      <c r="T22" s="713"/>
      <c r="U22" s="2205"/>
      <c r="V22" s="2205"/>
      <c r="W22" s="414"/>
      <c r="X22" s="414"/>
      <c r="Y22" s="414"/>
      <c r="Z22" s="414"/>
      <c r="AA22" s="507"/>
      <c r="AB22" s="414"/>
      <c r="AC22" s="701"/>
      <c r="AD22" s="624"/>
      <c r="AE22" s="414"/>
      <c r="AF22" s="414"/>
      <c r="AG22" s="507"/>
      <c r="AH22" s="507"/>
      <c r="AI22" s="507"/>
      <c r="AJ22" s="507"/>
      <c r="AK22" s="507"/>
      <c r="AL22" s="507"/>
      <c r="AM22" s="507"/>
      <c r="AN22" s="507"/>
      <c r="AO22" s="507"/>
      <c r="AP22" s="507"/>
      <c r="AQ22" s="507"/>
      <c r="AR22" s="507"/>
      <c r="AS22" s="507"/>
      <c r="AT22" s="507"/>
      <c r="AU22" s="507"/>
      <c r="AV22" s="507"/>
      <c r="AW22" s="507"/>
      <c r="AX22" s="507"/>
      <c r="AY22" s="507"/>
      <c r="AZ22" s="507"/>
      <c r="BA22" s="507"/>
      <c r="BB22" s="507"/>
      <c r="BC22" s="507"/>
      <c r="BD22" s="507"/>
      <c r="BE22" s="507"/>
      <c r="BF22" s="507"/>
      <c r="BG22" s="507"/>
      <c r="BH22" s="507"/>
      <c r="BI22" s="507"/>
      <c r="BJ22" s="507"/>
      <c r="BK22" s="507"/>
      <c r="BL22" s="507"/>
      <c r="BM22" s="507"/>
      <c r="BN22" s="507"/>
      <c r="BO22" s="507"/>
      <c r="BP22" s="507"/>
      <c r="BQ22" s="507"/>
      <c r="BR22" s="507"/>
      <c r="BS22" s="507"/>
      <c r="BT22" s="507"/>
      <c r="BU22" s="507"/>
      <c r="BV22" s="414"/>
      <c r="BW22" s="414"/>
      <c r="BX22" s="414"/>
      <c r="BY22" s="414"/>
      <c r="BZ22" s="414"/>
      <c r="CA22" s="414"/>
      <c r="CB22" s="414"/>
      <c r="CC22" s="414"/>
      <c r="CD22" s="414"/>
      <c r="CE22" s="414"/>
    </row>
    <row customHeight="1" ht="18.75">
      <c r="D23" s="1042"/>
      <c r="E23" s="1042"/>
      <c r="F23" s="1042"/>
      <c r="G23" s="1042"/>
      <c r="H23" s="1042"/>
      <c r="I23" s="1042"/>
      <c r="J23" s="1042"/>
      <c r="K23" s="1042"/>
      <c r="L23" s="1042"/>
      <c r="M23" s="1042"/>
      <c r="N23" s="1042"/>
      <c r="O23" s="1042"/>
      <c r="P23" s="1042"/>
      <c r="Q23" s="1042"/>
      <c r="R23" s="1042"/>
      <c r="S23" s="1042"/>
      <c r="T23" s="322"/>
    </row>
    <row customHeight="1" ht="11.25">
      <c r="D24" s="505"/>
    </row>
    <row customHeight="1" ht="11.25">
      <c r="D25" s="649"/>
      <c r="E25" s="649"/>
      <c r="F25" s="649"/>
      <c r="G25" s="650"/>
    </row>
    <row r="27" customHeight="1" ht="11.25">
      <c r="D27" s="651"/>
      <c r="E27" s="2203"/>
      <c r="F27" s="2203"/>
      <c r="G27" s="2203"/>
      <c r="H27" s="2203"/>
      <c r="I27" s="2203"/>
      <c r="J27" s="2203"/>
      <c r="K27" s="2203"/>
      <c r="L27" s="2203"/>
      <c r="M27" s="2203"/>
      <c r="N27" s="2203"/>
      <c r="O27" s="2203"/>
      <c r="P27" s="2203"/>
      <c r="Q27" s="2203"/>
      <c r="R27" s="2203"/>
    </row>
    <row customHeight="1" ht="11.25">
      <c r="F28" s="753"/>
      <c r="G28" s="753"/>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F52F22-1B1A-9D6D-EF9E-D5724964ACF4}"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6.14062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62"/>
      <c r="F2" s="536"/>
      <c r="G2" s="1664" t="s">
        <v>563</v>
      </c>
      <c r="H2" s="537"/>
      <c r="I2" s="537"/>
      <c r="J2" s="538" t="s">
        <v>626</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22.5">
      <c r="E6" s="2133" t="s">
        <v>627</v>
      </c>
      <c r="F6" s="2133"/>
      <c r="G6" s="2133"/>
      <c r="H6" s="2133"/>
      <c r="I6" s="2133"/>
      <c r="J6" s="552"/>
    </row>
    <row customHeight="1" ht="24">
      <c r="E7" s="2123" t="str">
        <f>IF(org=0,"Не определено",org)</f>
        <v>ПАО "ТГК-1" филиал "Невский"</v>
      </c>
      <c r="F7" s="2123"/>
      <c r="G7" s="2123"/>
      <c r="H7" s="2123"/>
      <c r="I7" s="2123"/>
    </row>
    <row customHeight="1" ht="11.25">
      <c r="E8" s="1130"/>
      <c r="F8" s="1130"/>
      <c r="G8" s="1130"/>
      <c r="H8" s="1130"/>
      <c r="I8" s="1130"/>
    </row>
    <row s="1667" customFormat="1" customHeight="1" ht="0.75">
      <c r="A9" s="1162"/>
      <c r="D9" s="1667"/>
      <c r="H9" s="883"/>
      <c r="I9" s="883" t="s">
        <v>116</v>
      </c>
    </row>
    <row customHeight="1" ht="11.25">
      <c r="E10" s="706"/>
      <c r="F10" s="2195" t="s">
        <v>104</v>
      </c>
      <c r="G10" s="2196"/>
      <c r="H10" s="1579" t="str">
        <f>IF(H9="","",INDEX(DIFFERENTIATION_UNMERGE_VD,MATCH(H9,DIFFERENTIATION_ID_DIFF,0)))</f>
        <v/>
      </c>
      <c r="I10" s="1579">
        <f>IF(I9="","",INDEX(DIFFERENTIATION_UNMERGE_VD,MATCH(I9,DIFFERENTIATION_ID_DIFF,0)))</f>
        <v>0</v>
      </c>
      <c r="J10" s="1953"/>
    </row>
    <row customHeight="1" ht="11.25">
      <c r="E11" s="706"/>
      <c r="F11" s="2195" t="s">
        <v>575</v>
      </c>
      <c r="G11" s="2196"/>
      <c r="H11" s="1579" t="str">
        <f>IF(H9="","",INDEX(DIFFERENTIATION_UNMERGE_AREA,MATCH(H9,DIFFERENTIATION_ID_DIFF,0)))</f>
        <v/>
      </c>
      <c r="I11" s="1579" t="str">
        <f>IF(I9="","",INDEX(DIFFERENTIATION_UNMERGE_AREA,MATCH(I9,DIFFERENTIATION_ID_DIFF,0)))</f>
        <v/>
      </c>
      <c r="J11" s="1953"/>
    </row>
    <row customHeight="1" ht="11.25" hidden="1">
      <c r="E12" s="1687"/>
      <c r="F12" s="2210" t="s">
        <v>576</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312</v>
      </c>
      <c r="F13" s="2198"/>
      <c r="G13" s="2198"/>
      <c r="H13" s="1578"/>
      <c r="I13" s="1578"/>
      <c r="J13" s="1953"/>
    </row>
    <row customHeight="1" ht="22.5">
      <c r="E14" s="1664" t="s">
        <v>87</v>
      </c>
      <c r="F14" s="1659" t="s">
        <v>314</v>
      </c>
      <c r="G14" s="1659" t="s">
        <v>577</v>
      </c>
      <c r="H14" s="1659" t="s">
        <v>315</v>
      </c>
      <c r="I14" s="1659" t="s">
        <v>315</v>
      </c>
      <c r="J14" s="1953"/>
    </row>
    <row customHeight="1" ht="18.75">
      <c r="D15" s="1663"/>
      <c r="E15" s="1655" t="s">
        <v>108</v>
      </c>
      <c r="F15" s="702" t="s">
        <v>628</v>
      </c>
      <c r="G15" s="1671" t="s">
        <v>563</v>
      </c>
      <c r="H15" s="553"/>
      <c r="I15" s="553"/>
      <c r="J15" s="270" t="s">
        <v>629</v>
      </c>
      <c r="K15" s="539" t="s">
        <v>630</v>
      </c>
    </row>
    <row customHeight="1" ht="33.75">
      <c r="D16" s="1663"/>
      <c r="E16" s="1655" t="s">
        <v>109</v>
      </c>
      <c r="F16" s="702" t="s">
        <v>631</v>
      </c>
      <c r="G16" s="1671" t="s">
        <v>563</v>
      </c>
      <c r="H16" s="554">
        <f>SUM(H17,H20:H32)</f>
        <v>0</v>
      </c>
      <c r="I16" s="554">
        <f>SUM(I17,I20:I32)</f>
        <v>0</v>
      </c>
      <c r="J16" s="270" t="s">
        <v>632</v>
      </c>
      <c r="K16" s="539" t="s">
        <v>630</v>
      </c>
    </row>
    <row customHeight="1" ht="18.75">
      <c r="D17" s="1663"/>
      <c r="E17" s="1689" t="s">
        <v>633</v>
      </c>
      <c r="F17" s="949" t="s">
        <v>634</v>
      </c>
      <c r="G17" s="1668" t="s">
        <v>563</v>
      </c>
      <c r="H17" s="553"/>
      <c r="I17" s="553"/>
      <c r="J17" s="270" t="s">
        <v>635</v>
      </c>
      <c r="K17" s="539"/>
    </row>
    <row customHeight="1" ht="22.5">
      <c r="D18" s="1663"/>
      <c r="E18" s="1689" t="s">
        <v>636</v>
      </c>
      <c r="F18" s="1675" t="s">
        <v>637</v>
      </c>
      <c r="G18" s="1668" t="s">
        <v>563</v>
      </c>
      <c r="H18" s="553"/>
      <c r="I18" s="553"/>
      <c r="J18" s="270" t="s">
        <v>638</v>
      </c>
      <c r="K18" s="539"/>
    </row>
    <row customHeight="1" ht="33.75">
      <c r="D19" s="1663"/>
      <c r="E19" s="1689" t="s">
        <v>639</v>
      </c>
      <c r="F19" s="1675" t="s">
        <v>640</v>
      </c>
      <c r="G19" s="1668" t="s">
        <v>563</v>
      </c>
      <c r="H19" s="553"/>
      <c r="I19" s="553"/>
      <c r="J19" s="270"/>
      <c r="K19" s="539"/>
    </row>
    <row customHeight="1" ht="18.75">
      <c r="D20" s="1663"/>
      <c r="E20" s="1689" t="s">
        <v>319</v>
      </c>
      <c r="F20" s="949" t="s">
        <v>641</v>
      </c>
      <c r="G20" s="1668" t="s">
        <v>563</v>
      </c>
      <c r="H20" s="553"/>
      <c r="I20" s="553"/>
      <c r="J20" s="270" t="s">
        <v>642</v>
      </c>
      <c r="K20" s="539"/>
    </row>
    <row customHeight="1" ht="18.75">
      <c r="D21" s="1663"/>
      <c r="E21" s="1689" t="s">
        <v>643</v>
      </c>
      <c r="F21" s="1675" t="s">
        <v>644</v>
      </c>
      <c r="G21" s="1668" t="s">
        <v>563</v>
      </c>
      <c r="H21" s="553"/>
      <c r="I21" s="553"/>
      <c r="J21" s="270"/>
      <c r="K21" s="539"/>
    </row>
    <row customHeight="1" ht="18.75">
      <c r="D22" s="1663"/>
      <c r="E22" s="1689" t="s">
        <v>645</v>
      </c>
      <c r="F22" s="1675" t="s">
        <v>646</v>
      </c>
      <c r="G22" s="1668" t="s">
        <v>563</v>
      </c>
      <c r="H22" s="553"/>
      <c r="I22" s="553"/>
      <c r="J22" s="270"/>
      <c r="K22" s="539"/>
    </row>
    <row customHeight="1" ht="22.5">
      <c r="D23" s="1663"/>
      <c r="E23" s="1689" t="s">
        <v>322</v>
      </c>
      <c r="F23" s="949" t="s">
        <v>647</v>
      </c>
      <c r="G23" s="1668" t="s">
        <v>563</v>
      </c>
      <c r="H23" s="553"/>
      <c r="I23" s="553"/>
      <c r="J23" s="270" t="s">
        <v>648</v>
      </c>
      <c r="K23" s="539"/>
    </row>
    <row customHeight="1" ht="18.75">
      <c r="D24" s="1663"/>
      <c r="E24" s="1689" t="s">
        <v>649</v>
      </c>
      <c r="F24" s="1675" t="s">
        <v>650</v>
      </c>
      <c r="G24" s="1668" t="s">
        <v>563</v>
      </c>
      <c r="H24" s="553"/>
      <c r="I24" s="553"/>
      <c r="J24" s="270"/>
      <c r="K24" s="539"/>
    </row>
    <row customHeight="1" ht="33.75">
      <c r="D25" s="1663"/>
      <c r="E25" s="1689" t="s">
        <v>651</v>
      </c>
      <c r="F25" s="1675" t="s">
        <v>652</v>
      </c>
      <c r="G25" s="1668" t="s">
        <v>563</v>
      </c>
      <c r="H25" s="553"/>
      <c r="I25" s="553"/>
      <c r="J25" s="270"/>
      <c r="K25" s="539"/>
    </row>
    <row customHeight="1" ht="22.5">
      <c r="D26" s="1663"/>
      <c r="E26" s="1689" t="s">
        <v>653</v>
      </c>
      <c r="F26" s="949" t="s">
        <v>654</v>
      </c>
      <c r="G26" s="1668" t="s">
        <v>563</v>
      </c>
      <c r="H26" s="553"/>
      <c r="I26" s="553"/>
      <c r="J26" s="270" t="s">
        <v>655</v>
      </c>
      <c r="K26" s="539"/>
    </row>
    <row customHeight="1" ht="18.75">
      <c r="D27" s="1663"/>
      <c r="E27" s="1700" t="s">
        <v>656</v>
      </c>
      <c r="F27" s="1675" t="s">
        <v>657</v>
      </c>
      <c r="G27" s="1679" t="s">
        <v>563</v>
      </c>
      <c r="H27" s="1701"/>
      <c r="I27" s="1701"/>
      <c r="J27" s="270"/>
      <c r="K27" s="539"/>
    </row>
    <row customHeight="1" ht="18.75">
      <c r="D28" s="1663"/>
      <c r="E28" s="1700" t="s">
        <v>658</v>
      </c>
      <c r="F28" s="1675" t="s">
        <v>659</v>
      </c>
      <c r="G28" s="1679" t="s">
        <v>563</v>
      </c>
      <c r="H28" s="1701"/>
      <c r="I28" s="1701"/>
      <c r="J28" s="270"/>
      <c r="K28" s="539"/>
    </row>
    <row customHeight="1" ht="18.75">
      <c r="D29" s="1663"/>
      <c r="E29" s="1700" t="s">
        <v>660</v>
      </c>
      <c r="F29" s="949" t="s">
        <v>661</v>
      </c>
      <c r="G29" s="1679" t="s">
        <v>563</v>
      </c>
      <c r="H29" s="1701"/>
      <c r="I29" s="1701"/>
      <c r="J29" s="270"/>
      <c r="K29" s="539"/>
    </row>
    <row customHeight="1" ht="18.75">
      <c r="D30" s="1663"/>
      <c r="E30" s="1700" t="s">
        <v>662</v>
      </c>
      <c r="F30" s="949" t="s">
        <v>663</v>
      </c>
      <c r="G30" s="1679" t="s">
        <v>563</v>
      </c>
      <c r="H30" s="1701"/>
      <c r="I30" s="1701"/>
      <c r="J30" s="270"/>
      <c r="K30" s="539"/>
    </row>
    <row customHeight="1" ht="18.75">
      <c r="D31" s="1663"/>
      <c r="E31" s="1700" t="s">
        <v>664</v>
      </c>
      <c r="F31" s="949" t="s">
        <v>665</v>
      </c>
      <c r="G31" s="1679" t="s">
        <v>563</v>
      </c>
      <c r="H31" s="1701"/>
      <c r="I31" s="1701"/>
      <c r="J31" s="270"/>
      <c r="K31" s="539"/>
    </row>
    <row s="1383" customFormat="1" customHeight="1" ht="22.5">
      <c r="A32" s="982"/>
      <c r="C32" s="1661"/>
      <c r="D32" s="1663"/>
      <c r="E32" s="1700" t="s">
        <v>666</v>
      </c>
      <c r="F32" s="949" t="s">
        <v>667</v>
      </c>
      <c r="G32" s="1669" t="s">
        <v>563</v>
      </c>
      <c r="H32" s="575">
        <f>SUM(H33:H34)</f>
        <v>0</v>
      </c>
      <c r="I32" s="575">
        <f>SUM(I33:I34)</f>
        <v>0</v>
      </c>
      <c r="J32" s="270" t="s">
        <v>668</v>
      </c>
      <c r="K32" s="539"/>
      <c r="L32" s="1661"/>
      <c r="M32" s="1661"/>
      <c r="R32" s="1661"/>
      <c r="U32" s="540"/>
      <c r="AA32" s="1657"/>
      <c r="AB32" s="1657"/>
      <c r="AC32" s="1657"/>
      <c r="AD32" s="1657"/>
      <c r="AE32" s="1657"/>
    </row>
    <row s="1667" customFormat="1" customHeight="1" ht="0.75">
      <c r="A33" s="1162"/>
      <c r="D33" s="544"/>
      <c r="E33" s="796" t="str">
        <f>E32&amp;".0"</f>
        <v>2.8.0</v>
      </c>
      <c r="F33" s="986"/>
      <c r="G33" s="547"/>
      <c r="H33" s="987"/>
      <c r="I33" s="987"/>
      <c r="J33" s="988"/>
    </row>
    <row s="1383" customFormat="1" customHeight="1" ht="18.75">
      <c r="A34" s="982"/>
      <c r="C34" s="1661"/>
      <c r="D34" s="1658"/>
      <c r="E34" s="566"/>
      <c r="F34" s="1691" t="s">
        <v>588</v>
      </c>
      <c r="G34" s="568"/>
      <c r="H34" s="569"/>
      <c r="I34" s="569"/>
      <c r="J34" s="281" t="s">
        <v>669</v>
      </c>
      <c r="K34" s="539"/>
      <c r="L34" s="1661"/>
      <c r="M34" s="1661"/>
      <c r="R34" s="1661"/>
      <c r="U34" s="540"/>
      <c r="AA34" s="1657"/>
      <c r="AB34" s="1657"/>
      <c r="AC34" s="1657"/>
      <c r="AD34" s="1657"/>
      <c r="AE34" s="1657"/>
    </row>
    <row customHeight="1" ht="56.25">
      <c r="D35" s="1663"/>
      <c r="E35" s="1700" t="s">
        <v>670</v>
      </c>
      <c r="F35" s="949" t="s">
        <v>671</v>
      </c>
      <c r="G35" s="1679" t="s">
        <v>563</v>
      </c>
      <c r="H35" s="1701"/>
      <c r="I35" s="1701"/>
      <c r="J35" s="270" t="s">
        <v>672</v>
      </c>
      <c r="K35" s="539"/>
    </row>
    <row s="1383" customFormat="1" customHeight="1" ht="22.5">
      <c r="A36" s="984" t="s">
        <v>589</v>
      </c>
      <c r="C36" s="1661"/>
      <c r="D36" s="1663"/>
      <c r="E36" s="1689" t="s">
        <v>89</v>
      </c>
      <c r="F36" s="702" t="s">
        <v>673</v>
      </c>
      <c r="G36" s="1668" t="s">
        <v>563</v>
      </c>
      <c r="H36" s="553"/>
      <c r="I36" s="553"/>
      <c r="J36" s="270" t="s">
        <v>674</v>
      </c>
      <c r="K36" s="539"/>
      <c r="L36" s="1661"/>
      <c r="M36" s="1661"/>
      <c r="R36" s="1661"/>
      <c r="U36" s="540"/>
      <c r="AA36" s="1657"/>
      <c r="AB36" s="1657"/>
      <c r="AC36" s="1657"/>
      <c r="AD36" s="1657"/>
      <c r="AE36" s="1657"/>
    </row>
    <row s="1383" customFormat="1" customHeight="1" ht="22.5">
      <c r="A37" s="984"/>
      <c r="C37" s="1661"/>
      <c r="D37" s="1663"/>
      <c r="E37" s="1689" t="s">
        <v>338</v>
      </c>
      <c r="F37" s="949" t="s">
        <v>675</v>
      </c>
      <c r="G37" s="1679"/>
      <c r="H37" s="553"/>
      <c r="I37" s="553"/>
      <c r="J37" s="270"/>
      <c r="K37" s="539"/>
      <c r="L37" s="1661"/>
      <c r="M37" s="1661"/>
      <c r="R37" s="1661"/>
      <c r="U37" s="540"/>
      <c r="AA37" s="1657"/>
      <c r="AB37" s="1657"/>
      <c r="AC37" s="1657"/>
      <c r="AD37" s="1657"/>
      <c r="AE37" s="1657"/>
    </row>
    <row s="1383" customFormat="1" customHeight="1" ht="18.75">
      <c r="A38" s="982"/>
      <c r="C38" s="1661"/>
      <c r="D38" s="571"/>
      <c r="E38" s="1689" t="s">
        <v>90</v>
      </c>
      <c r="F38" s="702" t="s">
        <v>676</v>
      </c>
      <c r="G38" s="1668" t="s">
        <v>563</v>
      </c>
      <c r="H38" s="553"/>
      <c r="I38" s="553"/>
      <c r="J38" s="270" t="s">
        <v>677</v>
      </c>
      <c r="K38" s="539"/>
      <c r="L38" s="1661"/>
      <c r="M38" s="1661"/>
      <c r="R38" s="1661"/>
      <c r="U38" s="540"/>
      <c r="AA38" s="1657"/>
      <c r="AB38" s="1657"/>
      <c r="AC38" s="1657"/>
      <c r="AD38" s="1657"/>
      <c r="AE38" s="1657"/>
    </row>
    <row s="1383" customFormat="1" customHeight="1" ht="22.5">
      <c r="A39" s="982"/>
      <c r="C39" s="1661"/>
      <c r="D39" s="571"/>
      <c r="E39" s="1689" t="s">
        <v>678</v>
      </c>
      <c r="F39" s="949" t="s">
        <v>679</v>
      </c>
      <c r="G39" s="1679" t="s">
        <v>563</v>
      </c>
      <c r="H39" s="553"/>
      <c r="I39" s="553"/>
      <c r="J39" s="270" t="s">
        <v>680</v>
      </c>
      <c r="K39" s="539"/>
      <c r="L39" s="1661"/>
      <c r="M39" s="1661"/>
      <c r="R39" s="1661"/>
      <c r="U39" s="540"/>
      <c r="AA39" s="1657"/>
      <c r="AB39" s="1657"/>
      <c r="AC39" s="1657"/>
      <c r="AD39" s="1657"/>
      <c r="AE39" s="1657"/>
    </row>
    <row s="1383" customFormat="1" customHeight="1" ht="22.5">
      <c r="A40" s="982"/>
      <c r="C40" s="1661"/>
      <c r="D40" s="1663"/>
      <c r="E40" s="1689" t="s">
        <v>681</v>
      </c>
      <c r="F40" s="1675" t="s">
        <v>682</v>
      </c>
      <c r="G40" s="1668" t="s">
        <v>563</v>
      </c>
      <c r="H40" s="553"/>
      <c r="I40" s="553"/>
      <c r="J40" s="270" t="s">
        <v>683</v>
      </c>
      <c r="K40" s="539"/>
      <c r="L40" s="1661"/>
      <c r="M40" s="1661"/>
      <c r="R40" s="1661"/>
      <c r="U40" s="540"/>
      <c r="AA40" s="1657"/>
      <c r="AB40" s="1657"/>
      <c r="AC40" s="1657"/>
      <c r="AD40" s="1657"/>
      <c r="AE40" s="1657"/>
    </row>
    <row s="1383" customFormat="1" customHeight="1" ht="22.5">
      <c r="A41" s="982"/>
      <c r="C41" s="1661"/>
      <c r="D41" s="1663"/>
      <c r="E41" s="1689" t="s">
        <v>684</v>
      </c>
      <c r="F41" s="1675" t="s">
        <v>685</v>
      </c>
      <c r="G41" s="1668" t="s">
        <v>563</v>
      </c>
      <c r="H41" s="553"/>
      <c r="I41" s="553"/>
      <c r="J41" s="270" t="s">
        <v>686</v>
      </c>
      <c r="K41" s="539"/>
      <c r="L41" s="1661"/>
      <c r="M41" s="1661"/>
      <c r="R41" s="1661"/>
      <c r="U41" s="540"/>
      <c r="AA41" s="1657"/>
      <c r="AB41" s="1657"/>
      <c r="AC41" s="1657"/>
      <c r="AD41" s="1657"/>
      <c r="AE41" s="1657"/>
    </row>
    <row s="1383" customFormat="1" customHeight="1" ht="22.5">
      <c r="A42" s="982"/>
      <c r="C42" s="1661"/>
      <c r="D42" s="1663"/>
      <c r="E42" s="1689" t="s">
        <v>687</v>
      </c>
      <c r="F42" s="1675" t="s">
        <v>688</v>
      </c>
      <c r="G42" s="1668" t="s">
        <v>563</v>
      </c>
      <c r="H42" s="553"/>
      <c r="I42" s="553"/>
      <c r="J42" s="270" t="s">
        <v>689</v>
      </c>
      <c r="K42" s="539"/>
      <c r="L42" s="1661"/>
      <c r="M42" s="1661"/>
      <c r="R42" s="1661"/>
      <c r="U42" s="540"/>
      <c r="AA42" s="1657"/>
      <c r="AB42" s="1657"/>
      <c r="AC42" s="1657"/>
      <c r="AD42" s="1657"/>
      <c r="AE42" s="1657"/>
    </row>
    <row s="1383" customFormat="1" customHeight="1" ht="33.75">
      <c r="A43" s="982"/>
      <c r="C43" s="1661" t="s">
        <v>599</v>
      </c>
      <c r="D43" s="1663"/>
      <c r="E43" s="1689" t="s">
        <v>110</v>
      </c>
      <c r="F43" s="702" t="s">
        <v>690</v>
      </c>
      <c r="G43" s="1671" t="s">
        <v>691</v>
      </c>
      <c r="H43" s="398"/>
      <c r="I43" s="398"/>
      <c r="J43" s="270" t="s">
        <v>692</v>
      </c>
      <c r="K43" s="539"/>
      <c r="L43" s="1661"/>
      <c r="M43" s="1661"/>
      <c r="R43" s="1661"/>
      <c r="U43" s="540"/>
      <c r="AA43" s="1657"/>
      <c r="AB43" s="1657"/>
      <c r="AC43" s="1657"/>
      <c r="AD43" s="1657"/>
      <c r="AE43" s="1657"/>
    </row>
    <row s="1383" customFormat="1" customHeight="1" ht="22.5">
      <c r="A44" s="982"/>
      <c r="C44" s="1661"/>
      <c r="D44" s="1663"/>
      <c r="E44" s="1689" t="s">
        <v>91</v>
      </c>
      <c r="F44" s="702" t="s">
        <v>693</v>
      </c>
      <c r="G44" s="1668" t="s">
        <v>694</v>
      </c>
      <c r="H44" s="541"/>
      <c r="I44" s="541"/>
      <c r="J44" s="270" t="s">
        <v>695</v>
      </c>
      <c r="K44" s="539"/>
      <c r="L44" s="1661"/>
      <c r="M44" s="1661"/>
      <c r="R44" s="1661"/>
      <c r="U44" s="540"/>
      <c r="AA44" s="1657"/>
      <c r="AB44" s="1657"/>
      <c r="AC44" s="1657"/>
      <c r="AD44" s="1657"/>
      <c r="AE44" s="1657"/>
    </row>
    <row s="1383" customFormat="1" customHeight="1" ht="22.5">
      <c r="A45" s="982"/>
      <c r="C45" s="1661"/>
      <c r="D45" s="1663"/>
      <c r="E45" s="1689" t="s">
        <v>92</v>
      </c>
      <c r="F45" s="702" t="s">
        <v>696</v>
      </c>
      <c r="G45" s="1679" t="s">
        <v>697</v>
      </c>
      <c r="H45" s="541"/>
      <c r="I45" s="541"/>
      <c r="J45" s="270" t="s">
        <v>698</v>
      </c>
      <c r="K45" s="539"/>
      <c r="L45" s="1661"/>
      <c r="M45" s="1661"/>
      <c r="R45" s="1661"/>
      <c r="U45" s="540"/>
      <c r="AA45" s="1657"/>
      <c r="AB45" s="1657"/>
      <c r="AC45" s="1657"/>
      <c r="AD45" s="1657"/>
      <c r="AE45" s="1657"/>
    </row>
    <row s="1383" customFormat="1" customHeight="1" ht="18.75">
      <c r="A46" s="982"/>
      <c r="C46" s="1661"/>
      <c r="D46" s="1663"/>
      <c r="E46" s="1689" t="s">
        <v>111</v>
      </c>
      <c r="F46" s="702" t="s">
        <v>699</v>
      </c>
      <c r="G46" s="1668" t="s">
        <v>601</v>
      </c>
      <c r="H46" s="573"/>
      <c r="I46" s="573"/>
      <c r="J46" s="270"/>
      <c r="K46" s="539"/>
      <c r="L46" s="1661"/>
      <c r="M46" s="1661"/>
      <c r="R46" s="1661"/>
      <c r="U46" s="540"/>
      <c r="AA46" s="1657"/>
      <c r="AB46" s="1657"/>
      <c r="AC46" s="1657"/>
      <c r="AD46" s="1657"/>
      <c r="AE46" s="1657"/>
    </row>
    <row customHeight="1" ht="11.25">
      <c r="D47" s="1663"/>
    </row>
    <row customHeight="1" ht="26.25">
      <c r="D48" s="1663"/>
      <c r="E48" s="1260"/>
      <c r="F48" s="2088"/>
      <c r="G48" s="2088"/>
      <c r="H48" s="2088"/>
      <c r="I48" s="2088"/>
      <c r="J48" s="2088"/>
    </row>
    <row s="1666" customFormat="1" customHeight="1" ht="37.5">
      <c r="A49" s="982"/>
      <c r="B49" s="1661"/>
      <c r="C49" s="1661"/>
      <c r="D49" s="339"/>
      <c r="F49" s="2088"/>
      <c r="G49" s="2088"/>
      <c r="H49" s="2088"/>
      <c r="I49" s="2088"/>
      <c r="J49" s="2088"/>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H52" s="562"/>
      <c r="I52" s="562"/>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s="1666" customFormat="1" customHeight="1" ht="11.25">
      <c r="A196" s="982"/>
      <c r="B196" s="1661"/>
      <c r="C196" s="1661"/>
      <c r="D196" s="339"/>
      <c r="K196" s="1155"/>
      <c r="L196" s="1661"/>
      <c r="M196" s="1661"/>
      <c r="N196" s="1155"/>
      <c r="O196" s="1155"/>
      <c r="P196" s="1155"/>
      <c r="Q196" s="1155"/>
      <c r="R196" s="1661"/>
      <c r="S196" s="1155"/>
      <c r="T196" s="1155"/>
      <c r="U196" s="540"/>
      <c r="V196" s="1155"/>
      <c r="W196" s="1155"/>
      <c r="X196" s="1155"/>
      <c r="Y196" s="1155"/>
      <c r="Z196" s="1155"/>
      <c r="AA196" s="1657"/>
      <c r="AB196" s="562"/>
      <c r="AC196" s="562"/>
      <c r="AD196" s="562"/>
      <c r="AE196" s="562"/>
    </row>
    <row s="1666" customFormat="1" customHeight="1" ht="11.25">
      <c r="A197" s="982"/>
      <c r="B197" s="1661"/>
      <c r="C197" s="1661"/>
      <c r="D197" s="339"/>
      <c r="K197" s="1155"/>
      <c r="L197" s="1661"/>
      <c r="M197" s="1661"/>
      <c r="N197" s="1155"/>
      <c r="O197" s="1155"/>
      <c r="P197" s="1155"/>
      <c r="Q197" s="1155"/>
      <c r="R197" s="1661"/>
      <c r="S197" s="1155"/>
      <c r="T197" s="1155"/>
      <c r="U197" s="540"/>
      <c r="V197" s="1155"/>
      <c r="W197" s="1155"/>
      <c r="X197" s="1155"/>
      <c r="Y197" s="1155"/>
      <c r="Z197" s="1155"/>
      <c r="AA197" s="1657"/>
      <c r="AB197" s="562"/>
      <c r="AC197" s="562"/>
      <c r="AD197" s="562"/>
      <c r="AE197" s="562"/>
    </row>
    <row s="1666" customFormat="1" customHeight="1" ht="11.25">
      <c r="A198" s="982"/>
      <c r="B198" s="1661"/>
      <c r="C198" s="1661"/>
      <c r="D198" s="339"/>
      <c r="K198" s="1155"/>
      <c r="L198" s="1661"/>
      <c r="M198" s="1661"/>
      <c r="N198" s="1155"/>
      <c r="O198" s="1155"/>
      <c r="P198" s="1155"/>
      <c r="Q198" s="1155"/>
      <c r="R198" s="1661"/>
      <c r="S198" s="1155"/>
      <c r="T198" s="1155"/>
      <c r="U198" s="540"/>
      <c r="V198" s="1155"/>
      <c r="W198" s="1155"/>
      <c r="X198" s="1155"/>
      <c r="Y198" s="1155"/>
      <c r="Z198" s="1155"/>
      <c r="AA198" s="1657"/>
      <c r="AB198" s="562"/>
      <c r="AC198" s="562"/>
      <c r="AD198" s="562"/>
      <c r="AE198" s="562"/>
    </row>
    <row s="1666" customFormat="1" customHeight="1" ht="11.25">
      <c r="A199" s="982"/>
      <c r="B199" s="1661"/>
      <c r="C199" s="1661"/>
      <c r="D199" s="339"/>
      <c r="K199" s="1155"/>
      <c r="L199" s="1661"/>
      <c r="M199" s="1661"/>
      <c r="N199" s="1155"/>
      <c r="O199" s="1155"/>
      <c r="P199" s="1155"/>
      <c r="Q199" s="1155"/>
      <c r="R199" s="1661"/>
      <c r="S199" s="1155"/>
      <c r="T199" s="1155"/>
      <c r="U199" s="540"/>
      <c r="V199" s="1155"/>
      <c r="W199" s="1155"/>
      <c r="X199" s="1155"/>
      <c r="Y199" s="1155"/>
      <c r="Z199" s="1155"/>
      <c r="AA199" s="1657"/>
      <c r="AB199" s="562"/>
      <c r="AC199" s="562"/>
      <c r="AD199" s="562"/>
      <c r="AE199" s="562"/>
    </row>
    <row s="1666" customFormat="1" customHeight="1" ht="11.25">
      <c r="A200" s="982"/>
      <c r="B200" s="1661"/>
      <c r="C200" s="1661"/>
      <c r="D200" s="339"/>
      <c r="K200" s="1155"/>
      <c r="L200" s="1661"/>
      <c r="M200" s="1661"/>
      <c r="N200" s="1155"/>
      <c r="O200" s="1155"/>
      <c r="P200" s="1155"/>
      <c r="Q200" s="1155"/>
      <c r="R200" s="1661"/>
      <c r="S200" s="1155"/>
      <c r="T200" s="1155"/>
      <c r="U200" s="540"/>
      <c r="V200" s="1155"/>
      <c r="W200" s="1155"/>
      <c r="X200" s="1155"/>
      <c r="Y200" s="1155"/>
      <c r="Z200" s="1155"/>
      <c r="AA200" s="1657"/>
      <c r="AB200" s="562"/>
      <c r="AC200" s="562"/>
      <c r="AD200" s="562"/>
      <c r="AE200" s="562"/>
    </row>
    <row s="1666" customFormat="1" customHeight="1" ht="11.25">
      <c r="A201" s="982"/>
      <c r="B201" s="1661"/>
      <c r="C201" s="1661"/>
      <c r="D201" s="339"/>
      <c r="K201" s="1155"/>
      <c r="L201" s="1661"/>
      <c r="M201" s="1661"/>
      <c r="N201" s="1155"/>
      <c r="O201" s="1155"/>
      <c r="P201" s="1155"/>
      <c r="Q201" s="1155"/>
      <c r="R201" s="1661"/>
      <c r="S201" s="1155"/>
      <c r="T201" s="1155"/>
      <c r="U201" s="540"/>
      <c r="V201" s="1155"/>
      <c r="W201" s="1155"/>
      <c r="X201" s="1155"/>
      <c r="Y201" s="1155"/>
      <c r="Z201" s="1155"/>
      <c r="AA201" s="1657"/>
      <c r="AB201" s="562"/>
      <c r="AC201" s="562"/>
      <c r="AD201" s="562"/>
      <c r="AE201" s="562"/>
    </row>
    <row s="1666" customFormat="1" customHeight="1" ht="11.25">
      <c r="A202" s="982"/>
      <c r="B202" s="1661"/>
      <c r="C202" s="1661"/>
      <c r="D202" s="339"/>
      <c r="K202" s="1155"/>
      <c r="L202" s="1661"/>
      <c r="M202" s="1661"/>
      <c r="N202" s="1155"/>
      <c r="O202" s="1155"/>
      <c r="P202" s="1155"/>
      <c r="Q202" s="1155"/>
      <c r="R202" s="1661"/>
      <c r="S202" s="1155"/>
      <c r="T202" s="1155"/>
      <c r="U202" s="540"/>
      <c r="V202" s="1155"/>
      <c r="W202" s="1155"/>
      <c r="X202" s="1155"/>
      <c r="Y202" s="1155"/>
      <c r="Z202" s="1155"/>
      <c r="AA202" s="1657"/>
      <c r="AB202" s="562"/>
      <c r="AC202" s="562"/>
      <c r="AD202" s="562"/>
      <c r="AE202" s="562"/>
    </row>
    <row s="1666" customFormat="1" customHeight="1" ht="11.25">
      <c r="A203" s="982"/>
      <c r="B203" s="1661"/>
      <c r="C203" s="1661"/>
      <c r="D203" s="339"/>
      <c r="K203" s="1155"/>
      <c r="L203" s="1661"/>
      <c r="M203" s="1661"/>
      <c r="N203" s="1155"/>
      <c r="O203" s="1155"/>
      <c r="P203" s="1155"/>
      <c r="Q203" s="1155"/>
      <c r="R203" s="1661"/>
      <c r="S203" s="1155"/>
      <c r="T203" s="1155"/>
      <c r="U203" s="540"/>
      <c r="V203" s="1155"/>
      <c r="W203" s="1155"/>
      <c r="X203" s="1155"/>
      <c r="Y203" s="1155"/>
      <c r="Z203" s="1155"/>
      <c r="AA203" s="1657"/>
      <c r="AB203" s="562"/>
      <c r="AC203" s="562"/>
      <c r="AD203" s="562"/>
      <c r="AE203" s="562"/>
    </row>
    <row s="1666" customFormat="1" customHeight="1" ht="11.25">
      <c r="A204" s="982"/>
      <c r="B204" s="1661"/>
      <c r="C204" s="1661"/>
      <c r="D204" s="339"/>
      <c r="K204" s="1155"/>
      <c r="L204" s="1661"/>
      <c r="M204" s="1661"/>
      <c r="N204" s="1155"/>
      <c r="O204" s="1155"/>
      <c r="P204" s="1155"/>
      <c r="Q204" s="1155"/>
      <c r="R204" s="1661"/>
      <c r="S204" s="1155"/>
      <c r="T204" s="1155"/>
      <c r="U204" s="540"/>
      <c r="V204" s="1155"/>
      <c r="W204" s="1155"/>
      <c r="X204" s="1155"/>
      <c r="Y204" s="1155"/>
      <c r="Z204" s="1155"/>
      <c r="AA204" s="1657"/>
      <c r="AB204" s="562"/>
      <c r="AC204" s="562"/>
      <c r="AD204" s="562"/>
      <c r="AE204" s="562"/>
    </row>
    <row r="208"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row customHeight="1" ht="11.25">
      <c r="A210" s="985"/>
      <c r="B210" s="1656"/>
      <c r="D210" s="1656"/>
      <c r="K210" s="1656"/>
      <c r="N210" s="1656"/>
      <c r="O210" s="1656"/>
      <c r="P210" s="1656"/>
      <c r="Q210" s="1656"/>
      <c r="S210" s="1656"/>
      <c r="T210" s="1656"/>
      <c r="U210" s="1656"/>
      <c r="V210" s="1656"/>
      <c r="W210" s="1656"/>
      <c r="X210" s="1656"/>
      <c r="Y210" s="1656"/>
      <c r="Z210" s="1656"/>
      <c r="AA210" s="1656"/>
      <c r="AB210" s="1656"/>
      <c r="AC210" s="1656"/>
      <c r="AD210" s="1656"/>
      <c r="AE210" s="1656"/>
    </row>
    <row customHeight="1" ht="11.25">
      <c r="A211" s="985"/>
      <c r="B211" s="1656"/>
      <c r="D211" s="1656"/>
      <c r="K211" s="1656"/>
      <c r="N211" s="1656"/>
      <c r="O211" s="1656"/>
      <c r="P211" s="1656"/>
      <c r="Q211" s="1656"/>
      <c r="S211" s="1656"/>
      <c r="T211" s="1656"/>
      <c r="U211" s="1656"/>
      <c r="V211" s="1656"/>
      <c r="W211" s="1656"/>
      <c r="X211" s="1656"/>
      <c r="Y211" s="1656"/>
      <c r="Z211" s="1656"/>
      <c r="AA211" s="1656"/>
      <c r="AB211" s="1656"/>
      <c r="AC211" s="1656"/>
      <c r="AD211" s="1656"/>
      <c r="AE211" s="1656"/>
    </row>
    <row customHeight="1" ht="11.25">
      <c r="A212" s="985"/>
      <c r="B212" s="1656"/>
      <c r="D212" s="1656"/>
      <c r="K212" s="1656"/>
      <c r="N212" s="1656"/>
      <c r="O212" s="1656"/>
      <c r="P212" s="1656"/>
      <c r="Q212" s="1656"/>
      <c r="S212" s="1656"/>
      <c r="T212" s="1656"/>
      <c r="U212" s="1656"/>
      <c r="V212" s="1656"/>
      <c r="W212" s="1656"/>
      <c r="X212" s="1656"/>
      <c r="Y212" s="1656"/>
      <c r="Z212" s="1656"/>
      <c r="AA212" s="1656"/>
      <c r="AB212" s="1656"/>
      <c r="AC212" s="1656"/>
      <c r="AD212" s="1656"/>
      <c r="AE212" s="1656"/>
    </row>
    <row customHeight="1" ht="11.25">
      <c r="A213" s="985"/>
      <c r="B213" s="1656"/>
      <c r="D213" s="1656"/>
      <c r="K213" s="1656"/>
      <c r="N213" s="1656"/>
      <c r="O213" s="1656"/>
      <c r="P213" s="1656"/>
      <c r="Q213" s="1656"/>
      <c r="S213" s="1656"/>
      <c r="T213" s="1656"/>
      <c r="U213" s="1656"/>
      <c r="V213" s="1656"/>
      <c r="W213" s="1656"/>
      <c r="X213" s="1656"/>
      <c r="Y213" s="1656"/>
      <c r="Z213" s="1656"/>
      <c r="AA213" s="1656"/>
      <c r="AB213" s="1656"/>
      <c r="AC213" s="1656"/>
      <c r="AD213" s="1656"/>
      <c r="AE213" s="1656"/>
    </row>
    <row customHeight="1" ht="11.25">
      <c r="A214" s="985"/>
      <c r="B214" s="1656"/>
      <c r="D214" s="1656"/>
      <c r="K214" s="1656"/>
      <c r="N214" s="1656"/>
      <c r="O214" s="1656"/>
      <c r="P214" s="1656"/>
      <c r="Q214" s="1656"/>
      <c r="S214" s="1656"/>
      <c r="T214" s="1656"/>
      <c r="U214" s="1656"/>
      <c r="V214" s="1656"/>
      <c r="W214" s="1656"/>
      <c r="X214" s="1656"/>
      <c r="Y214" s="1656"/>
      <c r="Z214" s="1656"/>
      <c r="AA214" s="1656"/>
      <c r="AB214" s="1656"/>
      <c r="AC214" s="1656"/>
      <c r="AD214" s="1656"/>
      <c r="AE214" s="1656"/>
    </row>
    <row customHeight="1" ht="11.25">
      <c r="A215" s="985"/>
      <c r="B215" s="1656"/>
      <c r="D215" s="1656"/>
      <c r="K215" s="1656"/>
      <c r="N215" s="1656"/>
      <c r="O215" s="1656"/>
      <c r="P215" s="1656"/>
      <c r="Q215" s="1656"/>
      <c r="S215" s="1656"/>
      <c r="T215" s="1656"/>
      <c r="U215" s="1656"/>
      <c r="V215" s="1656"/>
      <c r="W215" s="1656"/>
      <c r="X215" s="1656"/>
      <c r="Y215" s="1656"/>
      <c r="Z215" s="1656"/>
      <c r="AA215" s="1656"/>
      <c r="AB215" s="1656"/>
      <c r="AC215" s="1656"/>
      <c r="AD215" s="1656"/>
      <c r="AE215" s="1656"/>
    </row>
    <row customHeight="1" ht="11.25">
      <c r="A216" s="985"/>
      <c r="B216" s="1656"/>
      <c r="D216" s="1656"/>
      <c r="K216" s="1656"/>
      <c r="N216" s="1656"/>
      <c r="O216" s="1656"/>
      <c r="P216" s="1656"/>
      <c r="Q216" s="1656"/>
      <c r="S216" s="1656"/>
      <c r="T216" s="1656"/>
      <c r="U216" s="1656"/>
      <c r="V216" s="1656"/>
      <c r="W216" s="1656"/>
      <c r="X216" s="1656"/>
      <c r="Y216" s="1656"/>
      <c r="Z216" s="1656"/>
      <c r="AA216" s="1656"/>
      <c r="AB216" s="1656"/>
      <c r="AC216" s="1656"/>
      <c r="AD216" s="1656"/>
      <c r="AE216" s="1656"/>
    </row>
    <row customHeight="1" ht="11.25">
      <c r="A217" s="985"/>
      <c r="B217" s="1656"/>
      <c r="D217" s="1656"/>
      <c r="K217" s="1656"/>
      <c r="N217" s="1656"/>
      <c r="O217" s="1656"/>
      <c r="P217" s="1656"/>
      <c r="Q217" s="1656"/>
      <c r="S217" s="1656"/>
      <c r="T217" s="1656"/>
      <c r="U217" s="1656"/>
      <c r="V217" s="1656"/>
      <c r="W217" s="1656"/>
      <c r="X217" s="1656"/>
      <c r="Y217" s="1656"/>
      <c r="Z217" s="1656"/>
      <c r="AA217" s="1656"/>
      <c r="AB217" s="1656"/>
      <c r="AC217" s="1656"/>
      <c r="AD217" s="1656"/>
      <c r="AE217" s="1656"/>
    </row>
    <row customHeight="1" ht="11.25">
      <c r="A218" s="985"/>
      <c r="B218" s="1656"/>
      <c r="D218" s="1656"/>
      <c r="K218" s="1656"/>
      <c r="N218" s="1656"/>
      <c r="O218" s="1656"/>
      <c r="P218" s="1656"/>
      <c r="Q218" s="1656"/>
      <c r="S218" s="1656"/>
      <c r="T218" s="1656"/>
      <c r="U218" s="1656"/>
      <c r="V218" s="1656"/>
      <c r="W218" s="1656"/>
      <c r="X218" s="1656"/>
      <c r="Y218" s="1656"/>
      <c r="Z218" s="1656"/>
      <c r="AA218" s="1656"/>
      <c r="AB218" s="1656"/>
      <c r="AC218" s="1656"/>
      <c r="AD218" s="1656"/>
      <c r="AE218" s="1656"/>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7C417A-B3A6-D3D4-EB18-F8EBB4C8E171}"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982" width="10.7109375" hidden="1" customWidth="1"/>
    <col min="2" max="2" style="1383" width="16.8515625" hidden="1" customWidth="1"/>
    <col min="3" max="3" style="1667" width="5.57421875" hidden="1" customWidth="1"/>
    <col min="4" max="4" style="1660" width="3.7109375" customWidth="1"/>
    <col min="5" max="5" style="1660" width="7.7109375" customWidth="1"/>
    <col min="6" max="6" style="1660" width="54.57421875" customWidth="1"/>
    <col min="7" max="7" style="1660" width="10.421875" customWidth="1"/>
    <col min="8" max="8" style="1660" width="40.7109375" hidden="1" customWidth="1"/>
    <col min="9" max="9" style="1660" width="40.7109375" customWidth="1"/>
    <col min="10" max="10" style="1660" width="102.8515625" customWidth="1"/>
    <col min="11" max="11" style="1383" width="9.7109375" customWidth="1"/>
    <col min="12" max="12" style="1667" width="5.28125" customWidth="1"/>
    <col min="13" max="13" style="1667" width="3.7109375" customWidth="1"/>
    <col min="14" max="17" style="1383" width="3.7109375" customWidth="1"/>
    <col min="18" max="18" style="1667" width="10.57421875" customWidth="1"/>
    <col min="19" max="19" style="1383" width="34.7109375" customWidth="1"/>
    <col min="20" max="20" style="1383" width="9.421875" customWidth="1"/>
    <col min="21" max="21" style="731" width="9.140625"/>
    <col min="22" max="26" style="1383" width="9.140625"/>
    <col min="27" max="31" style="1657" width="9.140625"/>
  </cols>
  <sheetData>
    <row s="1383" customFormat="1" customHeight="1" ht="11.25" hidden="1">
      <c r="A1" s="982"/>
      <c r="C1" s="1661"/>
      <c r="D1" s="533"/>
      <c r="H1" s="1155">
        <v>4</v>
      </c>
      <c r="I1" s="1155">
        <v>4</v>
      </c>
      <c r="L1" s="1661"/>
      <c r="M1" s="1661"/>
      <c r="R1" s="1661"/>
    </row>
    <row s="1383" customFormat="1" customHeight="1" ht="22.5" hidden="1">
      <c r="A2" s="982"/>
      <c r="C2" s="1661"/>
      <c r="D2" s="534"/>
      <c r="E2" s="1683"/>
      <c r="F2" s="536"/>
      <c r="G2" s="1682" t="s">
        <v>563</v>
      </c>
      <c r="H2" s="537"/>
      <c r="I2" s="537"/>
      <c r="J2" s="538" t="s">
        <v>566</v>
      </c>
      <c r="K2" s="539"/>
      <c r="L2" s="1661"/>
      <c r="M2" s="1661"/>
      <c r="R2" s="1661"/>
      <c r="U2" s="540"/>
      <c r="AA2" s="1657"/>
      <c r="AB2" s="1657"/>
      <c r="AC2" s="1657"/>
      <c r="AD2" s="1657"/>
      <c r="AE2" s="1657"/>
    </row>
    <row customHeight="1" ht="11.25" hidden="1"/>
    <row s="1657" customFormat="1" customHeight="1" ht="11.25" hidden="1">
      <c r="A4" s="982"/>
      <c r="B4" s="1155"/>
      <c r="C4" s="1661"/>
      <c r="D4" s="352"/>
      <c r="J4" s="1657">
        <v>4</v>
      </c>
      <c r="K4" s="1155"/>
      <c r="L4" s="1661"/>
      <c r="M4" s="1661"/>
      <c r="N4" s="1155"/>
      <c r="O4" s="1155"/>
      <c r="P4" s="1155"/>
      <c r="Q4" s="1155"/>
      <c r="R4" s="1661"/>
      <c r="S4" s="1155"/>
      <c r="T4" s="1155"/>
      <c r="U4" s="540"/>
      <c r="V4" s="1155"/>
      <c r="W4" s="1155"/>
      <c r="X4" s="1155"/>
      <c r="Y4" s="1155"/>
      <c r="Z4" s="1155"/>
    </row>
    <row r="6" customHeight="1" ht="32.25">
      <c r="E6" s="2122" t="s">
        <v>700</v>
      </c>
      <c r="F6" s="2122"/>
      <c r="G6" s="2122"/>
      <c r="H6" s="2122"/>
      <c r="I6" s="2122"/>
      <c r="J6" s="552"/>
    </row>
    <row customHeight="1" ht="24">
      <c r="E7" s="2123" t="str">
        <f>IF(org=0,"Не определено",org)</f>
        <v>ПАО "ТГК-1" филиал "Невский"</v>
      </c>
      <c r="F7" s="2123"/>
      <c r="G7" s="2123"/>
      <c r="H7" s="2123"/>
      <c r="I7" s="2123"/>
    </row>
    <row customHeight="1" ht="11.25">
      <c r="E8" s="1130"/>
      <c r="F8" s="1130"/>
      <c r="G8" s="1130"/>
      <c r="H8" s="1130"/>
      <c r="I8" s="1130"/>
    </row>
    <row s="1667" customFormat="1" customHeight="1" ht="0.75">
      <c r="A9" s="1162"/>
      <c r="D9" s="1667"/>
      <c r="H9" s="883"/>
      <c r="I9" s="883" t="s">
        <v>116</v>
      </c>
    </row>
    <row customHeight="1" ht="11.25">
      <c r="E10" s="706"/>
      <c r="F10" s="2195" t="s">
        <v>104</v>
      </c>
      <c r="G10" s="2196"/>
      <c r="H10" s="1684" t="str">
        <f>IF(H9="","",INDEX(DIFFERENTIATION_UNMERGE_VD,MATCH(H9,DIFFERENTIATION_ID_DIFF,0)))</f>
        <v/>
      </c>
      <c r="I10" s="1684">
        <f>IF(I9="","",INDEX(DIFFERENTIATION_UNMERGE_VD,MATCH(I9,DIFFERENTIATION_ID_DIFF,0)))</f>
        <v>0</v>
      </c>
      <c r="J10" s="1953"/>
    </row>
    <row customHeight="1" ht="11.25">
      <c r="E11" s="706"/>
      <c r="F11" s="2195" t="s">
        <v>575</v>
      </c>
      <c r="G11" s="2196"/>
      <c r="H11" s="1684" t="str">
        <f>IF(H9="","",INDEX(DIFFERENTIATION_UNMERGE_AREA,MATCH(H9,DIFFERENTIATION_ID_DIFF,0)))</f>
        <v/>
      </c>
      <c r="I11" s="1684" t="str">
        <f>IF(I9="","",INDEX(DIFFERENTIATION_UNMERGE_AREA,MATCH(I9,DIFFERENTIATION_ID_DIFF,0)))</f>
        <v/>
      </c>
      <c r="J11" s="1953"/>
    </row>
    <row customHeight="1" ht="11.25" hidden="1">
      <c r="E12" s="1687"/>
      <c r="F12" s="2210" t="s">
        <v>576</v>
      </c>
      <c r="G12" s="2211"/>
      <c r="H12" s="1688" t="str">
        <f>IF(H9="","",INDEX(DIFFERENTIATION_UNMERGE_SYSTEM,MATCH(H9,DIFFERENTIATION_ID_DIFF,0)))</f>
        <v/>
      </c>
      <c r="I12" s="1688" t="str">
        <f>IF(I9="","",INDEX(DIFFERENTIATION_UNMERGE_SYSTEM,MATCH(I9,DIFFERENTIATION_ID_DIFF,0)))</f>
        <v>без дифференциации</v>
      </c>
      <c r="J12" s="1953"/>
    </row>
    <row customHeight="1" ht="11.25">
      <c r="E13" s="2197" t="s">
        <v>312</v>
      </c>
      <c r="F13" s="2198"/>
      <c r="G13" s="2198"/>
      <c r="H13" s="1681"/>
      <c r="I13" s="1681"/>
      <c r="J13" s="1953"/>
    </row>
    <row customHeight="1" ht="22.5">
      <c r="E14" s="1682" t="s">
        <v>87</v>
      </c>
      <c r="F14" s="1685" t="s">
        <v>314</v>
      </c>
      <c r="G14" s="1685" t="s">
        <v>577</v>
      </c>
      <c r="H14" s="1685" t="s">
        <v>315</v>
      </c>
      <c r="I14" s="1685" t="s">
        <v>315</v>
      </c>
      <c r="J14" s="1953"/>
    </row>
    <row customHeight="1" ht="18.75">
      <c r="D15" s="1663"/>
      <c r="E15" s="1655" t="s">
        <v>108</v>
      </c>
      <c r="F15" s="702" t="s">
        <v>701</v>
      </c>
      <c r="G15" s="1682" t="s">
        <v>563</v>
      </c>
      <c r="H15" s="553"/>
      <c r="I15" s="553"/>
      <c r="J15" s="270" t="s">
        <v>702</v>
      </c>
      <c r="K15" s="539" t="s">
        <v>630</v>
      </c>
    </row>
    <row customHeight="1" ht="22.5">
      <c r="D16" s="1663"/>
      <c r="E16" s="1655" t="s">
        <v>109</v>
      </c>
      <c r="F16" s="1690" t="s">
        <v>703</v>
      </c>
      <c r="G16" s="1682" t="s">
        <v>563</v>
      </c>
      <c r="H16" s="554">
        <f>SUM(H17,H20:H27)</f>
        <v>0</v>
      </c>
      <c r="I16" s="554">
        <f>SUM(I17,I20:I27)</f>
        <v>0</v>
      </c>
      <c r="J16" s="270" t="s">
        <v>704</v>
      </c>
      <c r="K16" s="539" t="s">
        <v>630</v>
      </c>
    </row>
    <row customHeight="1" ht="33.75">
      <c r="D17" s="1663"/>
      <c r="E17" s="1689" t="s">
        <v>633</v>
      </c>
      <c r="F17" s="1692" t="s">
        <v>705</v>
      </c>
      <c r="G17" s="1679" t="s">
        <v>563</v>
      </c>
      <c r="H17" s="553"/>
      <c r="I17" s="553"/>
      <c r="J17" s="270" t="s">
        <v>706</v>
      </c>
      <c r="K17" s="539"/>
    </row>
    <row customHeight="1" ht="18.75">
      <c r="D18" s="1663"/>
      <c r="E18" s="1689" t="s">
        <v>636</v>
      </c>
      <c r="F18" s="1693" t="s">
        <v>707</v>
      </c>
      <c r="G18" s="1679" t="s">
        <v>563</v>
      </c>
      <c r="H18" s="553"/>
      <c r="I18" s="553"/>
      <c r="J18" s="270"/>
      <c r="K18" s="539"/>
    </row>
    <row customHeight="1" ht="22.5">
      <c r="D19" s="1663"/>
      <c r="E19" s="1689" t="s">
        <v>639</v>
      </c>
      <c r="F19" s="1693" t="s">
        <v>708</v>
      </c>
      <c r="G19" s="1679" t="s">
        <v>563</v>
      </c>
      <c r="H19" s="553"/>
      <c r="I19" s="553"/>
      <c r="J19" s="270"/>
      <c r="K19" s="539"/>
    </row>
    <row customHeight="1" ht="33.75">
      <c r="D20" s="1663"/>
      <c r="E20" s="1689" t="s">
        <v>319</v>
      </c>
      <c r="F20" s="1692" t="s">
        <v>709</v>
      </c>
      <c r="G20" s="1679" t="s">
        <v>563</v>
      </c>
      <c r="H20" s="553"/>
      <c r="I20" s="553"/>
      <c r="J20" s="270"/>
      <c r="K20" s="539"/>
    </row>
    <row customHeight="1" ht="33.75">
      <c r="D21" s="1663"/>
      <c r="E21" s="1689" t="s">
        <v>322</v>
      </c>
      <c r="F21" s="1692" t="s">
        <v>710</v>
      </c>
      <c r="G21" s="1679" t="s">
        <v>563</v>
      </c>
      <c r="H21" s="553"/>
      <c r="I21" s="553"/>
      <c r="J21" s="270"/>
      <c r="K21" s="539"/>
    </row>
    <row customHeight="1" ht="56.25">
      <c r="D22" s="1663"/>
      <c r="E22" s="1689" t="s">
        <v>653</v>
      </c>
      <c r="F22" s="1692" t="s">
        <v>711</v>
      </c>
      <c r="G22" s="1679" t="s">
        <v>563</v>
      </c>
      <c r="H22" s="553"/>
      <c r="I22" s="553"/>
      <c r="J22" s="270"/>
      <c r="K22" s="539"/>
    </row>
    <row customHeight="1" ht="33.75">
      <c r="D23" s="1663"/>
      <c r="E23" s="1689" t="s">
        <v>660</v>
      </c>
      <c r="F23" s="1692" t="s">
        <v>712</v>
      </c>
      <c r="G23" s="1679" t="s">
        <v>563</v>
      </c>
      <c r="H23" s="553"/>
      <c r="I23" s="553"/>
      <c r="J23" s="270"/>
      <c r="K23" s="539"/>
    </row>
    <row customHeight="1" ht="33.75">
      <c r="D24" s="1663"/>
      <c r="E24" s="1689" t="s">
        <v>662</v>
      </c>
      <c r="F24" s="1692" t="s">
        <v>713</v>
      </c>
      <c r="G24" s="1679" t="s">
        <v>563</v>
      </c>
      <c r="H24" s="553"/>
      <c r="I24" s="553"/>
      <c r="J24" s="270"/>
      <c r="K24" s="539"/>
    </row>
    <row customHeight="1" ht="22.5">
      <c r="D25" s="1663"/>
      <c r="E25" s="1689" t="s">
        <v>664</v>
      </c>
      <c r="F25" s="1692" t="s">
        <v>714</v>
      </c>
      <c r="G25" s="1679" t="s">
        <v>563</v>
      </c>
      <c r="H25" s="553"/>
      <c r="I25" s="553"/>
      <c r="J25" s="270"/>
      <c r="K25" s="539"/>
    </row>
    <row customHeight="1" ht="67.5">
      <c r="D26" s="1663"/>
      <c r="E26" s="1689" t="s">
        <v>666</v>
      </c>
      <c r="F26" s="1692" t="s">
        <v>715</v>
      </c>
      <c r="G26" s="1679" t="s">
        <v>563</v>
      </c>
      <c r="H26" s="553"/>
      <c r="I26" s="553"/>
      <c r="J26" s="270"/>
      <c r="K26" s="539"/>
    </row>
    <row s="1383" customFormat="1" customHeight="1" ht="22.5">
      <c r="A27" s="982"/>
      <c r="C27" s="1661"/>
      <c r="D27" s="1663"/>
      <c r="E27" s="1654" t="s">
        <v>670</v>
      </c>
      <c r="F27" s="1653" t="s">
        <v>716</v>
      </c>
      <c r="G27" s="1680" t="s">
        <v>563</v>
      </c>
      <c r="H27" s="575">
        <f>SUM(H28:H29)</f>
        <v>0</v>
      </c>
      <c r="I27" s="575">
        <f>SUM(I28:I29)</f>
        <v>0</v>
      </c>
      <c r="J27" s="270" t="s">
        <v>668</v>
      </c>
      <c r="K27" s="539"/>
      <c r="L27" s="1661"/>
      <c r="M27" s="1661"/>
      <c r="R27" s="1661"/>
      <c r="U27" s="540"/>
      <c r="AA27" s="1657"/>
      <c r="AB27" s="1657"/>
      <c r="AC27" s="1657"/>
      <c r="AD27" s="1657"/>
      <c r="AE27" s="1657"/>
    </row>
    <row s="1667" customFormat="1" customHeight="1" ht="0.75">
      <c r="A28" s="1162"/>
      <c r="D28" s="544"/>
      <c r="E28" s="796" t="str">
        <f>E27&amp;".0"</f>
        <v>2.9.0</v>
      </c>
      <c r="F28" s="986"/>
      <c r="G28" s="547"/>
      <c r="H28" s="987"/>
      <c r="I28" s="987"/>
      <c r="J28" s="988"/>
    </row>
    <row s="1383" customFormat="1" customHeight="1" ht="18.75">
      <c r="A29" s="982"/>
      <c r="C29" s="1661"/>
      <c r="D29" s="1658"/>
      <c r="E29" s="566"/>
      <c r="F29" s="1691" t="s">
        <v>588</v>
      </c>
      <c r="G29" s="568"/>
      <c r="H29" s="569"/>
      <c r="I29" s="569"/>
      <c r="J29" s="281" t="s">
        <v>669</v>
      </c>
      <c r="K29" s="539"/>
      <c r="L29" s="1661"/>
      <c r="M29" s="1661"/>
      <c r="R29" s="1661"/>
      <c r="U29" s="540"/>
      <c r="AA29" s="1657"/>
      <c r="AB29" s="1657"/>
      <c r="AC29" s="1657"/>
      <c r="AD29" s="1657"/>
      <c r="AE29" s="1657"/>
    </row>
    <row s="1383" customFormat="1" customHeight="1" ht="22.5">
      <c r="A30" s="982"/>
      <c r="C30" s="1661"/>
      <c r="D30" s="1663"/>
      <c r="E30" s="1689" t="s">
        <v>89</v>
      </c>
      <c r="F30" s="1686" t="s">
        <v>717</v>
      </c>
      <c r="G30" s="1679" t="s">
        <v>563</v>
      </c>
      <c r="H30" s="553"/>
      <c r="I30" s="553"/>
      <c r="J30" s="270"/>
      <c r="K30" s="539"/>
      <c r="L30" s="1661"/>
      <c r="M30" s="1661"/>
      <c r="R30" s="1661"/>
      <c r="U30" s="540"/>
      <c r="AA30" s="1657"/>
      <c r="AB30" s="1657"/>
      <c r="AC30" s="1657"/>
      <c r="AD30" s="1657"/>
      <c r="AE30" s="1657"/>
    </row>
    <row s="1383" customFormat="1" customHeight="1" ht="33.75">
      <c r="A31" s="982"/>
      <c r="C31" s="1661"/>
      <c r="D31" s="571"/>
      <c r="E31" s="1689" t="s">
        <v>90</v>
      </c>
      <c r="F31" s="1686" t="s">
        <v>718</v>
      </c>
      <c r="G31" s="1679" t="s">
        <v>563</v>
      </c>
      <c r="H31" s="553"/>
      <c r="I31" s="553"/>
      <c r="J31" s="270" t="s">
        <v>719</v>
      </c>
      <c r="K31" s="539"/>
      <c r="L31" s="1661"/>
      <c r="M31" s="1661"/>
      <c r="R31" s="1661"/>
      <c r="U31" s="540"/>
      <c r="AA31" s="1657"/>
      <c r="AB31" s="1657"/>
      <c r="AC31" s="1657"/>
      <c r="AD31" s="1657"/>
      <c r="AE31" s="1657"/>
    </row>
    <row s="1383" customFormat="1" customHeight="1" ht="22.5">
      <c r="A32" s="982"/>
      <c r="C32" s="1661"/>
      <c r="D32" s="1663"/>
      <c r="E32" s="1689" t="s">
        <v>678</v>
      </c>
      <c r="F32" s="685" t="s">
        <v>682</v>
      </c>
      <c r="G32" s="1679" t="s">
        <v>563</v>
      </c>
      <c r="H32" s="553"/>
      <c r="I32" s="553"/>
      <c r="J32" s="270" t="s">
        <v>720</v>
      </c>
      <c r="K32" s="539"/>
      <c r="L32" s="1661"/>
      <c r="M32" s="1661"/>
      <c r="R32" s="1661"/>
      <c r="U32" s="540"/>
      <c r="AA32" s="1657"/>
      <c r="AB32" s="1657"/>
      <c r="AC32" s="1657"/>
      <c r="AD32" s="1657"/>
      <c r="AE32" s="1657"/>
    </row>
    <row s="1383" customFormat="1" customHeight="1" ht="22.5">
      <c r="A33" s="982"/>
      <c r="C33" s="1661"/>
      <c r="D33" s="1663"/>
      <c r="E33" s="1689" t="s">
        <v>721</v>
      </c>
      <c r="F33" s="685" t="s">
        <v>722</v>
      </c>
      <c r="G33" s="1679" t="s">
        <v>563</v>
      </c>
      <c r="H33" s="553"/>
      <c r="I33" s="553"/>
      <c r="J33" s="270" t="s">
        <v>723</v>
      </c>
      <c r="K33" s="539"/>
      <c r="L33" s="1661"/>
      <c r="M33" s="1661"/>
      <c r="R33" s="1661"/>
      <c r="U33" s="540"/>
      <c r="AA33" s="1657"/>
      <c r="AB33" s="1657"/>
      <c r="AC33" s="1657"/>
      <c r="AD33" s="1657"/>
      <c r="AE33" s="1657"/>
    </row>
    <row s="1383" customFormat="1" customHeight="1" ht="22.5">
      <c r="A34" s="982"/>
      <c r="C34" s="1661"/>
      <c r="D34" s="1663"/>
      <c r="E34" s="1689" t="s">
        <v>724</v>
      </c>
      <c r="F34" s="685" t="s">
        <v>688</v>
      </c>
      <c r="G34" s="1679" t="s">
        <v>563</v>
      </c>
      <c r="H34" s="553"/>
      <c r="I34" s="553"/>
      <c r="J34" s="270" t="s">
        <v>725</v>
      </c>
      <c r="K34" s="539"/>
      <c r="L34" s="1661"/>
      <c r="M34" s="1661"/>
      <c r="R34" s="1661"/>
      <c r="U34" s="540"/>
      <c r="AA34" s="1657"/>
      <c r="AB34" s="1657"/>
      <c r="AC34" s="1657"/>
      <c r="AD34" s="1657"/>
      <c r="AE34" s="1657"/>
    </row>
    <row s="1383" customFormat="1" customHeight="1" ht="33.75">
      <c r="A35" s="982"/>
      <c r="C35" s="1661" t="s">
        <v>599</v>
      </c>
      <c r="D35" s="1663"/>
      <c r="E35" s="1689" t="s">
        <v>110</v>
      </c>
      <c r="F35" s="1686" t="s">
        <v>690</v>
      </c>
      <c r="G35" s="1682" t="s">
        <v>318</v>
      </c>
      <c r="H35" s="398"/>
      <c r="I35" s="398"/>
      <c r="J35" s="270" t="s">
        <v>726</v>
      </c>
      <c r="K35" s="539"/>
      <c r="L35" s="1661"/>
      <c r="M35" s="1661"/>
      <c r="R35" s="1661"/>
      <c r="U35" s="540"/>
      <c r="AA35" s="1657"/>
      <c r="AB35" s="1657"/>
      <c r="AC35" s="1657"/>
      <c r="AD35" s="1657"/>
      <c r="AE35" s="1657"/>
    </row>
    <row s="1383" customFormat="1" customHeight="1" ht="22.5">
      <c r="A36" s="982"/>
      <c r="C36" s="1661"/>
      <c r="D36" s="1663"/>
      <c r="E36" s="1689" t="s">
        <v>91</v>
      </c>
      <c r="F36" s="1686" t="s">
        <v>727</v>
      </c>
      <c r="G36" s="1679" t="s">
        <v>694</v>
      </c>
      <c r="H36" s="541"/>
      <c r="I36" s="541"/>
      <c r="J36" s="270" t="s">
        <v>695</v>
      </c>
      <c r="K36" s="539"/>
      <c r="L36" s="1661"/>
      <c r="M36" s="1661"/>
      <c r="R36" s="1661"/>
      <c r="U36" s="540"/>
      <c r="AA36" s="1657"/>
      <c r="AB36" s="1657"/>
      <c r="AC36" s="1657"/>
      <c r="AD36" s="1657"/>
      <c r="AE36" s="1657"/>
    </row>
    <row s="1383" customFormat="1" customHeight="1" ht="22.5">
      <c r="A37" s="982"/>
      <c r="C37" s="1661"/>
      <c r="D37" s="1663"/>
      <c r="E37" s="1689" t="s">
        <v>92</v>
      </c>
      <c r="F37" s="1686" t="s">
        <v>728</v>
      </c>
      <c r="G37" s="1679" t="s">
        <v>697</v>
      </c>
      <c r="H37" s="541"/>
      <c r="I37" s="541"/>
      <c r="J37" s="270" t="s">
        <v>698</v>
      </c>
      <c r="K37" s="539"/>
      <c r="L37" s="1661"/>
      <c r="M37" s="1661"/>
      <c r="R37" s="1661"/>
      <c r="U37" s="540"/>
      <c r="AA37" s="1657"/>
      <c r="AB37" s="1657"/>
      <c r="AC37" s="1657"/>
      <c r="AD37" s="1657"/>
      <c r="AE37" s="1657"/>
    </row>
    <row customHeight="1" ht="11.25">
      <c r="D38" s="1663"/>
    </row>
    <row customHeight="1" ht="26.25">
      <c r="D39" s="1663"/>
      <c r="E39" s="1260" t="s">
        <v>729</v>
      </c>
      <c r="F39" s="2088" t="s">
        <v>730</v>
      </c>
      <c r="G39" s="2088"/>
      <c r="H39" s="2088"/>
      <c r="I39" s="2088"/>
      <c r="J39" s="2088"/>
    </row>
    <row s="1666" customFormat="1" customHeight="1" ht="37.5">
      <c r="A40" s="982"/>
      <c r="B40" s="1661"/>
      <c r="C40" s="1661"/>
      <c r="D40" s="339"/>
      <c r="F40" s="2088" t="s">
        <v>731</v>
      </c>
      <c r="G40" s="2088"/>
      <c r="H40" s="2088"/>
      <c r="I40" s="2088"/>
      <c r="J40" s="2088"/>
      <c r="K40" s="1155"/>
      <c r="L40" s="1661"/>
      <c r="M40" s="1661"/>
      <c r="N40" s="1155"/>
      <c r="O40" s="1155"/>
      <c r="P40" s="1155"/>
      <c r="Q40" s="1155"/>
      <c r="R40" s="1661"/>
      <c r="S40" s="1155"/>
      <c r="T40" s="1155"/>
      <c r="U40" s="540"/>
      <c r="V40" s="1155"/>
      <c r="W40" s="1155"/>
      <c r="X40" s="1155"/>
      <c r="Y40" s="1155"/>
      <c r="Z40" s="1155"/>
      <c r="AA40" s="1657"/>
      <c r="AB40" s="562"/>
      <c r="AC40" s="562"/>
      <c r="AD40" s="562"/>
      <c r="AE40" s="562"/>
    </row>
    <row s="1666" customFormat="1" customHeight="1" ht="11.25">
      <c r="A41" s="982"/>
      <c r="B41" s="1661"/>
      <c r="C41" s="1661"/>
      <c r="D41" s="339"/>
      <c r="K41" s="1155"/>
      <c r="L41" s="1661"/>
      <c r="M41" s="1661"/>
      <c r="N41" s="1155"/>
      <c r="O41" s="1155"/>
      <c r="P41" s="1155"/>
      <c r="Q41" s="1155"/>
      <c r="R41" s="1661"/>
      <c r="S41" s="1155"/>
      <c r="T41" s="1155"/>
      <c r="U41" s="540"/>
      <c r="V41" s="1155"/>
      <c r="W41" s="1155"/>
      <c r="X41" s="1155"/>
      <c r="Y41" s="1155"/>
      <c r="Z41" s="1155"/>
      <c r="AA41" s="1657"/>
      <c r="AB41" s="562"/>
      <c r="AC41" s="562"/>
      <c r="AD41" s="562"/>
      <c r="AE41" s="562"/>
    </row>
    <row s="1666" customFormat="1" customHeight="1" ht="11.25">
      <c r="A42" s="982"/>
      <c r="B42" s="1661"/>
      <c r="C42" s="1661"/>
      <c r="D42" s="339"/>
      <c r="K42" s="1155"/>
      <c r="L42" s="1661"/>
      <c r="M42" s="1661"/>
      <c r="N42" s="1155"/>
      <c r="O42" s="1155"/>
      <c r="P42" s="1155"/>
      <c r="Q42" s="1155"/>
      <c r="R42" s="1661"/>
      <c r="S42" s="1155"/>
      <c r="T42" s="1155"/>
      <c r="U42" s="540"/>
      <c r="V42" s="1155"/>
      <c r="W42" s="1155"/>
      <c r="X42" s="1155"/>
      <c r="Y42" s="1155"/>
      <c r="Z42" s="1155"/>
      <c r="AA42" s="1657"/>
      <c r="AB42" s="562"/>
      <c r="AC42" s="562"/>
      <c r="AD42" s="562"/>
      <c r="AE42" s="562"/>
    </row>
    <row s="1666" customFormat="1" customHeight="1" ht="11.25">
      <c r="A43" s="982"/>
      <c r="B43" s="1661"/>
      <c r="C43" s="1661"/>
      <c r="D43" s="339"/>
      <c r="H43" s="562"/>
      <c r="I43" s="562"/>
      <c r="K43" s="1155"/>
      <c r="L43" s="1661"/>
      <c r="M43" s="1661"/>
      <c r="N43" s="1155"/>
      <c r="O43" s="1155"/>
      <c r="P43" s="1155"/>
      <c r="Q43" s="1155"/>
      <c r="R43" s="1661"/>
      <c r="S43" s="1155"/>
      <c r="T43" s="1155"/>
      <c r="U43" s="540"/>
      <c r="V43" s="1155"/>
      <c r="W43" s="1155"/>
      <c r="X43" s="1155"/>
      <c r="Y43" s="1155"/>
      <c r="Z43" s="1155"/>
      <c r="AA43" s="1657"/>
      <c r="AB43" s="562"/>
      <c r="AC43" s="562"/>
      <c r="AD43" s="562"/>
      <c r="AE43" s="562"/>
    </row>
    <row s="1666" customFormat="1" customHeight="1" ht="11.25">
      <c r="A44" s="982"/>
      <c r="B44" s="1661"/>
      <c r="C44" s="1661"/>
      <c r="D44" s="339"/>
      <c r="K44" s="1155"/>
      <c r="L44" s="1661"/>
      <c r="M44" s="1661"/>
      <c r="N44" s="1155"/>
      <c r="O44" s="1155"/>
      <c r="P44" s="1155"/>
      <c r="Q44" s="1155"/>
      <c r="R44" s="1661"/>
      <c r="S44" s="1155"/>
      <c r="T44" s="1155"/>
      <c r="U44" s="540"/>
      <c r="V44" s="1155"/>
      <c r="W44" s="1155"/>
      <c r="X44" s="1155"/>
      <c r="Y44" s="1155"/>
      <c r="Z44" s="1155"/>
      <c r="AA44" s="1657"/>
      <c r="AB44" s="562"/>
      <c r="AC44" s="562"/>
      <c r="AD44" s="562"/>
      <c r="AE44" s="562"/>
    </row>
    <row s="1666" customFormat="1" customHeight="1" ht="11.25">
      <c r="A45" s="982"/>
      <c r="B45" s="1661"/>
      <c r="C45" s="1661"/>
      <c r="D45" s="339"/>
      <c r="K45" s="1155"/>
      <c r="L45" s="1661"/>
      <c r="M45" s="1661"/>
      <c r="N45" s="1155"/>
      <c r="O45" s="1155"/>
      <c r="P45" s="1155"/>
      <c r="Q45" s="1155"/>
      <c r="R45" s="1661"/>
      <c r="S45" s="1155"/>
      <c r="T45" s="1155"/>
      <c r="U45" s="540"/>
      <c r="V45" s="1155"/>
      <c r="W45" s="1155"/>
      <c r="X45" s="1155"/>
      <c r="Y45" s="1155"/>
      <c r="Z45" s="1155"/>
      <c r="AA45" s="1657"/>
      <c r="AB45" s="562"/>
      <c r="AC45" s="562"/>
      <c r="AD45" s="562"/>
      <c r="AE45" s="562"/>
    </row>
    <row s="1666" customFormat="1" customHeight="1" ht="11.25">
      <c r="A46" s="982"/>
      <c r="B46" s="1661"/>
      <c r="C46" s="1661"/>
      <c r="D46" s="339"/>
      <c r="K46" s="1155"/>
      <c r="L46" s="1661"/>
      <c r="M46" s="1661"/>
      <c r="N46" s="1155"/>
      <c r="O46" s="1155"/>
      <c r="P46" s="1155"/>
      <c r="Q46" s="1155"/>
      <c r="R46" s="1661"/>
      <c r="S46" s="1155"/>
      <c r="T46" s="1155"/>
      <c r="U46" s="540"/>
      <c r="V46" s="1155"/>
      <c r="W46" s="1155"/>
      <c r="X46" s="1155"/>
      <c r="Y46" s="1155"/>
      <c r="Z46" s="1155"/>
      <c r="AA46" s="1657"/>
      <c r="AB46" s="562"/>
      <c r="AC46" s="562"/>
      <c r="AD46" s="562"/>
      <c r="AE46" s="562"/>
    </row>
    <row s="1666" customFormat="1" customHeight="1" ht="11.25">
      <c r="A47" s="982"/>
      <c r="B47" s="1661"/>
      <c r="C47" s="1661"/>
      <c r="D47" s="339"/>
      <c r="K47" s="1155"/>
      <c r="L47" s="1661"/>
      <c r="M47" s="1661"/>
      <c r="N47" s="1155"/>
      <c r="O47" s="1155"/>
      <c r="P47" s="1155"/>
      <c r="Q47" s="1155"/>
      <c r="R47" s="1661"/>
      <c r="S47" s="1155"/>
      <c r="T47" s="1155"/>
      <c r="U47" s="540"/>
      <c r="V47" s="1155"/>
      <c r="W47" s="1155"/>
      <c r="X47" s="1155"/>
      <c r="Y47" s="1155"/>
      <c r="Z47" s="1155"/>
      <c r="AA47" s="1657"/>
      <c r="AB47" s="562"/>
      <c r="AC47" s="562"/>
      <c r="AD47" s="562"/>
      <c r="AE47" s="562"/>
    </row>
    <row s="1666" customFormat="1" customHeight="1" ht="11.25">
      <c r="A48" s="982"/>
      <c r="B48" s="1661"/>
      <c r="C48" s="1661"/>
      <c r="D48" s="339"/>
      <c r="K48" s="1155"/>
      <c r="L48" s="1661"/>
      <c r="M48" s="1661"/>
      <c r="N48" s="1155"/>
      <c r="O48" s="1155"/>
      <c r="P48" s="1155"/>
      <c r="Q48" s="1155"/>
      <c r="R48" s="1661"/>
      <c r="S48" s="1155"/>
      <c r="T48" s="1155"/>
      <c r="U48" s="540"/>
      <c r="V48" s="1155"/>
      <c r="W48" s="1155"/>
      <c r="X48" s="1155"/>
      <c r="Y48" s="1155"/>
      <c r="Z48" s="1155"/>
      <c r="AA48" s="1657"/>
      <c r="AB48" s="562"/>
      <c r="AC48" s="562"/>
      <c r="AD48" s="562"/>
      <c r="AE48" s="562"/>
    </row>
    <row s="1666" customFormat="1" customHeight="1" ht="11.25">
      <c r="A49" s="982"/>
      <c r="B49" s="1661"/>
      <c r="C49" s="1661"/>
      <c r="D49" s="339"/>
      <c r="K49" s="1155"/>
      <c r="L49" s="1661"/>
      <c r="M49" s="1661"/>
      <c r="N49" s="1155"/>
      <c r="O49" s="1155"/>
      <c r="P49" s="1155"/>
      <c r="Q49" s="1155"/>
      <c r="R49" s="1661"/>
      <c r="S49" s="1155"/>
      <c r="T49" s="1155"/>
      <c r="U49" s="540"/>
      <c r="V49" s="1155"/>
      <c r="W49" s="1155"/>
      <c r="X49" s="1155"/>
      <c r="Y49" s="1155"/>
      <c r="Z49" s="1155"/>
      <c r="AA49" s="1657"/>
      <c r="AB49" s="562"/>
      <c r="AC49" s="562"/>
      <c r="AD49" s="562"/>
      <c r="AE49" s="562"/>
    </row>
    <row s="1666" customFormat="1" customHeight="1" ht="11.25">
      <c r="A50" s="982"/>
      <c r="B50" s="1661"/>
      <c r="C50" s="1661"/>
      <c r="D50" s="339"/>
      <c r="K50" s="1155"/>
      <c r="L50" s="1661"/>
      <c r="M50" s="1661"/>
      <c r="N50" s="1155"/>
      <c r="O50" s="1155"/>
      <c r="P50" s="1155"/>
      <c r="Q50" s="1155"/>
      <c r="R50" s="1661"/>
      <c r="S50" s="1155"/>
      <c r="T50" s="1155"/>
      <c r="U50" s="540"/>
      <c r="V50" s="1155"/>
      <c r="W50" s="1155"/>
      <c r="X50" s="1155"/>
      <c r="Y50" s="1155"/>
      <c r="Z50" s="1155"/>
      <c r="AA50" s="1657"/>
      <c r="AB50" s="562"/>
      <c r="AC50" s="562"/>
      <c r="AD50" s="562"/>
      <c r="AE50" s="562"/>
    </row>
    <row s="1666" customFormat="1" customHeight="1" ht="11.25">
      <c r="A51" s="982"/>
      <c r="B51" s="1661"/>
      <c r="C51" s="1661"/>
      <c r="D51" s="339"/>
      <c r="K51" s="1155"/>
      <c r="L51" s="1661"/>
      <c r="M51" s="1661"/>
      <c r="N51" s="1155"/>
      <c r="O51" s="1155"/>
      <c r="P51" s="1155"/>
      <c r="Q51" s="1155"/>
      <c r="R51" s="1661"/>
      <c r="S51" s="1155"/>
      <c r="T51" s="1155"/>
      <c r="U51" s="540"/>
      <c r="V51" s="1155"/>
      <c r="W51" s="1155"/>
      <c r="X51" s="1155"/>
      <c r="Y51" s="1155"/>
      <c r="Z51" s="1155"/>
      <c r="AA51" s="1657"/>
      <c r="AB51" s="562"/>
      <c r="AC51" s="562"/>
      <c r="AD51" s="562"/>
      <c r="AE51" s="562"/>
    </row>
    <row s="1666" customFormat="1" customHeight="1" ht="11.25">
      <c r="A52" s="982"/>
      <c r="B52" s="1661"/>
      <c r="C52" s="1661"/>
      <c r="D52" s="339"/>
      <c r="K52" s="1155"/>
      <c r="L52" s="1661"/>
      <c r="M52" s="1661"/>
      <c r="N52" s="1155"/>
      <c r="O52" s="1155"/>
      <c r="P52" s="1155"/>
      <c r="Q52" s="1155"/>
      <c r="R52" s="1661"/>
      <c r="S52" s="1155"/>
      <c r="T52" s="1155"/>
      <c r="U52" s="540"/>
      <c r="V52" s="1155"/>
      <c r="W52" s="1155"/>
      <c r="X52" s="1155"/>
      <c r="Y52" s="1155"/>
      <c r="Z52" s="1155"/>
      <c r="AA52" s="1657"/>
      <c r="AB52" s="562"/>
      <c r="AC52" s="562"/>
      <c r="AD52" s="562"/>
      <c r="AE52" s="562"/>
    </row>
    <row s="1666" customFormat="1" customHeight="1" ht="11.25">
      <c r="A53" s="982"/>
      <c r="B53" s="1661"/>
      <c r="C53" s="1661"/>
      <c r="D53" s="339"/>
      <c r="K53" s="1155"/>
      <c r="L53" s="1661"/>
      <c r="M53" s="1661"/>
      <c r="N53" s="1155"/>
      <c r="O53" s="1155"/>
      <c r="P53" s="1155"/>
      <c r="Q53" s="1155"/>
      <c r="R53" s="1661"/>
      <c r="S53" s="1155"/>
      <c r="T53" s="1155"/>
      <c r="U53" s="540"/>
      <c r="V53" s="1155"/>
      <c r="W53" s="1155"/>
      <c r="X53" s="1155"/>
      <c r="Y53" s="1155"/>
      <c r="Z53" s="1155"/>
      <c r="AA53" s="1657"/>
      <c r="AB53" s="562"/>
      <c r="AC53" s="562"/>
      <c r="AD53" s="562"/>
      <c r="AE53" s="562"/>
    </row>
    <row s="1666" customFormat="1" customHeight="1" ht="11.25">
      <c r="A54" s="982"/>
      <c r="B54" s="1661"/>
      <c r="C54" s="1661"/>
      <c r="D54" s="339"/>
      <c r="K54" s="1155"/>
      <c r="L54" s="1661"/>
      <c r="M54" s="1661"/>
      <c r="N54" s="1155"/>
      <c r="O54" s="1155"/>
      <c r="P54" s="1155"/>
      <c r="Q54" s="1155"/>
      <c r="R54" s="1661"/>
      <c r="S54" s="1155"/>
      <c r="T54" s="1155"/>
      <c r="U54" s="540"/>
      <c r="V54" s="1155"/>
      <c r="W54" s="1155"/>
      <c r="X54" s="1155"/>
      <c r="Y54" s="1155"/>
      <c r="Z54" s="1155"/>
      <c r="AA54" s="1657"/>
      <c r="AB54" s="562"/>
      <c r="AC54" s="562"/>
      <c r="AD54" s="562"/>
      <c r="AE54" s="562"/>
    </row>
    <row s="1666" customFormat="1" customHeight="1" ht="11.25">
      <c r="A55" s="982"/>
      <c r="B55" s="1661"/>
      <c r="C55" s="1661"/>
      <c r="D55" s="339"/>
      <c r="K55" s="1155"/>
      <c r="L55" s="1661"/>
      <c r="M55" s="1661"/>
      <c r="N55" s="1155"/>
      <c r="O55" s="1155"/>
      <c r="P55" s="1155"/>
      <c r="Q55" s="1155"/>
      <c r="R55" s="1661"/>
      <c r="S55" s="1155"/>
      <c r="T55" s="1155"/>
      <c r="U55" s="540"/>
      <c r="V55" s="1155"/>
      <c r="W55" s="1155"/>
      <c r="X55" s="1155"/>
      <c r="Y55" s="1155"/>
      <c r="Z55" s="1155"/>
      <c r="AA55" s="1657"/>
      <c r="AB55" s="562"/>
      <c r="AC55" s="562"/>
      <c r="AD55" s="562"/>
      <c r="AE55" s="562"/>
    </row>
    <row s="1666" customFormat="1" customHeight="1" ht="11.25">
      <c r="A56" s="982"/>
      <c r="B56" s="1661"/>
      <c r="C56" s="1661"/>
      <c r="D56" s="339"/>
      <c r="K56" s="1155"/>
      <c r="L56" s="1661"/>
      <c r="M56" s="1661"/>
      <c r="N56" s="1155"/>
      <c r="O56" s="1155"/>
      <c r="P56" s="1155"/>
      <c r="Q56" s="1155"/>
      <c r="R56" s="1661"/>
      <c r="S56" s="1155"/>
      <c r="T56" s="1155"/>
      <c r="U56" s="540"/>
      <c r="V56" s="1155"/>
      <c r="W56" s="1155"/>
      <c r="X56" s="1155"/>
      <c r="Y56" s="1155"/>
      <c r="Z56" s="1155"/>
      <c r="AA56" s="1657"/>
      <c r="AB56" s="562"/>
      <c r="AC56" s="562"/>
      <c r="AD56" s="562"/>
      <c r="AE56" s="562"/>
    </row>
    <row s="1666" customFormat="1" customHeight="1" ht="11.25">
      <c r="A57" s="982"/>
      <c r="B57" s="1661"/>
      <c r="C57" s="1661"/>
      <c r="D57" s="339"/>
      <c r="K57" s="1155"/>
      <c r="L57" s="1661"/>
      <c r="M57" s="1661"/>
      <c r="N57" s="1155"/>
      <c r="O57" s="1155"/>
      <c r="P57" s="1155"/>
      <c r="Q57" s="1155"/>
      <c r="R57" s="1661"/>
      <c r="S57" s="1155"/>
      <c r="T57" s="1155"/>
      <c r="U57" s="540"/>
      <c r="V57" s="1155"/>
      <c r="W57" s="1155"/>
      <c r="X57" s="1155"/>
      <c r="Y57" s="1155"/>
      <c r="Z57" s="1155"/>
      <c r="AA57" s="1657"/>
      <c r="AB57" s="562"/>
      <c r="AC57" s="562"/>
      <c r="AD57" s="562"/>
      <c r="AE57" s="562"/>
    </row>
    <row s="1666" customFormat="1" customHeight="1" ht="11.25">
      <c r="A58" s="982"/>
      <c r="B58" s="1661"/>
      <c r="C58" s="1661"/>
      <c r="D58" s="339"/>
      <c r="K58" s="1155"/>
      <c r="L58" s="1661"/>
      <c r="M58" s="1661"/>
      <c r="N58" s="1155"/>
      <c r="O58" s="1155"/>
      <c r="P58" s="1155"/>
      <c r="Q58" s="1155"/>
      <c r="R58" s="1661"/>
      <c r="S58" s="1155"/>
      <c r="T58" s="1155"/>
      <c r="U58" s="540"/>
      <c r="V58" s="1155"/>
      <c r="W58" s="1155"/>
      <c r="X58" s="1155"/>
      <c r="Y58" s="1155"/>
      <c r="Z58" s="1155"/>
      <c r="AA58" s="1657"/>
      <c r="AB58" s="562"/>
      <c r="AC58" s="562"/>
      <c r="AD58" s="562"/>
      <c r="AE58" s="562"/>
    </row>
    <row s="1666" customFormat="1" customHeight="1" ht="11.25">
      <c r="A59" s="982"/>
      <c r="B59" s="1661"/>
      <c r="C59" s="1661"/>
      <c r="D59" s="339"/>
      <c r="K59" s="1155"/>
      <c r="L59" s="1661"/>
      <c r="M59" s="1661"/>
      <c r="N59" s="1155"/>
      <c r="O59" s="1155"/>
      <c r="P59" s="1155"/>
      <c r="Q59" s="1155"/>
      <c r="R59" s="1661"/>
      <c r="S59" s="1155"/>
      <c r="T59" s="1155"/>
      <c r="U59" s="540"/>
      <c r="V59" s="1155"/>
      <c r="W59" s="1155"/>
      <c r="X59" s="1155"/>
      <c r="Y59" s="1155"/>
      <c r="Z59" s="1155"/>
      <c r="AA59" s="1657"/>
      <c r="AB59" s="562"/>
      <c r="AC59" s="562"/>
      <c r="AD59" s="562"/>
      <c r="AE59" s="562"/>
    </row>
    <row s="1666" customFormat="1" customHeight="1" ht="11.25">
      <c r="A60" s="982"/>
      <c r="B60" s="1661"/>
      <c r="C60" s="1661"/>
      <c r="D60" s="339"/>
      <c r="K60" s="1155"/>
      <c r="L60" s="1661"/>
      <c r="M60" s="1661"/>
      <c r="N60" s="1155"/>
      <c r="O60" s="1155"/>
      <c r="P60" s="1155"/>
      <c r="Q60" s="1155"/>
      <c r="R60" s="1661"/>
      <c r="S60" s="1155"/>
      <c r="T60" s="1155"/>
      <c r="U60" s="540"/>
      <c r="V60" s="1155"/>
      <c r="W60" s="1155"/>
      <c r="X60" s="1155"/>
      <c r="Y60" s="1155"/>
      <c r="Z60" s="1155"/>
      <c r="AA60" s="1657"/>
      <c r="AB60" s="562"/>
      <c r="AC60" s="562"/>
      <c r="AD60" s="562"/>
      <c r="AE60" s="562"/>
    </row>
    <row s="1666" customFormat="1" customHeight="1" ht="11.25">
      <c r="A61" s="982"/>
      <c r="B61" s="1661"/>
      <c r="C61" s="1661"/>
      <c r="D61" s="339"/>
      <c r="K61" s="1155"/>
      <c r="L61" s="1661"/>
      <c r="M61" s="1661"/>
      <c r="N61" s="1155"/>
      <c r="O61" s="1155"/>
      <c r="P61" s="1155"/>
      <c r="Q61" s="1155"/>
      <c r="R61" s="1661"/>
      <c r="S61" s="1155"/>
      <c r="T61" s="1155"/>
      <c r="U61" s="540"/>
      <c r="V61" s="1155"/>
      <c r="W61" s="1155"/>
      <c r="X61" s="1155"/>
      <c r="Y61" s="1155"/>
      <c r="Z61" s="1155"/>
      <c r="AA61" s="1657"/>
      <c r="AB61" s="562"/>
      <c r="AC61" s="562"/>
      <c r="AD61" s="562"/>
      <c r="AE61" s="562"/>
    </row>
    <row s="1666" customFormat="1" customHeight="1" ht="11.25">
      <c r="A62" s="982"/>
      <c r="B62" s="1661"/>
      <c r="C62" s="1661"/>
      <c r="D62" s="339"/>
      <c r="K62" s="1155"/>
      <c r="L62" s="1661"/>
      <c r="M62" s="1661"/>
      <c r="N62" s="1155"/>
      <c r="O62" s="1155"/>
      <c r="P62" s="1155"/>
      <c r="Q62" s="1155"/>
      <c r="R62" s="1661"/>
      <c r="S62" s="1155"/>
      <c r="T62" s="1155"/>
      <c r="U62" s="540"/>
      <c r="V62" s="1155"/>
      <c r="W62" s="1155"/>
      <c r="X62" s="1155"/>
      <c r="Y62" s="1155"/>
      <c r="Z62" s="1155"/>
      <c r="AA62" s="1657"/>
      <c r="AB62" s="562"/>
      <c r="AC62" s="562"/>
      <c r="AD62" s="562"/>
      <c r="AE62" s="562"/>
    </row>
    <row s="1666" customFormat="1" customHeight="1" ht="11.25">
      <c r="A63" s="982"/>
      <c r="B63" s="1661"/>
      <c r="C63" s="1661"/>
      <c r="D63" s="339"/>
      <c r="K63" s="1155"/>
      <c r="L63" s="1661"/>
      <c r="M63" s="1661"/>
      <c r="N63" s="1155"/>
      <c r="O63" s="1155"/>
      <c r="P63" s="1155"/>
      <c r="Q63" s="1155"/>
      <c r="R63" s="1661"/>
      <c r="S63" s="1155"/>
      <c r="T63" s="1155"/>
      <c r="U63" s="540"/>
      <c r="V63" s="1155"/>
      <c r="W63" s="1155"/>
      <c r="X63" s="1155"/>
      <c r="Y63" s="1155"/>
      <c r="Z63" s="1155"/>
      <c r="AA63" s="1657"/>
      <c r="AB63" s="562"/>
      <c r="AC63" s="562"/>
      <c r="AD63" s="562"/>
      <c r="AE63" s="562"/>
    </row>
    <row s="1666" customFormat="1" customHeight="1" ht="11.25">
      <c r="A64" s="982"/>
      <c r="B64" s="1661"/>
      <c r="C64" s="1661"/>
      <c r="D64" s="339"/>
      <c r="K64" s="1155"/>
      <c r="L64" s="1661"/>
      <c r="M64" s="1661"/>
      <c r="N64" s="1155"/>
      <c r="O64" s="1155"/>
      <c r="P64" s="1155"/>
      <c r="Q64" s="1155"/>
      <c r="R64" s="1661"/>
      <c r="S64" s="1155"/>
      <c r="T64" s="1155"/>
      <c r="U64" s="540"/>
      <c r="V64" s="1155"/>
      <c r="W64" s="1155"/>
      <c r="X64" s="1155"/>
      <c r="Y64" s="1155"/>
      <c r="Z64" s="1155"/>
      <c r="AA64" s="1657"/>
      <c r="AB64" s="562"/>
      <c r="AC64" s="562"/>
      <c r="AD64" s="562"/>
      <c r="AE64" s="562"/>
    </row>
    <row s="1666" customFormat="1" customHeight="1" ht="11.25">
      <c r="A65" s="982"/>
      <c r="B65" s="1661"/>
      <c r="C65" s="1661"/>
      <c r="D65" s="339"/>
      <c r="K65" s="1155"/>
      <c r="L65" s="1661"/>
      <c r="M65" s="1661"/>
      <c r="N65" s="1155"/>
      <c r="O65" s="1155"/>
      <c r="P65" s="1155"/>
      <c r="Q65" s="1155"/>
      <c r="R65" s="1661"/>
      <c r="S65" s="1155"/>
      <c r="T65" s="1155"/>
      <c r="U65" s="540"/>
      <c r="V65" s="1155"/>
      <c r="W65" s="1155"/>
      <c r="X65" s="1155"/>
      <c r="Y65" s="1155"/>
      <c r="Z65" s="1155"/>
      <c r="AA65" s="1657"/>
      <c r="AB65" s="562"/>
      <c r="AC65" s="562"/>
      <c r="AD65" s="562"/>
      <c r="AE65" s="562"/>
    </row>
    <row s="1666" customFormat="1" customHeight="1" ht="11.25">
      <c r="A66" s="982"/>
      <c r="B66" s="1661"/>
      <c r="C66" s="1661"/>
      <c r="D66" s="339"/>
      <c r="K66" s="1155"/>
      <c r="L66" s="1661"/>
      <c r="M66" s="1661"/>
      <c r="N66" s="1155"/>
      <c r="O66" s="1155"/>
      <c r="P66" s="1155"/>
      <c r="Q66" s="1155"/>
      <c r="R66" s="1661"/>
      <c r="S66" s="1155"/>
      <c r="T66" s="1155"/>
      <c r="U66" s="540"/>
      <c r="V66" s="1155"/>
      <c r="W66" s="1155"/>
      <c r="X66" s="1155"/>
      <c r="Y66" s="1155"/>
      <c r="Z66" s="1155"/>
      <c r="AA66" s="1657"/>
      <c r="AB66" s="562"/>
      <c r="AC66" s="562"/>
      <c r="AD66" s="562"/>
      <c r="AE66" s="562"/>
    </row>
    <row s="1666" customFormat="1" customHeight="1" ht="11.25">
      <c r="A67" s="982"/>
      <c r="B67" s="1661"/>
      <c r="C67" s="1661"/>
      <c r="D67" s="339"/>
      <c r="K67" s="1155"/>
      <c r="L67" s="1661"/>
      <c r="M67" s="1661"/>
      <c r="N67" s="1155"/>
      <c r="O67" s="1155"/>
      <c r="P67" s="1155"/>
      <c r="Q67" s="1155"/>
      <c r="R67" s="1661"/>
      <c r="S67" s="1155"/>
      <c r="T67" s="1155"/>
      <c r="U67" s="540"/>
      <c r="V67" s="1155"/>
      <c r="W67" s="1155"/>
      <c r="X67" s="1155"/>
      <c r="Y67" s="1155"/>
      <c r="Z67" s="1155"/>
      <c r="AA67" s="1657"/>
      <c r="AB67" s="562"/>
      <c r="AC67" s="562"/>
      <c r="AD67" s="562"/>
      <c r="AE67" s="562"/>
    </row>
    <row s="1666" customFormat="1" customHeight="1" ht="11.25">
      <c r="A68" s="982"/>
      <c r="B68" s="1661"/>
      <c r="C68" s="1661"/>
      <c r="D68" s="339"/>
      <c r="K68" s="1155"/>
      <c r="L68" s="1661"/>
      <c r="M68" s="1661"/>
      <c r="N68" s="1155"/>
      <c r="O68" s="1155"/>
      <c r="P68" s="1155"/>
      <c r="Q68" s="1155"/>
      <c r="R68" s="1661"/>
      <c r="S68" s="1155"/>
      <c r="T68" s="1155"/>
      <c r="U68" s="540"/>
      <c r="V68" s="1155"/>
      <c r="W68" s="1155"/>
      <c r="X68" s="1155"/>
      <c r="Y68" s="1155"/>
      <c r="Z68" s="1155"/>
      <c r="AA68" s="1657"/>
      <c r="AB68" s="562"/>
      <c r="AC68" s="562"/>
      <c r="AD68" s="562"/>
      <c r="AE68" s="562"/>
    </row>
    <row s="1666" customFormat="1" customHeight="1" ht="11.25">
      <c r="A69" s="982"/>
      <c r="B69" s="1661"/>
      <c r="C69" s="1661"/>
      <c r="D69" s="339"/>
      <c r="K69" s="1155"/>
      <c r="L69" s="1661"/>
      <c r="M69" s="1661"/>
      <c r="N69" s="1155"/>
      <c r="O69" s="1155"/>
      <c r="P69" s="1155"/>
      <c r="Q69" s="1155"/>
      <c r="R69" s="1661"/>
      <c r="S69" s="1155"/>
      <c r="T69" s="1155"/>
      <c r="U69" s="540"/>
      <c r="V69" s="1155"/>
      <c r="W69" s="1155"/>
      <c r="X69" s="1155"/>
      <c r="Y69" s="1155"/>
      <c r="Z69" s="1155"/>
      <c r="AA69" s="1657"/>
      <c r="AB69" s="562"/>
      <c r="AC69" s="562"/>
      <c r="AD69" s="562"/>
      <c r="AE69" s="562"/>
    </row>
    <row s="1666" customFormat="1" customHeight="1" ht="11.25">
      <c r="A70" s="982"/>
      <c r="B70" s="1661"/>
      <c r="C70" s="1661"/>
      <c r="D70" s="339"/>
      <c r="K70" s="1155"/>
      <c r="L70" s="1661"/>
      <c r="M70" s="1661"/>
      <c r="N70" s="1155"/>
      <c r="O70" s="1155"/>
      <c r="P70" s="1155"/>
      <c r="Q70" s="1155"/>
      <c r="R70" s="1661"/>
      <c r="S70" s="1155"/>
      <c r="T70" s="1155"/>
      <c r="U70" s="540"/>
      <c r="V70" s="1155"/>
      <c r="W70" s="1155"/>
      <c r="X70" s="1155"/>
      <c r="Y70" s="1155"/>
      <c r="Z70" s="1155"/>
      <c r="AA70" s="1657"/>
      <c r="AB70" s="562"/>
      <c r="AC70" s="562"/>
      <c r="AD70" s="562"/>
      <c r="AE70" s="562"/>
    </row>
    <row s="1666" customFormat="1" customHeight="1" ht="11.25">
      <c r="A71" s="982"/>
      <c r="B71" s="1661"/>
      <c r="C71" s="1661"/>
      <c r="D71" s="339"/>
      <c r="K71" s="1155"/>
      <c r="L71" s="1661"/>
      <c r="M71" s="1661"/>
      <c r="N71" s="1155"/>
      <c r="O71" s="1155"/>
      <c r="P71" s="1155"/>
      <c r="Q71" s="1155"/>
      <c r="R71" s="1661"/>
      <c r="S71" s="1155"/>
      <c r="T71" s="1155"/>
      <c r="U71" s="540"/>
      <c r="V71" s="1155"/>
      <c r="W71" s="1155"/>
      <c r="X71" s="1155"/>
      <c r="Y71" s="1155"/>
      <c r="Z71" s="1155"/>
      <c r="AA71" s="1657"/>
      <c r="AB71" s="562"/>
      <c r="AC71" s="562"/>
      <c r="AD71" s="562"/>
      <c r="AE71" s="562"/>
    </row>
    <row s="1666" customFormat="1" customHeight="1" ht="11.25">
      <c r="A72" s="982"/>
      <c r="B72" s="1661"/>
      <c r="C72" s="1661"/>
      <c r="D72" s="339"/>
      <c r="K72" s="1155"/>
      <c r="L72" s="1661"/>
      <c r="M72" s="1661"/>
      <c r="N72" s="1155"/>
      <c r="O72" s="1155"/>
      <c r="P72" s="1155"/>
      <c r="Q72" s="1155"/>
      <c r="R72" s="1661"/>
      <c r="S72" s="1155"/>
      <c r="T72" s="1155"/>
      <c r="U72" s="540"/>
      <c r="V72" s="1155"/>
      <c r="W72" s="1155"/>
      <c r="X72" s="1155"/>
      <c r="Y72" s="1155"/>
      <c r="Z72" s="1155"/>
      <c r="AA72" s="1657"/>
      <c r="AB72" s="562"/>
      <c r="AC72" s="562"/>
      <c r="AD72" s="562"/>
      <c r="AE72" s="562"/>
    </row>
    <row s="1666" customFormat="1" customHeight="1" ht="11.25">
      <c r="A73" s="982"/>
      <c r="B73" s="1661"/>
      <c r="C73" s="1661"/>
      <c r="D73" s="339"/>
      <c r="K73" s="1155"/>
      <c r="L73" s="1661"/>
      <c r="M73" s="1661"/>
      <c r="N73" s="1155"/>
      <c r="O73" s="1155"/>
      <c r="P73" s="1155"/>
      <c r="Q73" s="1155"/>
      <c r="R73" s="1661"/>
      <c r="S73" s="1155"/>
      <c r="T73" s="1155"/>
      <c r="U73" s="540"/>
      <c r="V73" s="1155"/>
      <c r="W73" s="1155"/>
      <c r="X73" s="1155"/>
      <c r="Y73" s="1155"/>
      <c r="Z73" s="1155"/>
      <c r="AA73" s="1657"/>
      <c r="AB73" s="562"/>
      <c r="AC73" s="562"/>
      <c r="AD73" s="562"/>
      <c r="AE73" s="562"/>
    </row>
    <row s="1666" customFormat="1" customHeight="1" ht="11.25">
      <c r="A74" s="982"/>
      <c r="B74" s="1661"/>
      <c r="C74" s="1661"/>
      <c r="D74" s="339"/>
      <c r="K74" s="1155"/>
      <c r="L74" s="1661"/>
      <c r="M74" s="1661"/>
      <c r="N74" s="1155"/>
      <c r="O74" s="1155"/>
      <c r="P74" s="1155"/>
      <c r="Q74" s="1155"/>
      <c r="R74" s="1661"/>
      <c r="S74" s="1155"/>
      <c r="T74" s="1155"/>
      <c r="U74" s="540"/>
      <c r="V74" s="1155"/>
      <c r="W74" s="1155"/>
      <c r="X74" s="1155"/>
      <c r="Y74" s="1155"/>
      <c r="Z74" s="1155"/>
      <c r="AA74" s="1657"/>
      <c r="AB74" s="562"/>
      <c r="AC74" s="562"/>
      <c r="AD74" s="562"/>
      <c r="AE74" s="562"/>
    </row>
    <row s="1666" customFormat="1" customHeight="1" ht="11.25">
      <c r="A75" s="982"/>
      <c r="B75" s="1661"/>
      <c r="C75" s="1661"/>
      <c r="D75" s="339"/>
      <c r="K75" s="1155"/>
      <c r="L75" s="1661"/>
      <c r="M75" s="1661"/>
      <c r="N75" s="1155"/>
      <c r="O75" s="1155"/>
      <c r="P75" s="1155"/>
      <c r="Q75" s="1155"/>
      <c r="R75" s="1661"/>
      <c r="S75" s="1155"/>
      <c r="T75" s="1155"/>
      <c r="U75" s="540"/>
      <c r="V75" s="1155"/>
      <c r="W75" s="1155"/>
      <c r="X75" s="1155"/>
      <c r="Y75" s="1155"/>
      <c r="Z75" s="1155"/>
      <c r="AA75" s="1657"/>
      <c r="AB75" s="562"/>
      <c r="AC75" s="562"/>
      <c r="AD75" s="562"/>
      <c r="AE75" s="562"/>
    </row>
    <row s="1666" customFormat="1" customHeight="1" ht="11.25">
      <c r="A76" s="982"/>
      <c r="B76" s="1661"/>
      <c r="C76" s="1661"/>
      <c r="D76" s="339"/>
      <c r="K76" s="1155"/>
      <c r="L76" s="1661"/>
      <c r="M76" s="1661"/>
      <c r="N76" s="1155"/>
      <c r="O76" s="1155"/>
      <c r="P76" s="1155"/>
      <c r="Q76" s="1155"/>
      <c r="R76" s="1661"/>
      <c r="S76" s="1155"/>
      <c r="T76" s="1155"/>
      <c r="U76" s="540"/>
      <c r="V76" s="1155"/>
      <c r="W76" s="1155"/>
      <c r="X76" s="1155"/>
      <c r="Y76" s="1155"/>
      <c r="Z76" s="1155"/>
      <c r="AA76" s="1657"/>
      <c r="AB76" s="562"/>
      <c r="AC76" s="562"/>
      <c r="AD76" s="562"/>
      <c r="AE76" s="562"/>
    </row>
    <row s="1666" customFormat="1" customHeight="1" ht="11.25">
      <c r="A77" s="982"/>
      <c r="B77" s="1661"/>
      <c r="C77" s="1661"/>
      <c r="D77" s="339"/>
      <c r="K77" s="1155"/>
      <c r="L77" s="1661"/>
      <c r="M77" s="1661"/>
      <c r="N77" s="1155"/>
      <c r="O77" s="1155"/>
      <c r="P77" s="1155"/>
      <c r="Q77" s="1155"/>
      <c r="R77" s="1661"/>
      <c r="S77" s="1155"/>
      <c r="T77" s="1155"/>
      <c r="U77" s="540"/>
      <c r="V77" s="1155"/>
      <c r="W77" s="1155"/>
      <c r="X77" s="1155"/>
      <c r="Y77" s="1155"/>
      <c r="Z77" s="1155"/>
      <c r="AA77" s="1657"/>
      <c r="AB77" s="562"/>
      <c r="AC77" s="562"/>
      <c r="AD77" s="562"/>
      <c r="AE77" s="562"/>
    </row>
    <row s="1666" customFormat="1" customHeight="1" ht="11.25">
      <c r="A78" s="982"/>
      <c r="B78" s="1661"/>
      <c r="C78" s="1661"/>
      <c r="D78" s="339"/>
      <c r="K78" s="1155"/>
      <c r="L78" s="1661"/>
      <c r="M78" s="1661"/>
      <c r="N78" s="1155"/>
      <c r="O78" s="1155"/>
      <c r="P78" s="1155"/>
      <c r="Q78" s="1155"/>
      <c r="R78" s="1661"/>
      <c r="S78" s="1155"/>
      <c r="T78" s="1155"/>
      <c r="U78" s="540"/>
      <c r="V78" s="1155"/>
      <c r="W78" s="1155"/>
      <c r="X78" s="1155"/>
      <c r="Y78" s="1155"/>
      <c r="Z78" s="1155"/>
      <c r="AA78" s="1657"/>
      <c r="AB78" s="562"/>
      <c r="AC78" s="562"/>
      <c r="AD78" s="562"/>
      <c r="AE78" s="562"/>
    </row>
    <row s="1666" customFormat="1" customHeight="1" ht="11.25">
      <c r="A79" s="982"/>
      <c r="B79" s="1661"/>
      <c r="C79" s="1661"/>
      <c r="D79" s="339"/>
      <c r="K79" s="1155"/>
      <c r="L79" s="1661"/>
      <c r="M79" s="1661"/>
      <c r="N79" s="1155"/>
      <c r="O79" s="1155"/>
      <c r="P79" s="1155"/>
      <c r="Q79" s="1155"/>
      <c r="R79" s="1661"/>
      <c r="S79" s="1155"/>
      <c r="T79" s="1155"/>
      <c r="U79" s="540"/>
      <c r="V79" s="1155"/>
      <c r="W79" s="1155"/>
      <c r="X79" s="1155"/>
      <c r="Y79" s="1155"/>
      <c r="Z79" s="1155"/>
      <c r="AA79" s="1657"/>
      <c r="AB79" s="562"/>
      <c r="AC79" s="562"/>
      <c r="AD79" s="562"/>
      <c r="AE79" s="562"/>
    </row>
    <row s="1666" customFormat="1" customHeight="1" ht="11.25">
      <c r="A80" s="982"/>
      <c r="B80" s="1661"/>
      <c r="C80" s="1661"/>
      <c r="D80" s="339"/>
      <c r="K80" s="1155"/>
      <c r="L80" s="1661"/>
      <c r="M80" s="1661"/>
      <c r="N80" s="1155"/>
      <c r="O80" s="1155"/>
      <c r="P80" s="1155"/>
      <c r="Q80" s="1155"/>
      <c r="R80" s="1661"/>
      <c r="S80" s="1155"/>
      <c r="T80" s="1155"/>
      <c r="U80" s="540"/>
      <c r="V80" s="1155"/>
      <c r="W80" s="1155"/>
      <c r="X80" s="1155"/>
      <c r="Y80" s="1155"/>
      <c r="Z80" s="1155"/>
      <c r="AA80" s="1657"/>
      <c r="AB80" s="562"/>
      <c r="AC80" s="562"/>
      <c r="AD80" s="562"/>
      <c r="AE80" s="562"/>
    </row>
    <row s="1666" customFormat="1" customHeight="1" ht="11.25">
      <c r="A81" s="982"/>
      <c r="B81" s="1661"/>
      <c r="C81" s="1661"/>
      <c r="D81" s="339"/>
      <c r="K81" s="1155"/>
      <c r="L81" s="1661"/>
      <c r="M81" s="1661"/>
      <c r="N81" s="1155"/>
      <c r="O81" s="1155"/>
      <c r="P81" s="1155"/>
      <c r="Q81" s="1155"/>
      <c r="R81" s="1661"/>
      <c r="S81" s="1155"/>
      <c r="T81" s="1155"/>
      <c r="U81" s="540"/>
      <c r="V81" s="1155"/>
      <c r="W81" s="1155"/>
      <c r="X81" s="1155"/>
      <c r="Y81" s="1155"/>
      <c r="Z81" s="1155"/>
      <c r="AA81" s="1657"/>
      <c r="AB81" s="562"/>
      <c r="AC81" s="562"/>
      <c r="AD81" s="562"/>
      <c r="AE81" s="562"/>
    </row>
    <row s="1666" customFormat="1" customHeight="1" ht="11.25">
      <c r="A82" s="982"/>
      <c r="B82" s="1661"/>
      <c r="C82" s="1661"/>
      <c r="D82" s="339"/>
      <c r="K82" s="1155"/>
      <c r="L82" s="1661"/>
      <c r="M82" s="1661"/>
      <c r="N82" s="1155"/>
      <c r="O82" s="1155"/>
      <c r="P82" s="1155"/>
      <c r="Q82" s="1155"/>
      <c r="R82" s="1661"/>
      <c r="S82" s="1155"/>
      <c r="T82" s="1155"/>
      <c r="U82" s="540"/>
      <c r="V82" s="1155"/>
      <c r="W82" s="1155"/>
      <c r="X82" s="1155"/>
      <c r="Y82" s="1155"/>
      <c r="Z82" s="1155"/>
      <c r="AA82" s="1657"/>
      <c r="AB82" s="562"/>
      <c r="AC82" s="562"/>
      <c r="AD82" s="562"/>
      <c r="AE82" s="562"/>
    </row>
    <row s="1666" customFormat="1" customHeight="1" ht="11.25">
      <c r="A83" s="982"/>
      <c r="B83" s="1661"/>
      <c r="C83" s="1661"/>
      <c r="D83" s="339"/>
      <c r="K83" s="1155"/>
      <c r="L83" s="1661"/>
      <c r="M83" s="1661"/>
      <c r="N83" s="1155"/>
      <c r="O83" s="1155"/>
      <c r="P83" s="1155"/>
      <c r="Q83" s="1155"/>
      <c r="R83" s="1661"/>
      <c r="S83" s="1155"/>
      <c r="T83" s="1155"/>
      <c r="U83" s="540"/>
      <c r="V83" s="1155"/>
      <c r="W83" s="1155"/>
      <c r="X83" s="1155"/>
      <c r="Y83" s="1155"/>
      <c r="Z83" s="1155"/>
      <c r="AA83" s="1657"/>
      <c r="AB83" s="562"/>
      <c r="AC83" s="562"/>
      <c r="AD83" s="562"/>
      <c r="AE83" s="562"/>
    </row>
    <row s="1666" customFormat="1" customHeight="1" ht="11.25">
      <c r="A84" s="982"/>
      <c r="B84" s="1661"/>
      <c r="C84" s="1661"/>
      <c r="D84" s="339"/>
      <c r="K84" s="1155"/>
      <c r="L84" s="1661"/>
      <c r="M84" s="1661"/>
      <c r="N84" s="1155"/>
      <c r="O84" s="1155"/>
      <c r="P84" s="1155"/>
      <c r="Q84" s="1155"/>
      <c r="R84" s="1661"/>
      <c r="S84" s="1155"/>
      <c r="T84" s="1155"/>
      <c r="U84" s="540"/>
      <c r="V84" s="1155"/>
      <c r="W84" s="1155"/>
      <c r="X84" s="1155"/>
      <c r="Y84" s="1155"/>
      <c r="Z84" s="1155"/>
      <c r="AA84" s="1657"/>
      <c r="AB84" s="562"/>
      <c r="AC84" s="562"/>
      <c r="AD84" s="562"/>
      <c r="AE84" s="562"/>
    </row>
    <row s="1666" customFormat="1" customHeight="1" ht="11.25">
      <c r="A85" s="982"/>
      <c r="B85" s="1661"/>
      <c r="C85" s="1661"/>
      <c r="D85" s="339"/>
      <c r="K85" s="1155"/>
      <c r="L85" s="1661"/>
      <c r="M85" s="1661"/>
      <c r="N85" s="1155"/>
      <c r="O85" s="1155"/>
      <c r="P85" s="1155"/>
      <c r="Q85" s="1155"/>
      <c r="R85" s="1661"/>
      <c r="S85" s="1155"/>
      <c r="T85" s="1155"/>
      <c r="U85" s="540"/>
      <c r="V85" s="1155"/>
      <c r="W85" s="1155"/>
      <c r="X85" s="1155"/>
      <c r="Y85" s="1155"/>
      <c r="Z85" s="1155"/>
      <c r="AA85" s="1657"/>
      <c r="AB85" s="562"/>
      <c r="AC85" s="562"/>
      <c r="AD85" s="562"/>
      <c r="AE85" s="562"/>
    </row>
    <row s="1666" customFormat="1" customHeight="1" ht="11.25">
      <c r="A86" s="982"/>
      <c r="B86" s="1661"/>
      <c r="C86" s="1661"/>
      <c r="D86" s="339"/>
      <c r="K86" s="1155"/>
      <c r="L86" s="1661"/>
      <c r="M86" s="1661"/>
      <c r="N86" s="1155"/>
      <c r="O86" s="1155"/>
      <c r="P86" s="1155"/>
      <c r="Q86" s="1155"/>
      <c r="R86" s="1661"/>
      <c r="S86" s="1155"/>
      <c r="T86" s="1155"/>
      <c r="U86" s="540"/>
      <c r="V86" s="1155"/>
      <c r="W86" s="1155"/>
      <c r="X86" s="1155"/>
      <c r="Y86" s="1155"/>
      <c r="Z86" s="1155"/>
      <c r="AA86" s="1657"/>
      <c r="AB86" s="562"/>
      <c r="AC86" s="562"/>
      <c r="AD86" s="562"/>
      <c r="AE86" s="562"/>
    </row>
    <row s="1666" customFormat="1" customHeight="1" ht="11.25">
      <c r="A87" s="982"/>
      <c r="B87" s="1661"/>
      <c r="C87" s="1661"/>
      <c r="D87" s="339"/>
      <c r="K87" s="1155"/>
      <c r="L87" s="1661"/>
      <c r="M87" s="1661"/>
      <c r="N87" s="1155"/>
      <c r="O87" s="1155"/>
      <c r="P87" s="1155"/>
      <c r="Q87" s="1155"/>
      <c r="R87" s="1661"/>
      <c r="S87" s="1155"/>
      <c r="T87" s="1155"/>
      <c r="U87" s="540"/>
      <c r="V87" s="1155"/>
      <c r="W87" s="1155"/>
      <c r="X87" s="1155"/>
      <c r="Y87" s="1155"/>
      <c r="Z87" s="1155"/>
      <c r="AA87" s="1657"/>
      <c r="AB87" s="562"/>
      <c r="AC87" s="562"/>
      <c r="AD87" s="562"/>
      <c r="AE87" s="562"/>
    </row>
    <row s="1666" customFormat="1" customHeight="1" ht="11.25">
      <c r="A88" s="982"/>
      <c r="B88" s="1661"/>
      <c r="C88" s="1661"/>
      <c r="D88" s="339"/>
      <c r="K88" s="1155"/>
      <c r="L88" s="1661"/>
      <c r="M88" s="1661"/>
      <c r="N88" s="1155"/>
      <c r="O88" s="1155"/>
      <c r="P88" s="1155"/>
      <c r="Q88" s="1155"/>
      <c r="R88" s="1661"/>
      <c r="S88" s="1155"/>
      <c r="T88" s="1155"/>
      <c r="U88" s="540"/>
      <c r="V88" s="1155"/>
      <c r="W88" s="1155"/>
      <c r="X88" s="1155"/>
      <c r="Y88" s="1155"/>
      <c r="Z88" s="1155"/>
      <c r="AA88" s="1657"/>
      <c r="AB88" s="562"/>
      <c r="AC88" s="562"/>
      <c r="AD88" s="562"/>
      <c r="AE88" s="562"/>
    </row>
    <row s="1666" customFormat="1" customHeight="1" ht="11.25">
      <c r="A89" s="982"/>
      <c r="B89" s="1661"/>
      <c r="C89" s="1661"/>
      <c r="D89" s="339"/>
      <c r="K89" s="1155"/>
      <c r="L89" s="1661"/>
      <c r="M89" s="1661"/>
      <c r="N89" s="1155"/>
      <c r="O89" s="1155"/>
      <c r="P89" s="1155"/>
      <c r="Q89" s="1155"/>
      <c r="R89" s="1661"/>
      <c r="S89" s="1155"/>
      <c r="T89" s="1155"/>
      <c r="U89" s="540"/>
      <c r="V89" s="1155"/>
      <c r="W89" s="1155"/>
      <c r="X89" s="1155"/>
      <c r="Y89" s="1155"/>
      <c r="Z89" s="1155"/>
      <c r="AA89" s="1657"/>
      <c r="AB89" s="562"/>
      <c r="AC89" s="562"/>
      <c r="AD89" s="562"/>
      <c r="AE89" s="562"/>
    </row>
    <row s="1666" customFormat="1" customHeight="1" ht="11.25">
      <c r="A90" s="982"/>
      <c r="B90" s="1661"/>
      <c r="C90" s="1661"/>
      <c r="D90" s="339"/>
      <c r="K90" s="1155"/>
      <c r="L90" s="1661"/>
      <c r="M90" s="1661"/>
      <c r="N90" s="1155"/>
      <c r="O90" s="1155"/>
      <c r="P90" s="1155"/>
      <c r="Q90" s="1155"/>
      <c r="R90" s="1661"/>
      <c r="S90" s="1155"/>
      <c r="T90" s="1155"/>
      <c r="U90" s="540"/>
      <c r="V90" s="1155"/>
      <c r="W90" s="1155"/>
      <c r="X90" s="1155"/>
      <c r="Y90" s="1155"/>
      <c r="Z90" s="1155"/>
      <c r="AA90" s="1657"/>
      <c r="AB90" s="562"/>
      <c r="AC90" s="562"/>
      <c r="AD90" s="562"/>
      <c r="AE90" s="562"/>
    </row>
    <row s="1666" customFormat="1" customHeight="1" ht="11.25">
      <c r="A91" s="982"/>
      <c r="B91" s="1661"/>
      <c r="C91" s="1661"/>
      <c r="D91" s="339"/>
      <c r="K91" s="1155"/>
      <c r="L91" s="1661"/>
      <c r="M91" s="1661"/>
      <c r="N91" s="1155"/>
      <c r="O91" s="1155"/>
      <c r="P91" s="1155"/>
      <c r="Q91" s="1155"/>
      <c r="R91" s="1661"/>
      <c r="S91" s="1155"/>
      <c r="T91" s="1155"/>
      <c r="U91" s="540"/>
      <c r="V91" s="1155"/>
      <c r="W91" s="1155"/>
      <c r="X91" s="1155"/>
      <c r="Y91" s="1155"/>
      <c r="Z91" s="1155"/>
      <c r="AA91" s="1657"/>
      <c r="AB91" s="562"/>
      <c r="AC91" s="562"/>
      <c r="AD91" s="562"/>
      <c r="AE91" s="562"/>
    </row>
    <row s="1666" customFormat="1" customHeight="1" ht="11.25">
      <c r="A92" s="982"/>
      <c r="B92" s="1661"/>
      <c r="C92" s="1661"/>
      <c r="D92" s="339"/>
      <c r="K92" s="1155"/>
      <c r="L92" s="1661"/>
      <c r="M92" s="1661"/>
      <c r="N92" s="1155"/>
      <c r="O92" s="1155"/>
      <c r="P92" s="1155"/>
      <c r="Q92" s="1155"/>
      <c r="R92" s="1661"/>
      <c r="S92" s="1155"/>
      <c r="T92" s="1155"/>
      <c r="U92" s="540"/>
      <c r="V92" s="1155"/>
      <c r="W92" s="1155"/>
      <c r="X92" s="1155"/>
      <c r="Y92" s="1155"/>
      <c r="Z92" s="1155"/>
      <c r="AA92" s="1657"/>
      <c r="AB92" s="562"/>
      <c r="AC92" s="562"/>
      <c r="AD92" s="562"/>
      <c r="AE92" s="562"/>
    </row>
    <row s="1666" customFormat="1" customHeight="1" ht="11.25">
      <c r="A93" s="982"/>
      <c r="B93" s="1661"/>
      <c r="C93" s="1661"/>
      <c r="D93" s="339"/>
      <c r="K93" s="1155"/>
      <c r="L93" s="1661"/>
      <c r="M93" s="1661"/>
      <c r="N93" s="1155"/>
      <c r="O93" s="1155"/>
      <c r="P93" s="1155"/>
      <c r="Q93" s="1155"/>
      <c r="R93" s="1661"/>
      <c r="S93" s="1155"/>
      <c r="T93" s="1155"/>
      <c r="U93" s="540"/>
      <c r="V93" s="1155"/>
      <c r="W93" s="1155"/>
      <c r="X93" s="1155"/>
      <c r="Y93" s="1155"/>
      <c r="Z93" s="1155"/>
      <c r="AA93" s="1657"/>
      <c r="AB93" s="562"/>
      <c r="AC93" s="562"/>
      <c r="AD93" s="562"/>
      <c r="AE93" s="562"/>
    </row>
    <row s="1666" customFormat="1" customHeight="1" ht="11.25">
      <c r="A94" s="982"/>
      <c r="B94" s="1661"/>
      <c r="C94" s="1661"/>
      <c r="D94" s="339"/>
      <c r="K94" s="1155"/>
      <c r="L94" s="1661"/>
      <c r="M94" s="1661"/>
      <c r="N94" s="1155"/>
      <c r="O94" s="1155"/>
      <c r="P94" s="1155"/>
      <c r="Q94" s="1155"/>
      <c r="R94" s="1661"/>
      <c r="S94" s="1155"/>
      <c r="T94" s="1155"/>
      <c r="U94" s="540"/>
      <c r="V94" s="1155"/>
      <c r="W94" s="1155"/>
      <c r="X94" s="1155"/>
      <c r="Y94" s="1155"/>
      <c r="Z94" s="1155"/>
      <c r="AA94" s="1657"/>
      <c r="AB94" s="562"/>
      <c r="AC94" s="562"/>
      <c r="AD94" s="562"/>
      <c r="AE94" s="562"/>
    </row>
    <row s="1666" customFormat="1" customHeight="1" ht="11.25">
      <c r="A95" s="982"/>
      <c r="B95" s="1661"/>
      <c r="C95" s="1661"/>
      <c r="D95" s="339"/>
      <c r="K95" s="1155"/>
      <c r="L95" s="1661"/>
      <c r="M95" s="1661"/>
      <c r="N95" s="1155"/>
      <c r="O95" s="1155"/>
      <c r="P95" s="1155"/>
      <c r="Q95" s="1155"/>
      <c r="R95" s="1661"/>
      <c r="S95" s="1155"/>
      <c r="T95" s="1155"/>
      <c r="U95" s="540"/>
      <c r="V95" s="1155"/>
      <c r="W95" s="1155"/>
      <c r="X95" s="1155"/>
      <c r="Y95" s="1155"/>
      <c r="Z95" s="1155"/>
      <c r="AA95" s="1657"/>
      <c r="AB95" s="562"/>
      <c r="AC95" s="562"/>
      <c r="AD95" s="562"/>
      <c r="AE95" s="562"/>
    </row>
    <row s="1666" customFormat="1" customHeight="1" ht="11.25">
      <c r="A96" s="982"/>
      <c r="B96" s="1661"/>
      <c r="C96" s="1661"/>
      <c r="D96" s="339"/>
      <c r="K96" s="1155"/>
      <c r="L96" s="1661"/>
      <c r="M96" s="1661"/>
      <c r="N96" s="1155"/>
      <c r="O96" s="1155"/>
      <c r="P96" s="1155"/>
      <c r="Q96" s="1155"/>
      <c r="R96" s="1661"/>
      <c r="S96" s="1155"/>
      <c r="T96" s="1155"/>
      <c r="U96" s="540"/>
      <c r="V96" s="1155"/>
      <c r="W96" s="1155"/>
      <c r="X96" s="1155"/>
      <c r="Y96" s="1155"/>
      <c r="Z96" s="1155"/>
      <c r="AA96" s="1657"/>
      <c r="AB96" s="562"/>
      <c r="AC96" s="562"/>
      <c r="AD96" s="562"/>
      <c r="AE96" s="562"/>
    </row>
    <row s="1666" customFormat="1" customHeight="1" ht="11.25">
      <c r="A97" s="982"/>
      <c r="B97" s="1661"/>
      <c r="C97" s="1661"/>
      <c r="D97" s="339"/>
      <c r="K97" s="1155"/>
      <c r="L97" s="1661"/>
      <c r="M97" s="1661"/>
      <c r="N97" s="1155"/>
      <c r="O97" s="1155"/>
      <c r="P97" s="1155"/>
      <c r="Q97" s="1155"/>
      <c r="R97" s="1661"/>
      <c r="S97" s="1155"/>
      <c r="T97" s="1155"/>
      <c r="U97" s="540"/>
      <c r="V97" s="1155"/>
      <c r="W97" s="1155"/>
      <c r="X97" s="1155"/>
      <c r="Y97" s="1155"/>
      <c r="Z97" s="1155"/>
      <c r="AA97" s="1657"/>
      <c r="AB97" s="562"/>
      <c r="AC97" s="562"/>
      <c r="AD97" s="562"/>
      <c r="AE97" s="562"/>
    </row>
    <row s="1666" customFormat="1" customHeight="1" ht="11.25">
      <c r="A98" s="982"/>
      <c r="B98" s="1661"/>
      <c r="C98" s="1661"/>
      <c r="D98" s="339"/>
      <c r="K98" s="1155"/>
      <c r="L98" s="1661"/>
      <c r="M98" s="1661"/>
      <c r="N98" s="1155"/>
      <c r="O98" s="1155"/>
      <c r="P98" s="1155"/>
      <c r="Q98" s="1155"/>
      <c r="R98" s="1661"/>
      <c r="S98" s="1155"/>
      <c r="T98" s="1155"/>
      <c r="U98" s="540"/>
      <c r="V98" s="1155"/>
      <c r="W98" s="1155"/>
      <c r="X98" s="1155"/>
      <c r="Y98" s="1155"/>
      <c r="Z98" s="1155"/>
      <c r="AA98" s="1657"/>
      <c r="AB98" s="562"/>
      <c r="AC98" s="562"/>
      <c r="AD98" s="562"/>
      <c r="AE98" s="562"/>
    </row>
    <row s="1666" customFormat="1" customHeight="1" ht="11.25">
      <c r="A99" s="982"/>
      <c r="B99" s="1661"/>
      <c r="C99" s="1661"/>
      <c r="D99" s="339"/>
      <c r="K99" s="1155"/>
      <c r="L99" s="1661"/>
      <c r="M99" s="1661"/>
      <c r="N99" s="1155"/>
      <c r="O99" s="1155"/>
      <c r="P99" s="1155"/>
      <c r="Q99" s="1155"/>
      <c r="R99" s="1661"/>
      <c r="S99" s="1155"/>
      <c r="T99" s="1155"/>
      <c r="U99" s="540"/>
      <c r="V99" s="1155"/>
      <c r="W99" s="1155"/>
      <c r="X99" s="1155"/>
      <c r="Y99" s="1155"/>
      <c r="Z99" s="1155"/>
      <c r="AA99" s="1657"/>
      <c r="AB99" s="562"/>
      <c r="AC99" s="562"/>
      <c r="AD99" s="562"/>
      <c r="AE99" s="562"/>
    </row>
    <row s="1666" customFormat="1" customHeight="1" ht="11.25">
      <c r="A100" s="982"/>
      <c r="B100" s="1661"/>
      <c r="C100" s="1661"/>
      <c r="D100" s="339"/>
      <c r="K100" s="1155"/>
      <c r="L100" s="1661"/>
      <c r="M100" s="1661"/>
      <c r="N100" s="1155"/>
      <c r="O100" s="1155"/>
      <c r="P100" s="1155"/>
      <c r="Q100" s="1155"/>
      <c r="R100" s="1661"/>
      <c r="S100" s="1155"/>
      <c r="T100" s="1155"/>
      <c r="U100" s="540"/>
      <c r="V100" s="1155"/>
      <c r="W100" s="1155"/>
      <c r="X100" s="1155"/>
      <c r="Y100" s="1155"/>
      <c r="Z100" s="1155"/>
      <c r="AA100" s="1657"/>
      <c r="AB100" s="562"/>
      <c r="AC100" s="562"/>
      <c r="AD100" s="562"/>
      <c r="AE100" s="562"/>
    </row>
    <row s="1666" customFormat="1" customHeight="1" ht="11.25">
      <c r="A101" s="982"/>
      <c r="B101" s="1661"/>
      <c r="C101" s="1661"/>
      <c r="D101" s="339"/>
      <c r="K101" s="1155"/>
      <c r="L101" s="1661"/>
      <c r="M101" s="1661"/>
      <c r="N101" s="1155"/>
      <c r="O101" s="1155"/>
      <c r="P101" s="1155"/>
      <c r="Q101" s="1155"/>
      <c r="R101" s="1661"/>
      <c r="S101" s="1155"/>
      <c r="T101" s="1155"/>
      <c r="U101" s="540"/>
      <c r="V101" s="1155"/>
      <c r="W101" s="1155"/>
      <c r="X101" s="1155"/>
      <c r="Y101" s="1155"/>
      <c r="Z101" s="1155"/>
      <c r="AA101" s="1657"/>
      <c r="AB101" s="562"/>
      <c r="AC101" s="562"/>
      <c r="AD101" s="562"/>
      <c r="AE101" s="562"/>
    </row>
    <row s="1666" customFormat="1" customHeight="1" ht="11.25">
      <c r="A102" s="982"/>
      <c r="B102" s="1661"/>
      <c r="C102" s="1661"/>
      <c r="D102" s="339"/>
      <c r="K102" s="1155"/>
      <c r="L102" s="1661"/>
      <c r="M102" s="1661"/>
      <c r="N102" s="1155"/>
      <c r="O102" s="1155"/>
      <c r="P102" s="1155"/>
      <c r="Q102" s="1155"/>
      <c r="R102" s="1661"/>
      <c r="S102" s="1155"/>
      <c r="T102" s="1155"/>
      <c r="U102" s="540"/>
      <c r="V102" s="1155"/>
      <c r="W102" s="1155"/>
      <c r="X102" s="1155"/>
      <c r="Y102" s="1155"/>
      <c r="Z102" s="1155"/>
      <c r="AA102" s="1657"/>
      <c r="AB102" s="562"/>
      <c r="AC102" s="562"/>
      <c r="AD102" s="562"/>
      <c r="AE102" s="562"/>
    </row>
    <row s="1666" customFormat="1" customHeight="1" ht="11.25">
      <c r="A103" s="982"/>
      <c r="B103" s="1661"/>
      <c r="C103" s="1661"/>
      <c r="D103" s="339"/>
      <c r="K103" s="1155"/>
      <c r="L103" s="1661"/>
      <c r="M103" s="1661"/>
      <c r="N103" s="1155"/>
      <c r="O103" s="1155"/>
      <c r="P103" s="1155"/>
      <c r="Q103" s="1155"/>
      <c r="R103" s="1661"/>
      <c r="S103" s="1155"/>
      <c r="T103" s="1155"/>
      <c r="U103" s="540"/>
      <c r="V103" s="1155"/>
      <c r="W103" s="1155"/>
      <c r="X103" s="1155"/>
      <c r="Y103" s="1155"/>
      <c r="Z103" s="1155"/>
      <c r="AA103" s="1657"/>
      <c r="AB103" s="562"/>
      <c r="AC103" s="562"/>
      <c r="AD103" s="562"/>
      <c r="AE103" s="562"/>
    </row>
    <row s="1666" customFormat="1" customHeight="1" ht="11.25">
      <c r="A104" s="982"/>
      <c r="B104" s="1661"/>
      <c r="C104" s="1661"/>
      <c r="D104" s="339"/>
      <c r="K104" s="1155"/>
      <c r="L104" s="1661"/>
      <c r="M104" s="1661"/>
      <c r="N104" s="1155"/>
      <c r="O104" s="1155"/>
      <c r="P104" s="1155"/>
      <c r="Q104" s="1155"/>
      <c r="R104" s="1661"/>
      <c r="S104" s="1155"/>
      <c r="T104" s="1155"/>
      <c r="U104" s="540"/>
      <c r="V104" s="1155"/>
      <c r="W104" s="1155"/>
      <c r="X104" s="1155"/>
      <c r="Y104" s="1155"/>
      <c r="Z104" s="1155"/>
      <c r="AA104" s="1657"/>
      <c r="AB104" s="562"/>
      <c r="AC104" s="562"/>
      <c r="AD104" s="562"/>
      <c r="AE104" s="562"/>
    </row>
    <row s="1666" customFormat="1" customHeight="1" ht="11.25">
      <c r="A105" s="982"/>
      <c r="B105" s="1661"/>
      <c r="C105" s="1661"/>
      <c r="D105" s="339"/>
      <c r="K105" s="1155"/>
      <c r="L105" s="1661"/>
      <c r="M105" s="1661"/>
      <c r="N105" s="1155"/>
      <c r="O105" s="1155"/>
      <c r="P105" s="1155"/>
      <c r="Q105" s="1155"/>
      <c r="R105" s="1661"/>
      <c r="S105" s="1155"/>
      <c r="T105" s="1155"/>
      <c r="U105" s="540"/>
      <c r="V105" s="1155"/>
      <c r="W105" s="1155"/>
      <c r="X105" s="1155"/>
      <c r="Y105" s="1155"/>
      <c r="Z105" s="1155"/>
      <c r="AA105" s="1657"/>
      <c r="AB105" s="562"/>
      <c r="AC105" s="562"/>
      <c r="AD105" s="562"/>
      <c r="AE105" s="562"/>
    </row>
    <row s="1666" customFormat="1" customHeight="1" ht="11.25">
      <c r="A106" s="982"/>
      <c r="B106" s="1661"/>
      <c r="C106" s="1661"/>
      <c r="D106" s="339"/>
      <c r="K106" s="1155"/>
      <c r="L106" s="1661"/>
      <c r="M106" s="1661"/>
      <c r="N106" s="1155"/>
      <c r="O106" s="1155"/>
      <c r="P106" s="1155"/>
      <c r="Q106" s="1155"/>
      <c r="R106" s="1661"/>
      <c r="S106" s="1155"/>
      <c r="T106" s="1155"/>
      <c r="U106" s="540"/>
      <c r="V106" s="1155"/>
      <c r="W106" s="1155"/>
      <c r="X106" s="1155"/>
      <c r="Y106" s="1155"/>
      <c r="Z106" s="1155"/>
      <c r="AA106" s="1657"/>
      <c r="AB106" s="562"/>
      <c r="AC106" s="562"/>
      <c r="AD106" s="562"/>
      <c r="AE106" s="562"/>
    </row>
    <row s="1666" customFormat="1" customHeight="1" ht="11.25">
      <c r="A107" s="982"/>
      <c r="B107" s="1661"/>
      <c r="C107" s="1661"/>
      <c r="D107" s="339"/>
      <c r="K107" s="1155"/>
      <c r="L107" s="1661"/>
      <c r="M107" s="1661"/>
      <c r="N107" s="1155"/>
      <c r="O107" s="1155"/>
      <c r="P107" s="1155"/>
      <c r="Q107" s="1155"/>
      <c r="R107" s="1661"/>
      <c r="S107" s="1155"/>
      <c r="T107" s="1155"/>
      <c r="U107" s="540"/>
      <c r="V107" s="1155"/>
      <c r="W107" s="1155"/>
      <c r="X107" s="1155"/>
      <c r="Y107" s="1155"/>
      <c r="Z107" s="1155"/>
      <c r="AA107" s="1657"/>
      <c r="AB107" s="562"/>
      <c r="AC107" s="562"/>
      <c r="AD107" s="562"/>
      <c r="AE107" s="562"/>
    </row>
    <row s="1666" customFormat="1" customHeight="1" ht="11.25">
      <c r="A108" s="982"/>
      <c r="B108" s="1661"/>
      <c r="C108" s="1661"/>
      <c r="D108" s="339"/>
      <c r="K108" s="1155"/>
      <c r="L108" s="1661"/>
      <c r="M108" s="1661"/>
      <c r="N108" s="1155"/>
      <c r="O108" s="1155"/>
      <c r="P108" s="1155"/>
      <c r="Q108" s="1155"/>
      <c r="R108" s="1661"/>
      <c r="S108" s="1155"/>
      <c r="T108" s="1155"/>
      <c r="U108" s="540"/>
      <c r="V108" s="1155"/>
      <c r="W108" s="1155"/>
      <c r="X108" s="1155"/>
      <c r="Y108" s="1155"/>
      <c r="Z108" s="1155"/>
      <c r="AA108" s="1657"/>
      <c r="AB108" s="562"/>
      <c r="AC108" s="562"/>
      <c r="AD108" s="562"/>
      <c r="AE108" s="562"/>
    </row>
    <row s="1666" customFormat="1" customHeight="1" ht="11.25">
      <c r="A109" s="982"/>
      <c r="B109" s="1661"/>
      <c r="C109" s="1661"/>
      <c r="D109" s="339"/>
      <c r="K109" s="1155"/>
      <c r="L109" s="1661"/>
      <c r="M109" s="1661"/>
      <c r="N109" s="1155"/>
      <c r="O109" s="1155"/>
      <c r="P109" s="1155"/>
      <c r="Q109" s="1155"/>
      <c r="R109" s="1661"/>
      <c r="S109" s="1155"/>
      <c r="T109" s="1155"/>
      <c r="U109" s="540"/>
      <c r="V109" s="1155"/>
      <c r="W109" s="1155"/>
      <c r="X109" s="1155"/>
      <c r="Y109" s="1155"/>
      <c r="Z109" s="1155"/>
      <c r="AA109" s="1657"/>
      <c r="AB109" s="562"/>
      <c r="AC109" s="562"/>
      <c r="AD109" s="562"/>
      <c r="AE109" s="562"/>
    </row>
    <row s="1666" customFormat="1" customHeight="1" ht="11.25">
      <c r="A110" s="982"/>
      <c r="B110" s="1661"/>
      <c r="C110" s="1661"/>
      <c r="D110" s="339"/>
      <c r="K110" s="1155"/>
      <c r="L110" s="1661"/>
      <c r="M110" s="1661"/>
      <c r="N110" s="1155"/>
      <c r="O110" s="1155"/>
      <c r="P110" s="1155"/>
      <c r="Q110" s="1155"/>
      <c r="R110" s="1661"/>
      <c r="S110" s="1155"/>
      <c r="T110" s="1155"/>
      <c r="U110" s="540"/>
      <c r="V110" s="1155"/>
      <c r="W110" s="1155"/>
      <c r="X110" s="1155"/>
      <c r="Y110" s="1155"/>
      <c r="Z110" s="1155"/>
      <c r="AA110" s="1657"/>
      <c r="AB110" s="562"/>
      <c r="AC110" s="562"/>
      <c r="AD110" s="562"/>
      <c r="AE110" s="562"/>
    </row>
    <row s="1666" customFormat="1" customHeight="1" ht="11.25">
      <c r="A111" s="982"/>
      <c r="B111" s="1661"/>
      <c r="C111" s="1661"/>
      <c r="D111" s="339"/>
      <c r="K111" s="1155"/>
      <c r="L111" s="1661"/>
      <c r="M111" s="1661"/>
      <c r="N111" s="1155"/>
      <c r="O111" s="1155"/>
      <c r="P111" s="1155"/>
      <c r="Q111" s="1155"/>
      <c r="R111" s="1661"/>
      <c r="S111" s="1155"/>
      <c r="T111" s="1155"/>
      <c r="U111" s="540"/>
      <c r="V111" s="1155"/>
      <c r="W111" s="1155"/>
      <c r="X111" s="1155"/>
      <c r="Y111" s="1155"/>
      <c r="Z111" s="1155"/>
      <c r="AA111" s="1657"/>
      <c r="AB111" s="562"/>
      <c r="AC111" s="562"/>
      <c r="AD111" s="562"/>
      <c r="AE111" s="562"/>
    </row>
    <row s="1666" customFormat="1" customHeight="1" ht="11.25">
      <c r="A112" s="982"/>
      <c r="B112" s="1661"/>
      <c r="C112" s="1661"/>
      <c r="D112" s="339"/>
      <c r="K112" s="1155"/>
      <c r="L112" s="1661"/>
      <c r="M112" s="1661"/>
      <c r="N112" s="1155"/>
      <c r="O112" s="1155"/>
      <c r="P112" s="1155"/>
      <c r="Q112" s="1155"/>
      <c r="R112" s="1661"/>
      <c r="S112" s="1155"/>
      <c r="T112" s="1155"/>
      <c r="U112" s="540"/>
      <c r="V112" s="1155"/>
      <c r="W112" s="1155"/>
      <c r="X112" s="1155"/>
      <c r="Y112" s="1155"/>
      <c r="Z112" s="1155"/>
      <c r="AA112" s="1657"/>
      <c r="AB112" s="562"/>
      <c r="AC112" s="562"/>
      <c r="AD112" s="562"/>
      <c r="AE112" s="562"/>
    </row>
    <row s="1666" customFormat="1" customHeight="1" ht="11.25">
      <c r="A113" s="982"/>
      <c r="B113" s="1661"/>
      <c r="C113" s="1661"/>
      <c r="D113" s="339"/>
      <c r="K113" s="1155"/>
      <c r="L113" s="1661"/>
      <c r="M113" s="1661"/>
      <c r="N113" s="1155"/>
      <c r="O113" s="1155"/>
      <c r="P113" s="1155"/>
      <c r="Q113" s="1155"/>
      <c r="R113" s="1661"/>
      <c r="S113" s="1155"/>
      <c r="T113" s="1155"/>
      <c r="U113" s="540"/>
      <c r="V113" s="1155"/>
      <c r="W113" s="1155"/>
      <c r="X113" s="1155"/>
      <c r="Y113" s="1155"/>
      <c r="Z113" s="1155"/>
      <c r="AA113" s="1657"/>
      <c r="AB113" s="562"/>
      <c r="AC113" s="562"/>
      <c r="AD113" s="562"/>
      <c r="AE113" s="562"/>
    </row>
    <row s="1666" customFormat="1" customHeight="1" ht="11.25">
      <c r="A114" s="982"/>
      <c r="B114" s="1661"/>
      <c r="C114" s="1661"/>
      <c r="D114" s="339"/>
      <c r="K114" s="1155"/>
      <c r="L114" s="1661"/>
      <c r="M114" s="1661"/>
      <c r="N114" s="1155"/>
      <c r="O114" s="1155"/>
      <c r="P114" s="1155"/>
      <c r="Q114" s="1155"/>
      <c r="R114" s="1661"/>
      <c r="S114" s="1155"/>
      <c r="T114" s="1155"/>
      <c r="U114" s="540"/>
      <c r="V114" s="1155"/>
      <c r="W114" s="1155"/>
      <c r="X114" s="1155"/>
      <c r="Y114" s="1155"/>
      <c r="Z114" s="1155"/>
      <c r="AA114" s="1657"/>
      <c r="AB114" s="562"/>
      <c r="AC114" s="562"/>
      <c r="AD114" s="562"/>
      <c r="AE114" s="562"/>
    </row>
    <row s="1666" customFormat="1" customHeight="1" ht="11.25">
      <c r="A115" s="982"/>
      <c r="B115" s="1661"/>
      <c r="C115" s="1661"/>
      <c r="D115" s="339"/>
      <c r="K115" s="1155"/>
      <c r="L115" s="1661"/>
      <c r="M115" s="1661"/>
      <c r="N115" s="1155"/>
      <c r="O115" s="1155"/>
      <c r="P115" s="1155"/>
      <c r="Q115" s="1155"/>
      <c r="R115" s="1661"/>
      <c r="S115" s="1155"/>
      <c r="T115" s="1155"/>
      <c r="U115" s="540"/>
      <c r="V115" s="1155"/>
      <c r="W115" s="1155"/>
      <c r="X115" s="1155"/>
      <c r="Y115" s="1155"/>
      <c r="Z115" s="1155"/>
      <c r="AA115" s="1657"/>
      <c r="AB115" s="562"/>
      <c r="AC115" s="562"/>
      <c r="AD115" s="562"/>
      <c r="AE115" s="562"/>
    </row>
    <row s="1666" customFormat="1" customHeight="1" ht="11.25">
      <c r="A116" s="982"/>
      <c r="B116" s="1661"/>
      <c r="C116" s="1661"/>
      <c r="D116" s="339"/>
      <c r="K116" s="1155"/>
      <c r="L116" s="1661"/>
      <c r="M116" s="1661"/>
      <c r="N116" s="1155"/>
      <c r="O116" s="1155"/>
      <c r="P116" s="1155"/>
      <c r="Q116" s="1155"/>
      <c r="R116" s="1661"/>
      <c r="S116" s="1155"/>
      <c r="T116" s="1155"/>
      <c r="U116" s="540"/>
      <c r="V116" s="1155"/>
      <c r="W116" s="1155"/>
      <c r="X116" s="1155"/>
      <c r="Y116" s="1155"/>
      <c r="Z116" s="1155"/>
      <c r="AA116" s="1657"/>
      <c r="AB116" s="562"/>
      <c r="AC116" s="562"/>
      <c r="AD116" s="562"/>
      <c r="AE116" s="562"/>
    </row>
    <row s="1666" customFormat="1" customHeight="1" ht="11.25">
      <c r="A117" s="982"/>
      <c r="B117" s="1661"/>
      <c r="C117" s="1661"/>
      <c r="D117" s="339"/>
      <c r="K117" s="1155"/>
      <c r="L117" s="1661"/>
      <c r="M117" s="1661"/>
      <c r="N117" s="1155"/>
      <c r="O117" s="1155"/>
      <c r="P117" s="1155"/>
      <c r="Q117" s="1155"/>
      <c r="R117" s="1661"/>
      <c r="S117" s="1155"/>
      <c r="T117" s="1155"/>
      <c r="U117" s="540"/>
      <c r="V117" s="1155"/>
      <c r="W117" s="1155"/>
      <c r="X117" s="1155"/>
      <c r="Y117" s="1155"/>
      <c r="Z117" s="1155"/>
      <c r="AA117" s="1657"/>
      <c r="AB117" s="562"/>
      <c r="AC117" s="562"/>
      <c r="AD117" s="562"/>
      <c r="AE117" s="562"/>
    </row>
    <row s="1666" customFormat="1" customHeight="1" ht="11.25">
      <c r="A118" s="982"/>
      <c r="B118" s="1661"/>
      <c r="C118" s="1661"/>
      <c r="D118" s="339"/>
      <c r="K118" s="1155"/>
      <c r="L118" s="1661"/>
      <c r="M118" s="1661"/>
      <c r="N118" s="1155"/>
      <c r="O118" s="1155"/>
      <c r="P118" s="1155"/>
      <c r="Q118" s="1155"/>
      <c r="R118" s="1661"/>
      <c r="S118" s="1155"/>
      <c r="T118" s="1155"/>
      <c r="U118" s="540"/>
      <c r="V118" s="1155"/>
      <c r="W118" s="1155"/>
      <c r="X118" s="1155"/>
      <c r="Y118" s="1155"/>
      <c r="Z118" s="1155"/>
      <c r="AA118" s="1657"/>
      <c r="AB118" s="562"/>
      <c r="AC118" s="562"/>
      <c r="AD118" s="562"/>
      <c r="AE118" s="562"/>
    </row>
    <row s="1666" customFormat="1" customHeight="1" ht="11.25">
      <c r="A119" s="982"/>
      <c r="B119" s="1661"/>
      <c r="C119" s="1661"/>
      <c r="D119" s="339"/>
      <c r="K119" s="1155"/>
      <c r="L119" s="1661"/>
      <c r="M119" s="1661"/>
      <c r="N119" s="1155"/>
      <c r="O119" s="1155"/>
      <c r="P119" s="1155"/>
      <c r="Q119" s="1155"/>
      <c r="R119" s="1661"/>
      <c r="S119" s="1155"/>
      <c r="T119" s="1155"/>
      <c r="U119" s="540"/>
      <c r="V119" s="1155"/>
      <c r="W119" s="1155"/>
      <c r="X119" s="1155"/>
      <c r="Y119" s="1155"/>
      <c r="Z119" s="1155"/>
      <c r="AA119" s="1657"/>
      <c r="AB119" s="562"/>
      <c r="AC119" s="562"/>
      <c r="AD119" s="562"/>
      <c r="AE119" s="562"/>
    </row>
    <row s="1666" customFormat="1" customHeight="1" ht="11.25">
      <c r="A120" s="982"/>
      <c r="B120" s="1661"/>
      <c r="C120" s="1661"/>
      <c r="D120" s="339"/>
      <c r="K120" s="1155"/>
      <c r="L120" s="1661"/>
      <c r="M120" s="1661"/>
      <c r="N120" s="1155"/>
      <c r="O120" s="1155"/>
      <c r="P120" s="1155"/>
      <c r="Q120" s="1155"/>
      <c r="R120" s="1661"/>
      <c r="S120" s="1155"/>
      <c r="T120" s="1155"/>
      <c r="U120" s="540"/>
      <c r="V120" s="1155"/>
      <c r="W120" s="1155"/>
      <c r="X120" s="1155"/>
      <c r="Y120" s="1155"/>
      <c r="Z120" s="1155"/>
      <c r="AA120" s="1657"/>
      <c r="AB120" s="562"/>
      <c r="AC120" s="562"/>
      <c r="AD120" s="562"/>
      <c r="AE120" s="562"/>
    </row>
    <row s="1666" customFormat="1" customHeight="1" ht="11.25">
      <c r="A121" s="982"/>
      <c r="B121" s="1661"/>
      <c r="C121" s="1661"/>
      <c r="D121" s="339"/>
      <c r="K121" s="1155"/>
      <c r="L121" s="1661"/>
      <c r="M121" s="1661"/>
      <c r="N121" s="1155"/>
      <c r="O121" s="1155"/>
      <c r="P121" s="1155"/>
      <c r="Q121" s="1155"/>
      <c r="R121" s="1661"/>
      <c r="S121" s="1155"/>
      <c r="T121" s="1155"/>
      <c r="U121" s="540"/>
      <c r="V121" s="1155"/>
      <c r="W121" s="1155"/>
      <c r="X121" s="1155"/>
      <c r="Y121" s="1155"/>
      <c r="Z121" s="1155"/>
      <c r="AA121" s="1657"/>
      <c r="AB121" s="562"/>
      <c r="AC121" s="562"/>
      <c r="AD121" s="562"/>
      <c r="AE121" s="562"/>
    </row>
    <row s="1666" customFormat="1" customHeight="1" ht="11.25">
      <c r="A122" s="982"/>
      <c r="B122" s="1661"/>
      <c r="C122" s="1661"/>
      <c r="D122" s="339"/>
      <c r="K122" s="1155"/>
      <c r="L122" s="1661"/>
      <c r="M122" s="1661"/>
      <c r="N122" s="1155"/>
      <c r="O122" s="1155"/>
      <c r="P122" s="1155"/>
      <c r="Q122" s="1155"/>
      <c r="R122" s="1661"/>
      <c r="S122" s="1155"/>
      <c r="T122" s="1155"/>
      <c r="U122" s="540"/>
      <c r="V122" s="1155"/>
      <c r="W122" s="1155"/>
      <c r="X122" s="1155"/>
      <c r="Y122" s="1155"/>
      <c r="Z122" s="1155"/>
      <c r="AA122" s="1657"/>
      <c r="AB122" s="562"/>
      <c r="AC122" s="562"/>
      <c r="AD122" s="562"/>
      <c r="AE122" s="562"/>
    </row>
    <row s="1666" customFormat="1" customHeight="1" ht="11.25">
      <c r="A123" s="982"/>
      <c r="B123" s="1661"/>
      <c r="C123" s="1661"/>
      <c r="D123" s="339"/>
      <c r="K123" s="1155"/>
      <c r="L123" s="1661"/>
      <c r="M123" s="1661"/>
      <c r="N123" s="1155"/>
      <c r="O123" s="1155"/>
      <c r="P123" s="1155"/>
      <c r="Q123" s="1155"/>
      <c r="R123" s="1661"/>
      <c r="S123" s="1155"/>
      <c r="T123" s="1155"/>
      <c r="U123" s="540"/>
      <c r="V123" s="1155"/>
      <c r="W123" s="1155"/>
      <c r="X123" s="1155"/>
      <c r="Y123" s="1155"/>
      <c r="Z123" s="1155"/>
      <c r="AA123" s="1657"/>
      <c r="AB123" s="562"/>
      <c r="AC123" s="562"/>
      <c r="AD123" s="562"/>
      <c r="AE123" s="562"/>
    </row>
    <row s="1666" customFormat="1" customHeight="1" ht="11.25">
      <c r="A124" s="982"/>
      <c r="B124" s="1661"/>
      <c r="C124" s="1661"/>
      <c r="D124" s="339"/>
      <c r="K124" s="1155"/>
      <c r="L124" s="1661"/>
      <c r="M124" s="1661"/>
      <c r="N124" s="1155"/>
      <c r="O124" s="1155"/>
      <c r="P124" s="1155"/>
      <c r="Q124" s="1155"/>
      <c r="R124" s="1661"/>
      <c r="S124" s="1155"/>
      <c r="T124" s="1155"/>
      <c r="U124" s="540"/>
      <c r="V124" s="1155"/>
      <c r="W124" s="1155"/>
      <c r="X124" s="1155"/>
      <c r="Y124" s="1155"/>
      <c r="Z124" s="1155"/>
      <c r="AA124" s="1657"/>
      <c r="AB124" s="562"/>
      <c r="AC124" s="562"/>
      <c r="AD124" s="562"/>
      <c r="AE124" s="562"/>
    </row>
    <row s="1666" customFormat="1" customHeight="1" ht="11.25">
      <c r="A125" s="982"/>
      <c r="B125" s="1661"/>
      <c r="C125" s="1661"/>
      <c r="D125" s="339"/>
      <c r="K125" s="1155"/>
      <c r="L125" s="1661"/>
      <c r="M125" s="1661"/>
      <c r="N125" s="1155"/>
      <c r="O125" s="1155"/>
      <c r="P125" s="1155"/>
      <c r="Q125" s="1155"/>
      <c r="R125" s="1661"/>
      <c r="S125" s="1155"/>
      <c r="T125" s="1155"/>
      <c r="U125" s="540"/>
      <c r="V125" s="1155"/>
      <c r="W125" s="1155"/>
      <c r="X125" s="1155"/>
      <c r="Y125" s="1155"/>
      <c r="Z125" s="1155"/>
      <c r="AA125" s="1657"/>
      <c r="AB125" s="562"/>
      <c r="AC125" s="562"/>
      <c r="AD125" s="562"/>
      <c r="AE125" s="562"/>
    </row>
    <row s="1666" customFormat="1" customHeight="1" ht="11.25">
      <c r="A126" s="982"/>
      <c r="B126" s="1661"/>
      <c r="C126" s="1661"/>
      <c r="D126" s="339"/>
      <c r="K126" s="1155"/>
      <c r="L126" s="1661"/>
      <c r="M126" s="1661"/>
      <c r="N126" s="1155"/>
      <c r="O126" s="1155"/>
      <c r="P126" s="1155"/>
      <c r="Q126" s="1155"/>
      <c r="R126" s="1661"/>
      <c r="S126" s="1155"/>
      <c r="T126" s="1155"/>
      <c r="U126" s="540"/>
      <c r="V126" s="1155"/>
      <c r="W126" s="1155"/>
      <c r="X126" s="1155"/>
      <c r="Y126" s="1155"/>
      <c r="Z126" s="1155"/>
      <c r="AA126" s="1657"/>
      <c r="AB126" s="562"/>
      <c r="AC126" s="562"/>
      <c r="AD126" s="562"/>
      <c r="AE126" s="562"/>
    </row>
    <row s="1666" customFormat="1" customHeight="1" ht="11.25">
      <c r="A127" s="982"/>
      <c r="B127" s="1661"/>
      <c r="C127" s="1661"/>
      <c r="D127" s="339"/>
      <c r="K127" s="1155"/>
      <c r="L127" s="1661"/>
      <c r="M127" s="1661"/>
      <c r="N127" s="1155"/>
      <c r="O127" s="1155"/>
      <c r="P127" s="1155"/>
      <c r="Q127" s="1155"/>
      <c r="R127" s="1661"/>
      <c r="S127" s="1155"/>
      <c r="T127" s="1155"/>
      <c r="U127" s="540"/>
      <c r="V127" s="1155"/>
      <c r="W127" s="1155"/>
      <c r="X127" s="1155"/>
      <c r="Y127" s="1155"/>
      <c r="Z127" s="1155"/>
      <c r="AA127" s="1657"/>
      <c r="AB127" s="562"/>
      <c r="AC127" s="562"/>
      <c r="AD127" s="562"/>
      <c r="AE127" s="562"/>
    </row>
    <row s="1666" customFormat="1" customHeight="1" ht="11.25">
      <c r="A128" s="982"/>
      <c r="B128" s="1661"/>
      <c r="C128" s="1661"/>
      <c r="D128" s="339"/>
      <c r="K128" s="1155"/>
      <c r="L128" s="1661"/>
      <c r="M128" s="1661"/>
      <c r="N128" s="1155"/>
      <c r="O128" s="1155"/>
      <c r="P128" s="1155"/>
      <c r="Q128" s="1155"/>
      <c r="R128" s="1661"/>
      <c r="S128" s="1155"/>
      <c r="T128" s="1155"/>
      <c r="U128" s="540"/>
      <c r="V128" s="1155"/>
      <c r="W128" s="1155"/>
      <c r="X128" s="1155"/>
      <c r="Y128" s="1155"/>
      <c r="Z128" s="1155"/>
      <c r="AA128" s="1657"/>
      <c r="AB128" s="562"/>
      <c r="AC128" s="562"/>
      <c r="AD128" s="562"/>
      <c r="AE128" s="562"/>
    </row>
    <row s="1666" customFormat="1" customHeight="1" ht="11.25">
      <c r="A129" s="982"/>
      <c r="B129" s="1661"/>
      <c r="C129" s="1661"/>
      <c r="D129" s="339"/>
      <c r="K129" s="1155"/>
      <c r="L129" s="1661"/>
      <c r="M129" s="1661"/>
      <c r="N129" s="1155"/>
      <c r="O129" s="1155"/>
      <c r="P129" s="1155"/>
      <c r="Q129" s="1155"/>
      <c r="R129" s="1661"/>
      <c r="S129" s="1155"/>
      <c r="T129" s="1155"/>
      <c r="U129" s="540"/>
      <c r="V129" s="1155"/>
      <c r="W129" s="1155"/>
      <c r="X129" s="1155"/>
      <c r="Y129" s="1155"/>
      <c r="Z129" s="1155"/>
      <c r="AA129" s="1657"/>
      <c r="AB129" s="562"/>
      <c r="AC129" s="562"/>
      <c r="AD129" s="562"/>
      <c r="AE129" s="562"/>
    </row>
    <row s="1666" customFormat="1" customHeight="1" ht="11.25">
      <c r="A130" s="982"/>
      <c r="B130" s="1661"/>
      <c r="C130" s="1661"/>
      <c r="D130" s="339"/>
      <c r="K130" s="1155"/>
      <c r="L130" s="1661"/>
      <c r="M130" s="1661"/>
      <c r="N130" s="1155"/>
      <c r="O130" s="1155"/>
      <c r="P130" s="1155"/>
      <c r="Q130" s="1155"/>
      <c r="R130" s="1661"/>
      <c r="S130" s="1155"/>
      <c r="T130" s="1155"/>
      <c r="U130" s="540"/>
      <c r="V130" s="1155"/>
      <c r="W130" s="1155"/>
      <c r="X130" s="1155"/>
      <c r="Y130" s="1155"/>
      <c r="Z130" s="1155"/>
      <c r="AA130" s="1657"/>
      <c r="AB130" s="562"/>
      <c r="AC130" s="562"/>
      <c r="AD130" s="562"/>
      <c r="AE130" s="562"/>
    </row>
    <row s="1666" customFormat="1" customHeight="1" ht="11.25">
      <c r="A131" s="982"/>
      <c r="B131" s="1661"/>
      <c r="C131" s="1661"/>
      <c r="D131" s="339"/>
      <c r="K131" s="1155"/>
      <c r="L131" s="1661"/>
      <c r="M131" s="1661"/>
      <c r="N131" s="1155"/>
      <c r="O131" s="1155"/>
      <c r="P131" s="1155"/>
      <c r="Q131" s="1155"/>
      <c r="R131" s="1661"/>
      <c r="S131" s="1155"/>
      <c r="T131" s="1155"/>
      <c r="U131" s="540"/>
      <c r="V131" s="1155"/>
      <c r="W131" s="1155"/>
      <c r="X131" s="1155"/>
      <c r="Y131" s="1155"/>
      <c r="Z131" s="1155"/>
      <c r="AA131" s="1657"/>
      <c r="AB131" s="562"/>
      <c r="AC131" s="562"/>
      <c r="AD131" s="562"/>
      <c r="AE131" s="562"/>
    </row>
    <row s="1666" customFormat="1" customHeight="1" ht="11.25">
      <c r="A132" s="982"/>
      <c r="B132" s="1661"/>
      <c r="C132" s="1661"/>
      <c r="D132" s="339"/>
      <c r="K132" s="1155"/>
      <c r="L132" s="1661"/>
      <c r="M132" s="1661"/>
      <c r="N132" s="1155"/>
      <c r="O132" s="1155"/>
      <c r="P132" s="1155"/>
      <c r="Q132" s="1155"/>
      <c r="R132" s="1661"/>
      <c r="S132" s="1155"/>
      <c r="T132" s="1155"/>
      <c r="U132" s="540"/>
      <c r="V132" s="1155"/>
      <c r="W132" s="1155"/>
      <c r="X132" s="1155"/>
      <c r="Y132" s="1155"/>
      <c r="Z132" s="1155"/>
      <c r="AA132" s="1657"/>
      <c r="AB132" s="562"/>
      <c r="AC132" s="562"/>
      <c r="AD132" s="562"/>
      <c r="AE132" s="562"/>
    </row>
    <row s="1666" customFormat="1" customHeight="1" ht="11.25">
      <c r="A133" s="982"/>
      <c r="B133" s="1661"/>
      <c r="C133" s="1661"/>
      <c r="D133" s="339"/>
      <c r="K133" s="1155"/>
      <c r="L133" s="1661"/>
      <c r="M133" s="1661"/>
      <c r="N133" s="1155"/>
      <c r="O133" s="1155"/>
      <c r="P133" s="1155"/>
      <c r="Q133" s="1155"/>
      <c r="R133" s="1661"/>
      <c r="S133" s="1155"/>
      <c r="T133" s="1155"/>
      <c r="U133" s="540"/>
      <c r="V133" s="1155"/>
      <c r="W133" s="1155"/>
      <c r="X133" s="1155"/>
      <c r="Y133" s="1155"/>
      <c r="Z133" s="1155"/>
      <c r="AA133" s="1657"/>
      <c r="AB133" s="562"/>
      <c r="AC133" s="562"/>
      <c r="AD133" s="562"/>
      <c r="AE133" s="562"/>
    </row>
    <row s="1666" customFormat="1" customHeight="1" ht="11.25">
      <c r="A134" s="982"/>
      <c r="B134" s="1661"/>
      <c r="C134" s="1661"/>
      <c r="D134" s="339"/>
      <c r="K134" s="1155"/>
      <c r="L134" s="1661"/>
      <c r="M134" s="1661"/>
      <c r="N134" s="1155"/>
      <c r="O134" s="1155"/>
      <c r="P134" s="1155"/>
      <c r="Q134" s="1155"/>
      <c r="R134" s="1661"/>
      <c r="S134" s="1155"/>
      <c r="T134" s="1155"/>
      <c r="U134" s="540"/>
      <c r="V134" s="1155"/>
      <c r="W134" s="1155"/>
      <c r="X134" s="1155"/>
      <c r="Y134" s="1155"/>
      <c r="Z134" s="1155"/>
      <c r="AA134" s="1657"/>
      <c r="AB134" s="562"/>
      <c r="AC134" s="562"/>
      <c r="AD134" s="562"/>
      <c r="AE134" s="562"/>
    </row>
    <row s="1666" customFormat="1" customHeight="1" ht="11.25">
      <c r="A135" s="982"/>
      <c r="B135" s="1661"/>
      <c r="C135" s="1661"/>
      <c r="D135" s="339"/>
      <c r="K135" s="1155"/>
      <c r="L135" s="1661"/>
      <c r="M135" s="1661"/>
      <c r="N135" s="1155"/>
      <c r="O135" s="1155"/>
      <c r="P135" s="1155"/>
      <c r="Q135" s="1155"/>
      <c r="R135" s="1661"/>
      <c r="S135" s="1155"/>
      <c r="T135" s="1155"/>
      <c r="U135" s="540"/>
      <c r="V135" s="1155"/>
      <c r="W135" s="1155"/>
      <c r="X135" s="1155"/>
      <c r="Y135" s="1155"/>
      <c r="Z135" s="1155"/>
      <c r="AA135" s="1657"/>
      <c r="AB135" s="562"/>
      <c r="AC135" s="562"/>
      <c r="AD135" s="562"/>
      <c r="AE135" s="562"/>
    </row>
    <row s="1666" customFormat="1" customHeight="1" ht="11.25">
      <c r="A136" s="982"/>
      <c r="B136" s="1661"/>
      <c r="C136" s="1661"/>
      <c r="D136" s="339"/>
      <c r="K136" s="1155"/>
      <c r="L136" s="1661"/>
      <c r="M136" s="1661"/>
      <c r="N136" s="1155"/>
      <c r="O136" s="1155"/>
      <c r="P136" s="1155"/>
      <c r="Q136" s="1155"/>
      <c r="R136" s="1661"/>
      <c r="S136" s="1155"/>
      <c r="T136" s="1155"/>
      <c r="U136" s="540"/>
      <c r="V136" s="1155"/>
      <c r="W136" s="1155"/>
      <c r="X136" s="1155"/>
      <c r="Y136" s="1155"/>
      <c r="Z136" s="1155"/>
      <c r="AA136" s="1657"/>
      <c r="AB136" s="562"/>
      <c r="AC136" s="562"/>
      <c r="AD136" s="562"/>
      <c r="AE136" s="562"/>
    </row>
    <row s="1666" customFormat="1" customHeight="1" ht="11.25">
      <c r="A137" s="982"/>
      <c r="B137" s="1661"/>
      <c r="C137" s="1661"/>
      <c r="D137" s="339"/>
      <c r="K137" s="1155"/>
      <c r="L137" s="1661"/>
      <c r="M137" s="1661"/>
      <c r="N137" s="1155"/>
      <c r="O137" s="1155"/>
      <c r="P137" s="1155"/>
      <c r="Q137" s="1155"/>
      <c r="R137" s="1661"/>
      <c r="S137" s="1155"/>
      <c r="T137" s="1155"/>
      <c r="U137" s="540"/>
      <c r="V137" s="1155"/>
      <c r="W137" s="1155"/>
      <c r="X137" s="1155"/>
      <c r="Y137" s="1155"/>
      <c r="Z137" s="1155"/>
      <c r="AA137" s="1657"/>
      <c r="AB137" s="562"/>
      <c r="AC137" s="562"/>
      <c r="AD137" s="562"/>
      <c r="AE137" s="562"/>
    </row>
    <row s="1666" customFormat="1" customHeight="1" ht="11.25">
      <c r="A138" s="982"/>
      <c r="B138" s="1661"/>
      <c r="C138" s="1661"/>
      <c r="D138" s="339"/>
      <c r="K138" s="1155"/>
      <c r="L138" s="1661"/>
      <c r="M138" s="1661"/>
      <c r="N138" s="1155"/>
      <c r="O138" s="1155"/>
      <c r="P138" s="1155"/>
      <c r="Q138" s="1155"/>
      <c r="R138" s="1661"/>
      <c r="S138" s="1155"/>
      <c r="T138" s="1155"/>
      <c r="U138" s="540"/>
      <c r="V138" s="1155"/>
      <c r="W138" s="1155"/>
      <c r="X138" s="1155"/>
      <c r="Y138" s="1155"/>
      <c r="Z138" s="1155"/>
      <c r="AA138" s="1657"/>
      <c r="AB138" s="562"/>
      <c r="AC138" s="562"/>
      <c r="AD138" s="562"/>
      <c r="AE138" s="562"/>
    </row>
    <row s="1666" customFormat="1" customHeight="1" ht="11.25">
      <c r="A139" s="982"/>
      <c r="B139" s="1661"/>
      <c r="C139" s="1661"/>
      <c r="D139" s="339"/>
      <c r="K139" s="1155"/>
      <c r="L139" s="1661"/>
      <c r="M139" s="1661"/>
      <c r="N139" s="1155"/>
      <c r="O139" s="1155"/>
      <c r="P139" s="1155"/>
      <c r="Q139" s="1155"/>
      <c r="R139" s="1661"/>
      <c r="S139" s="1155"/>
      <c r="T139" s="1155"/>
      <c r="U139" s="540"/>
      <c r="V139" s="1155"/>
      <c r="W139" s="1155"/>
      <c r="X139" s="1155"/>
      <c r="Y139" s="1155"/>
      <c r="Z139" s="1155"/>
      <c r="AA139" s="1657"/>
      <c r="AB139" s="562"/>
      <c r="AC139" s="562"/>
      <c r="AD139" s="562"/>
      <c r="AE139" s="562"/>
    </row>
    <row s="1666" customFormat="1" customHeight="1" ht="11.25">
      <c r="A140" s="982"/>
      <c r="B140" s="1661"/>
      <c r="C140" s="1661"/>
      <c r="D140" s="339"/>
      <c r="K140" s="1155"/>
      <c r="L140" s="1661"/>
      <c r="M140" s="1661"/>
      <c r="N140" s="1155"/>
      <c r="O140" s="1155"/>
      <c r="P140" s="1155"/>
      <c r="Q140" s="1155"/>
      <c r="R140" s="1661"/>
      <c r="S140" s="1155"/>
      <c r="T140" s="1155"/>
      <c r="U140" s="540"/>
      <c r="V140" s="1155"/>
      <c r="W140" s="1155"/>
      <c r="X140" s="1155"/>
      <c r="Y140" s="1155"/>
      <c r="Z140" s="1155"/>
      <c r="AA140" s="1657"/>
      <c r="AB140" s="562"/>
      <c r="AC140" s="562"/>
      <c r="AD140" s="562"/>
      <c r="AE140" s="562"/>
    </row>
    <row s="1666" customFormat="1" customHeight="1" ht="11.25">
      <c r="A141" s="982"/>
      <c r="B141" s="1661"/>
      <c r="C141" s="1661"/>
      <c r="D141" s="339"/>
      <c r="K141" s="1155"/>
      <c r="L141" s="1661"/>
      <c r="M141" s="1661"/>
      <c r="N141" s="1155"/>
      <c r="O141" s="1155"/>
      <c r="P141" s="1155"/>
      <c r="Q141" s="1155"/>
      <c r="R141" s="1661"/>
      <c r="S141" s="1155"/>
      <c r="T141" s="1155"/>
      <c r="U141" s="540"/>
      <c r="V141" s="1155"/>
      <c r="W141" s="1155"/>
      <c r="X141" s="1155"/>
      <c r="Y141" s="1155"/>
      <c r="Z141" s="1155"/>
      <c r="AA141" s="1657"/>
      <c r="AB141" s="562"/>
      <c r="AC141" s="562"/>
      <c r="AD141" s="562"/>
      <c r="AE141" s="562"/>
    </row>
    <row s="1666" customFormat="1" customHeight="1" ht="11.25">
      <c r="A142" s="982"/>
      <c r="B142" s="1661"/>
      <c r="C142" s="1661"/>
      <c r="D142" s="339"/>
      <c r="K142" s="1155"/>
      <c r="L142" s="1661"/>
      <c r="M142" s="1661"/>
      <c r="N142" s="1155"/>
      <c r="O142" s="1155"/>
      <c r="P142" s="1155"/>
      <c r="Q142" s="1155"/>
      <c r="R142" s="1661"/>
      <c r="S142" s="1155"/>
      <c r="T142" s="1155"/>
      <c r="U142" s="540"/>
      <c r="V142" s="1155"/>
      <c r="W142" s="1155"/>
      <c r="X142" s="1155"/>
      <c r="Y142" s="1155"/>
      <c r="Z142" s="1155"/>
      <c r="AA142" s="1657"/>
      <c r="AB142" s="562"/>
      <c r="AC142" s="562"/>
      <c r="AD142" s="562"/>
      <c r="AE142" s="562"/>
    </row>
    <row s="1666" customFormat="1" customHeight="1" ht="11.25">
      <c r="A143" s="982"/>
      <c r="B143" s="1661"/>
      <c r="C143" s="1661"/>
      <c r="D143" s="339"/>
      <c r="K143" s="1155"/>
      <c r="L143" s="1661"/>
      <c r="M143" s="1661"/>
      <c r="N143" s="1155"/>
      <c r="O143" s="1155"/>
      <c r="P143" s="1155"/>
      <c r="Q143" s="1155"/>
      <c r="R143" s="1661"/>
      <c r="S143" s="1155"/>
      <c r="T143" s="1155"/>
      <c r="U143" s="540"/>
      <c r="V143" s="1155"/>
      <c r="W143" s="1155"/>
      <c r="X143" s="1155"/>
      <c r="Y143" s="1155"/>
      <c r="Z143" s="1155"/>
      <c r="AA143" s="1657"/>
      <c r="AB143" s="562"/>
      <c r="AC143" s="562"/>
      <c r="AD143" s="562"/>
      <c r="AE143" s="562"/>
    </row>
    <row s="1666" customFormat="1" customHeight="1" ht="11.25">
      <c r="A144" s="982"/>
      <c r="B144" s="1661"/>
      <c r="C144" s="1661"/>
      <c r="D144" s="339"/>
      <c r="K144" s="1155"/>
      <c r="L144" s="1661"/>
      <c r="M144" s="1661"/>
      <c r="N144" s="1155"/>
      <c r="O144" s="1155"/>
      <c r="P144" s="1155"/>
      <c r="Q144" s="1155"/>
      <c r="R144" s="1661"/>
      <c r="S144" s="1155"/>
      <c r="T144" s="1155"/>
      <c r="U144" s="540"/>
      <c r="V144" s="1155"/>
      <c r="W144" s="1155"/>
      <c r="X144" s="1155"/>
      <c r="Y144" s="1155"/>
      <c r="Z144" s="1155"/>
      <c r="AA144" s="1657"/>
      <c r="AB144" s="562"/>
      <c r="AC144" s="562"/>
      <c r="AD144" s="562"/>
      <c r="AE144" s="562"/>
    </row>
    <row s="1666" customFormat="1" customHeight="1" ht="11.25">
      <c r="A145" s="982"/>
      <c r="B145" s="1661"/>
      <c r="C145" s="1661"/>
      <c r="D145" s="339"/>
      <c r="K145" s="1155"/>
      <c r="L145" s="1661"/>
      <c r="M145" s="1661"/>
      <c r="N145" s="1155"/>
      <c r="O145" s="1155"/>
      <c r="P145" s="1155"/>
      <c r="Q145" s="1155"/>
      <c r="R145" s="1661"/>
      <c r="S145" s="1155"/>
      <c r="T145" s="1155"/>
      <c r="U145" s="540"/>
      <c r="V145" s="1155"/>
      <c r="W145" s="1155"/>
      <c r="X145" s="1155"/>
      <c r="Y145" s="1155"/>
      <c r="Z145" s="1155"/>
      <c r="AA145" s="1657"/>
      <c r="AB145" s="562"/>
      <c r="AC145" s="562"/>
      <c r="AD145" s="562"/>
      <c r="AE145" s="562"/>
    </row>
    <row s="1666" customFormat="1" customHeight="1" ht="11.25">
      <c r="A146" s="982"/>
      <c r="B146" s="1661"/>
      <c r="C146" s="1661"/>
      <c r="D146" s="339"/>
      <c r="K146" s="1155"/>
      <c r="L146" s="1661"/>
      <c r="M146" s="1661"/>
      <c r="N146" s="1155"/>
      <c r="O146" s="1155"/>
      <c r="P146" s="1155"/>
      <c r="Q146" s="1155"/>
      <c r="R146" s="1661"/>
      <c r="S146" s="1155"/>
      <c r="T146" s="1155"/>
      <c r="U146" s="540"/>
      <c r="V146" s="1155"/>
      <c r="W146" s="1155"/>
      <c r="X146" s="1155"/>
      <c r="Y146" s="1155"/>
      <c r="Z146" s="1155"/>
      <c r="AA146" s="1657"/>
      <c r="AB146" s="562"/>
      <c r="AC146" s="562"/>
      <c r="AD146" s="562"/>
      <c r="AE146" s="562"/>
    </row>
    <row s="1666" customFormat="1" customHeight="1" ht="11.25">
      <c r="A147" s="982"/>
      <c r="B147" s="1661"/>
      <c r="C147" s="1661"/>
      <c r="D147" s="339"/>
      <c r="K147" s="1155"/>
      <c r="L147" s="1661"/>
      <c r="M147" s="1661"/>
      <c r="N147" s="1155"/>
      <c r="O147" s="1155"/>
      <c r="P147" s="1155"/>
      <c r="Q147" s="1155"/>
      <c r="R147" s="1661"/>
      <c r="S147" s="1155"/>
      <c r="T147" s="1155"/>
      <c r="U147" s="540"/>
      <c r="V147" s="1155"/>
      <c r="W147" s="1155"/>
      <c r="X147" s="1155"/>
      <c r="Y147" s="1155"/>
      <c r="Z147" s="1155"/>
      <c r="AA147" s="1657"/>
      <c r="AB147" s="562"/>
      <c r="AC147" s="562"/>
      <c r="AD147" s="562"/>
      <c r="AE147" s="562"/>
    </row>
    <row s="1666" customFormat="1" customHeight="1" ht="11.25">
      <c r="A148" s="982"/>
      <c r="B148" s="1661"/>
      <c r="C148" s="1661"/>
      <c r="D148" s="339"/>
      <c r="K148" s="1155"/>
      <c r="L148" s="1661"/>
      <c r="M148" s="1661"/>
      <c r="N148" s="1155"/>
      <c r="O148" s="1155"/>
      <c r="P148" s="1155"/>
      <c r="Q148" s="1155"/>
      <c r="R148" s="1661"/>
      <c r="S148" s="1155"/>
      <c r="T148" s="1155"/>
      <c r="U148" s="540"/>
      <c r="V148" s="1155"/>
      <c r="W148" s="1155"/>
      <c r="X148" s="1155"/>
      <c r="Y148" s="1155"/>
      <c r="Z148" s="1155"/>
      <c r="AA148" s="1657"/>
      <c r="AB148" s="562"/>
      <c r="AC148" s="562"/>
      <c r="AD148" s="562"/>
      <c r="AE148" s="562"/>
    </row>
    <row s="1666" customFormat="1" customHeight="1" ht="11.25">
      <c r="A149" s="982"/>
      <c r="B149" s="1661"/>
      <c r="C149" s="1661"/>
      <c r="D149" s="339"/>
      <c r="K149" s="1155"/>
      <c r="L149" s="1661"/>
      <c r="M149" s="1661"/>
      <c r="N149" s="1155"/>
      <c r="O149" s="1155"/>
      <c r="P149" s="1155"/>
      <c r="Q149" s="1155"/>
      <c r="R149" s="1661"/>
      <c r="S149" s="1155"/>
      <c r="T149" s="1155"/>
      <c r="U149" s="540"/>
      <c r="V149" s="1155"/>
      <c r="W149" s="1155"/>
      <c r="X149" s="1155"/>
      <c r="Y149" s="1155"/>
      <c r="Z149" s="1155"/>
      <c r="AA149" s="1657"/>
      <c r="AB149" s="562"/>
      <c r="AC149" s="562"/>
      <c r="AD149" s="562"/>
      <c r="AE149" s="562"/>
    </row>
    <row s="1666" customFormat="1" customHeight="1" ht="11.25">
      <c r="A150" s="982"/>
      <c r="B150" s="1661"/>
      <c r="C150" s="1661"/>
      <c r="D150" s="339"/>
      <c r="K150" s="1155"/>
      <c r="L150" s="1661"/>
      <c r="M150" s="1661"/>
      <c r="N150" s="1155"/>
      <c r="O150" s="1155"/>
      <c r="P150" s="1155"/>
      <c r="Q150" s="1155"/>
      <c r="R150" s="1661"/>
      <c r="S150" s="1155"/>
      <c r="T150" s="1155"/>
      <c r="U150" s="540"/>
      <c r="V150" s="1155"/>
      <c r="W150" s="1155"/>
      <c r="X150" s="1155"/>
      <c r="Y150" s="1155"/>
      <c r="Z150" s="1155"/>
      <c r="AA150" s="1657"/>
      <c r="AB150" s="562"/>
      <c r="AC150" s="562"/>
      <c r="AD150" s="562"/>
      <c r="AE150" s="562"/>
    </row>
    <row s="1666" customFormat="1" customHeight="1" ht="11.25">
      <c r="A151" s="982"/>
      <c r="B151" s="1661"/>
      <c r="C151" s="1661"/>
      <c r="D151" s="339"/>
      <c r="K151" s="1155"/>
      <c r="L151" s="1661"/>
      <c r="M151" s="1661"/>
      <c r="N151" s="1155"/>
      <c r="O151" s="1155"/>
      <c r="P151" s="1155"/>
      <c r="Q151" s="1155"/>
      <c r="R151" s="1661"/>
      <c r="S151" s="1155"/>
      <c r="T151" s="1155"/>
      <c r="U151" s="540"/>
      <c r="V151" s="1155"/>
      <c r="W151" s="1155"/>
      <c r="X151" s="1155"/>
      <c r="Y151" s="1155"/>
      <c r="Z151" s="1155"/>
      <c r="AA151" s="1657"/>
      <c r="AB151" s="562"/>
      <c r="AC151" s="562"/>
      <c r="AD151" s="562"/>
      <c r="AE151" s="562"/>
    </row>
    <row s="1666" customFormat="1" customHeight="1" ht="11.25">
      <c r="A152" s="982"/>
      <c r="B152" s="1661"/>
      <c r="C152" s="1661"/>
      <c r="D152" s="339"/>
      <c r="K152" s="1155"/>
      <c r="L152" s="1661"/>
      <c r="M152" s="1661"/>
      <c r="N152" s="1155"/>
      <c r="O152" s="1155"/>
      <c r="P152" s="1155"/>
      <c r="Q152" s="1155"/>
      <c r="R152" s="1661"/>
      <c r="S152" s="1155"/>
      <c r="T152" s="1155"/>
      <c r="U152" s="540"/>
      <c r="V152" s="1155"/>
      <c r="W152" s="1155"/>
      <c r="X152" s="1155"/>
      <c r="Y152" s="1155"/>
      <c r="Z152" s="1155"/>
      <c r="AA152" s="1657"/>
      <c r="AB152" s="562"/>
      <c r="AC152" s="562"/>
      <c r="AD152" s="562"/>
      <c r="AE152" s="562"/>
    </row>
    <row s="1666" customFormat="1" customHeight="1" ht="11.25">
      <c r="A153" s="982"/>
      <c r="B153" s="1661"/>
      <c r="C153" s="1661"/>
      <c r="D153" s="339"/>
      <c r="K153" s="1155"/>
      <c r="L153" s="1661"/>
      <c r="M153" s="1661"/>
      <c r="N153" s="1155"/>
      <c r="O153" s="1155"/>
      <c r="P153" s="1155"/>
      <c r="Q153" s="1155"/>
      <c r="R153" s="1661"/>
      <c r="S153" s="1155"/>
      <c r="T153" s="1155"/>
      <c r="U153" s="540"/>
      <c r="V153" s="1155"/>
      <c r="W153" s="1155"/>
      <c r="X153" s="1155"/>
      <c r="Y153" s="1155"/>
      <c r="Z153" s="1155"/>
      <c r="AA153" s="1657"/>
      <c r="AB153" s="562"/>
      <c r="AC153" s="562"/>
      <c r="AD153" s="562"/>
      <c r="AE153" s="562"/>
    </row>
    <row s="1666" customFormat="1" customHeight="1" ht="11.25">
      <c r="A154" s="982"/>
      <c r="B154" s="1661"/>
      <c r="C154" s="1661"/>
      <c r="D154" s="339"/>
      <c r="K154" s="1155"/>
      <c r="L154" s="1661"/>
      <c r="M154" s="1661"/>
      <c r="N154" s="1155"/>
      <c r="O154" s="1155"/>
      <c r="P154" s="1155"/>
      <c r="Q154" s="1155"/>
      <c r="R154" s="1661"/>
      <c r="S154" s="1155"/>
      <c r="T154" s="1155"/>
      <c r="U154" s="540"/>
      <c r="V154" s="1155"/>
      <c r="W154" s="1155"/>
      <c r="X154" s="1155"/>
      <c r="Y154" s="1155"/>
      <c r="Z154" s="1155"/>
      <c r="AA154" s="1657"/>
      <c r="AB154" s="562"/>
      <c r="AC154" s="562"/>
      <c r="AD154" s="562"/>
      <c r="AE154" s="562"/>
    </row>
    <row s="1666" customFormat="1" customHeight="1" ht="11.25">
      <c r="A155" s="982"/>
      <c r="B155" s="1661"/>
      <c r="C155" s="1661"/>
      <c r="D155" s="339"/>
      <c r="K155" s="1155"/>
      <c r="L155" s="1661"/>
      <c r="M155" s="1661"/>
      <c r="N155" s="1155"/>
      <c r="O155" s="1155"/>
      <c r="P155" s="1155"/>
      <c r="Q155" s="1155"/>
      <c r="R155" s="1661"/>
      <c r="S155" s="1155"/>
      <c r="T155" s="1155"/>
      <c r="U155" s="540"/>
      <c r="V155" s="1155"/>
      <c r="W155" s="1155"/>
      <c r="X155" s="1155"/>
      <c r="Y155" s="1155"/>
      <c r="Z155" s="1155"/>
      <c r="AA155" s="1657"/>
      <c r="AB155" s="562"/>
      <c r="AC155" s="562"/>
      <c r="AD155" s="562"/>
      <c r="AE155" s="562"/>
    </row>
    <row s="1666" customFormat="1" customHeight="1" ht="11.25">
      <c r="A156" s="982"/>
      <c r="B156" s="1661"/>
      <c r="C156" s="1661"/>
      <c r="D156" s="339"/>
      <c r="K156" s="1155"/>
      <c r="L156" s="1661"/>
      <c r="M156" s="1661"/>
      <c r="N156" s="1155"/>
      <c r="O156" s="1155"/>
      <c r="P156" s="1155"/>
      <c r="Q156" s="1155"/>
      <c r="R156" s="1661"/>
      <c r="S156" s="1155"/>
      <c r="T156" s="1155"/>
      <c r="U156" s="540"/>
      <c r="V156" s="1155"/>
      <c r="W156" s="1155"/>
      <c r="X156" s="1155"/>
      <c r="Y156" s="1155"/>
      <c r="Z156" s="1155"/>
      <c r="AA156" s="1657"/>
      <c r="AB156" s="562"/>
      <c r="AC156" s="562"/>
      <c r="AD156" s="562"/>
      <c r="AE156" s="562"/>
    </row>
    <row s="1666" customFormat="1" customHeight="1" ht="11.25">
      <c r="A157" s="982"/>
      <c r="B157" s="1661"/>
      <c r="C157" s="1661"/>
      <c r="D157" s="339"/>
      <c r="K157" s="1155"/>
      <c r="L157" s="1661"/>
      <c r="M157" s="1661"/>
      <c r="N157" s="1155"/>
      <c r="O157" s="1155"/>
      <c r="P157" s="1155"/>
      <c r="Q157" s="1155"/>
      <c r="R157" s="1661"/>
      <c r="S157" s="1155"/>
      <c r="T157" s="1155"/>
      <c r="U157" s="540"/>
      <c r="V157" s="1155"/>
      <c r="W157" s="1155"/>
      <c r="X157" s="1155"/>
      <c r="Y157" s="1155"/>
      <c r="Z157" s="1155"/>
      <c r="AA157" s="1657"/>
      <c r="AB157" s="562"/>
      <c r="AC157" s="562"/>
      <c r="AD157" s="562"/>
      <c r="AE157" s="562"/>
    </row>
    <row s="1666" customFormat="1" customHeight="1" ht="11.25">
      <c r="A158" s="982"/>
      <c r="B158" s="1661"/>
      <c r="C158" s="1661"/>
      <c r="D158" s="339"/>
      <c r="K158" s="1155"/>
      <c r="L158" s="1661"/>
      <c r="M158" s="1661"/>
      <c r="N158" s="1155"/>
      <c r="O158" s="1155"/>
      <c r="P158" s="1155"/>
      <c r="Q158" s="1155"/>
      <c r="R158" s="1661"/>
      <c r="S158" s="1155"/>
      <c r="T158" s="1155"/>
      <c r="U158" s="540"/>
      <c r="V158" s="1155"/>
      <c r="W158" s="1155"/>
      <c r="X158" s="1155"/>
      <c r="Y158" s="1155"/>
      <c r="Z158" s="1155"/>
      <c r="AA158" s="1657"/>
      <c r="AB158" s="562"/>
      <c r="AC158" s="562"/>
      <c r="AD158" s="562"/>
      <c r="AE158" s="562"/>
    </row>
    <row s="1666" customFormat="1" customHeight="1" ht="11.25">
      <c r="A159" s="982"/>
      <c r="B159" s="1661"/>
      <c r="C159" s="1661"/>
      <c r="D159" s="339"/>
      <c r="K159" s="1155"/>
      <c r="L159" s="1661"/>
      <c r="M159" s="1661"/>
      <c r="N159" s="1155"/>
      <c r="O159" s="1155"/>
      <c r="P159" s="1155"/>
      <c r="Q159" s="1155"/>
      <c r="R159" s="1661"/>
      <c r="S159" s="1155"/>
      <c r="T159" s="1155"/>
      <c r="U159" s="540"/>
      <c r="V159" s="1155"/>
      <c r="W159" s="1155"/>
      <c r="X159" s="1155"/>
      <c r="Y159" s="1155"/>
      <c r="Z159" s="1155"/>
      <c r="AA159" s="1657"/>
      <c r="AB159" s="562"/>
      <c r="AC159" s="562"/>
      <c r="AD159" s="562"/>
      <c r="AE159" s="562"/>
    </row>
    <row s="1666" customFormat="1" customHeight="1" ht="11.25">
      <c r="A160" s="982"/>
      <c r="B160" s="1661"/>
      <c r="C160" s="1661"/>
      <c r="D160" s="339"/>
      <c r="K160" s="1155"/>
      <c r="L160" s="1661"/>
      <c r="M160" s="1661"/>
      <c r="N160" s="1155"/>
      <c r="O160" s="1155"/>
      <c r="P160" s="1155"/>
      <c r="Q160" s="1155"/>
      <c r="R160" s="1661"/>
      <c r="S160" s="1155"/>
      <c r="T160" s="1155"/>
      <c r="U160" s="540"/>
      <c r="V160" s="1155"/>
      <c r="W160" s="1155"/>
      <c r="X160" s="1155"/>
      <c r="Y160" s="1155"/>
      <c r="Z160" s="1155"/>
      <c r="AA160" s="1657"/>
      <c r="AB160" s="562"/>
      <c r="AC160" s="562"/>
      <c r="AD160" s="562"/>
      <c r="AE160" s="562"/>
    </row>
    <row s="1666" customFormat="1" customHeight="1" ht="11.25">
      <c r="A161" s="982"/>
      <c r="B161" s="1661"/>
      <c r="C161" s="1661"/>
      <c r="D161" s="339"/>
      <c r="K161" s="1155"/>
      <c r="L161" s="1661"/>
      <c r="M161" s="1661"/>
      <c r="N161" s="1155"/>
      <c r="O161" s="1155"/>
      <c r="P161" s="1155"/>
      <c r="Q161" s="1155"/>
      <c r="R161" s="1661"/>
      <c r="S161" s="1155"/>
      <c r="T161" s="1155"/>
      <c r="U161" s="540"/>
      <c r="V161" s="1155"/>
      <c r="W161" s="1155"/>
      <c r="X161" s="1155"/>
      <c r="Y161" s="1155"/>
      <c r="Z161" s="1155"/>
      <c r="AA161" s="1657"/>
      <c r="AB161" s="562"/>
      <c r="AC161" s="562"/>
      <c r="AD161" s="562"/>
      <c r="AE161" s="562"/>
    </row>
    <row s="1666" customFormat="1" customHeight="1" ht="11.25">
      <c r="A162" s="982"/>
      <c r="B162" s="1661"/>
      <c r="C162" s="1661"/>
      <c r="D162" s="339"/>
      <c r="K162" s="1155"/>
      <c r="L162" s="1661"/>
      <c r="M162" s="1661"/>
      <c r="N162" s="1155"/>
      <c r="O162" s="1155"/>
      <c r="P162" s="1155"/>
      <c r="Q162" s="1155"/>
      <c r="R162" s="1661"/>
      <c r="S162" s="1155"/>
      <c r="T162" s="1155"/>
      <c r="U162" s="540"/>
      <c r="V162" s="1155"/>
      <c r="W162" s="1155"/>
      <c r="X162" s="1155"/>
      <c r="Y162" s="1155"/>
      <c r="Z162" s="1155"/>
      <c r="AA162" s="1657"/>
      <c r="AB162" s="562"/>
      <c r="AC162" s="562"/>
      <c r="AD162" s="562"/>
      <c r="AE162" s="562"/>
    </row>
    <row s="1666" customFormat="1" customHeight="1" ht="11.25">
      <c r="A163" s="982"/>
      <c r="B163" s="1661"/>
      <c r="C163" s="1661"/>
      <c r="D163" s="339"/>
      <c r="K163" s="1155"/>
      <c r="L163" s="1661"/>
      <c r="M163" s="1661"/>
      <c r="N163" s="1155"/>
      <c r="O163" s="1155"/>
      <c r="P163" s="1155"/>
      <c r="Q163" s="1155"/>
      <c r="R163" s="1661"/>
      <c r="S163" s="1155"/>
      <c r="T163" s="1155"/>
      <c r="U163" s="540"/>
      <c r="V163" s="1155"/>
      <c r="W163" s="1155"/>
      <c r="X163" s="1155"/>
      <c r="Y163" s="1155"/>
      <c r="Z163" s="1155"/>
      <c r="AA163" s="1657"/>
      <c r="AB163" s="562"/>
      <c r="AC163" s="562"/>
      <c r="AD163" s="562"/>
      <c r="AE163" s="562"/>
    </row>
    <row s="1666" customFormat="1" customHeight="1" ht="11.25">
      <c r="A164" s="982"/>
      <c r="B164" s="1661"/>
      <c r="C164" s="1661"/>
      <c r="D164" s="339"/>
      <c r="K164" s="1155"/>
      <c r="L164" s="1661"/>
      <c r="M164" s="1661"/>
      <c r="N164" s="1155"/>
      <c r="O164" s="1155"/>
      <c r="P164" s="1155"/>
      <c r="Q164" s="1155"/>
      <c r="R164" s="1661"/>
      <c r="S164" s="1155"/>
      <c r="T164" s="1155"/>
      <c r="U164" s="540"/>
      <c r="V164" s="1155"/>
      <c r="W164" s="1155"/>
      <c r="X164" s="1155"/>
      <c r="Y164" s="1155"/>
      <c r="Z164" s="1155"/>
      <c r="AA164" s="1657"/>
      <c r="AB164" s="562"/>
      <c r="AC164" s="562"/>
      <c r="AD164" s="562"/>
      <c r="AE164" s="562"/>
    </row>
    <row s="1666" customFormat="1" customHeight="1" ht="11.25">
      <c r="A165" s="982"/>
      <c r="B165" s="1661"/>
      <c r="C165" s="1661"/>
      <c r="D165" s="339"/>
      <c r="K165" s="1155"/>
      <c r="L165" s="1661"/>
      <c r="M165" s="1661"/>
      <c r="N165" s="1155"/>
      <c r="O165" s="1155"/>
      <c r="P165" s="1155"/>
      <c r="Q165" s="1155"/>
      <c r="R165" s="1661"/>
      <c r="S165" s="1155"/>
      <c r="T165" s="1155"/>
      <c r="U165" s="540"/>
      <c r="V165" s="1155"/>
      <c r="W165" s="1155"/>
      <c r="X165" s="1155"/>
      <c r="Y165" s="1155"/>
      <c r="Z165" s="1155"/>
      <c r="AA165" s="1657"/>
      <c r="AB165" s="562"/>
      <c r="AC165" s="562"/>
      <c r="AD165" s="562"/>
      <c r="AE165" s="562"/>
    </row>
    <row s="1666" customFormat="1" customHeight="1" ht="11.25">
      <c r="A166" s="982"/>
      <c r="B166" s="1661"/>
      <c r="C166" s="1661"/>
      <c r="D166" s="339"/>
      <c r="K166" s="1155"/>
      <c r="L166" s="1661"/>
      <c r="M166" s="1661"/>
      <c r="N166" s="1155"/>
      <c r="O166" s="1155"/>
      <c r="P166" s="1155"/>
      <c r="Q166" s="1155"/>
      <c r="R166" s="1661"/>
      <c r="S166" s="1155"/>
      <c r="T166" s="1155"/>
      <c r="U166" s="540"/>
      <c r="V166" s="1155"/>
      <c r="W166" s="1155"/>
      <c r="X166" s="1155"/>
      <c r="Y166" s="1155"/>
      <c r="Z166" s="1155"/>
      <c r="AA166" s="1657"/>
      <c r="AB166" s="562"/>
      <c r="AC166" s="562"/>
      <c r="AD166" s="562"/>
      <c r="AE166" s="562"/>
    </row>
    <row s="1666" customFormat="1" customHeight="1" ht="11.25">
      <c r="A167" s="982"/>
      <c r="B167" s="1661"/>
      <c r="C167" s="1661"/>
      <c r="D167" s="339"/>
      <c r="K167" s="1155"/>
      <c r="L167" s="1661"/>
      <c r="M167" s="1661"/>
      <c r="N167" s="1155"/>
      <c r="O167" s="1155"/>
      <c r="P167" s="1155"/>
      <c r="Q167" s="1155"/>
      <c r="R167" s="1661"/>
      <c r="S167" s="1155"/>
      <c r="T167" s="1155"/>
      <c r="U167" s="540"/>
      <c r="V167" s="1155"/>
      <c r="W167" s="1155"/>
      <c r="X167" s="1155"/>
      <c r="Y167" s="1155"/>
      <c r="Z167" s="1155"/>
      <c r="AA167" s="1657"/>
      <c r="AB167" s="562"/>
      <c r="AC167" s="562"/>
      <c r="AD167" s="562"/>
      <c r="AE167" s="562"/>
    </row>
    <row s="1666" customFormat="1" customHeight="1" ht="11.25">
      <c r="A168" s="982"/>
      <c r="B168" s="1661"/>
      <c r="C168" s="1661"/>
      <c r="D168" s="339"/>
      <c r="K168" s="1155"/>
      <c r="L168" s="1661"/>
      <c r="M168" s="1661"/>
      <c r="N168" s="1155"/>
      <c r="O168" s="1155"/>
      <c r="P168" s="1155"/>
      <c r="Q168" s="1155"/>
      <c r="R168" s="1661"/>
      <c r="S168" s="1155"/>
      <c r="T168" s="1155"/>
      <c r="U168" s="540"/>
      <c r="V168" s="1155"/>
      <c r="W168" s="1155"/>
      <c r="X168" s="1155"/>
      <c r="Y168" s="1155"/>
      <c r="Z168" s="1155"/>
      <c r="AA168" s="1657"/>
      <c r="AB168" s="562"/>
      <c r="AC168" s="562"/>
      <c r="AD168" s="562"/>
      <c r="AE168" s="562"/>
    </row>
    <row s="1666" customFormat="1" customHeight="1" ht="11.25">
      <c r="A169" s="982"/>
      <c r="B169" s="1661"/>
      <c r="C169" s="1661"/>
      <c r="D169" s="339"/>
      <c r="K169" s="1155"/>
      <c r="L169" s="1661"/>
      <c r="M169" s="1661"/>
      <c r="N169" s="1155"/>
      <c r="O169" s="1155"/>
      <c r="P169" s="1155"/>
      <c r="Q169" s="1155"/>
      <c r="R169" s="1661"/>
      <c r="S169" s="1155"/>
      <c r="T169" s="1155"/>
      <c r="U169" s="540"/>
      <c r="V169" s="1155"/>
      <c r="W169" s="1155"/>
      <c r="X169" s="1155"/>
      <c r="Y169" s="1155"/>
      <c r="Z169" s="1155"/>
      <c r="AA169" s="1657"/>
      <c r="AB169" s="562"/>
      <c r="AC169" s="562"/>
      <c r="AD169" s="562"/>
      <c r="AE169" s="562"/>
    </row>
    <row s="1666" customFormat="1" customHeight="1" ht="11.25">
      <c r="A170" s="982"/>
      <c r="B170" s="1661"/>
      <c r="C170" s="1661"/>
      <c r="D170" s="339"/>
      <c r="K170" s="1155"/>
      <c r="L170" s="1661"/>
      <c r="M170" s="1661"/>
      <c r="N170" s="1155"/>
      <c r="O170" s="1155"/>
      <c r="P170" s="1155"/>
      <c r="Q170" s="1155"/>
      <c r="R170" s="1661"/>
      <c r="S170" s="1155"/>
      <c r="T170" s="1155"/>
      <c r="U170" s="540"/>
      <c r="V170" s="1155"/>
      <c r="W170" s="1155"/>
      <c r="X170" s="1155"/>
      <c r="Y170" s="1155"/>
      <c r="Z170" s="1155"/>
      <c r="AA170" s="1657"/>
      <c r="AB170" s="562"/>
      <c r="AC170" s="562"/>
      <c r="AD170" s="562"/>
      <c r="AE170" s="562"/>
    </row>
    <row s="1666" customFormat="1" customHeight="1" ht="11.25">
      <c r="A171" s="982"/>
      <c r="B171" s="1661"/>
      <c r="C171" s="1661"/>
      <c r="D171" s="339"/>
      <c r="K171" s="1155"/>
      <c r="L171" s="1661"/>
      <c r="M171" s="1661"/>
      <c r="N171" s="1155"/>
      <c r="O171" s="1155"/>
      <c r="P171" s="1155"/>
      <c r="Q171" s="1155"/>
      <c r="R171" s="1661"/>
      <c r="S171" s="1155"/>
      <c r="T171" s="1155"/>
      <c r="U171" s="540"/>
      <c r="V171" s="1155"/>
      <c r="W171" s="1155"/>
      <c r="X171" s="1155"/>
      <c r="Y171" s="1155"/>
      <c r="Z171" s="1155"/>
      <c r="AA171" s="1657"/>
      <c r="AB171" s="562"/>
      <c r="AC171" s="562"/>
      <c r="AD171" s="562"/>
      <c r="AE171" s="562"/>
    </row>
    <row s="1666" customFormat="1" customHeight="1" ht="11.25">
      <c r="A172" s="982"/>
      <c r="B172" s="1661"/>
      <c r="C172" s="1661"/>
      <c r="D172" s="339"/>
      <c r="K172" s="1155"/>
      <c r="L172" s="1661"/>
      <c r="M172" s="1661"/>
      <c r="N172" s="1155"/>
      <c r="O172" s="1155"/>
      <c r="P172" s="1155"/>
      <c r="Q172" s="1155"/>
      <c r="R172" s="1661"/>
      <c r="S172" s="1155"/>
      <c r="T172" s="1155"/>
      <c r="U172" s="540"/>
      <c r="V172" s="1155"/>
      <c r="W172" s="1155"/>
      <c r="X172" s="1155"/>
      <c r="Y172" s="1155"/>
      <c r="Z172" s="1155"/>
      <c r="AA172" s="1657"/>
      <c r="AB172" s="562"/>
      <c r="AC172" s="562"/>
      <c r="AD172" s="562"/>
      <c r="AE172" s="562"/>
    </row>
    <row s="1666" customFormat="1" customHeight="1" ht="11.25">
      <c r="A173" s="982"/>
      <c r="B173" s="1661"/>
      <c r="C173" s="1661"/>
      <c r="D173" s="339"/>
      <c r="K173" s="1155"/>
      <c r="L173" s="1661"/>
      <c r="M173" s="1661"/>
      <c r="N173" s="1155"/>
      <c r="O173" s="1155"/>
      <c r="P173" s="1155"/>
      <c r="Q173" s="1155"/>
      <c r="R173" s="1661"/>
      <c r="S173" s="1155"/>
      <c r="T173" s="1155"/>
      <c r="U173" s="540"/>
      <c r="V173" s="1155"/>
      <c r="W173" s="1155"/>
      <c r="X173" s="1155"/>
      <c r="Y173" s="1155"/>
      <c r="Z173" s="1155"/>
      <c r="AA173" s="1657"/>
      <c r="AB173" s="562"/>
      <c r="AC173" s="562"/>
      <c r="AD173" s="562"/>
      <c r="AE173" s="562"/>
    </row>
    <row s="1666" customFormat="1" customHeight="1" ht="11.25">
      <c r="A174" s="982"/>
      <c r="B174" s="1661"/>
      <c r="C174" s="1661"/>
      <c r="D174" s="339"/>
      <c r="K174" s="1155"/>
      <c r="L174" s="1661"/>
      <c r="M174" s="1661"/>
      <c r="N174" s="1155"/>
      <c r="O174" s="1155"/>
      <c r="P174" s="1155"/>
      <c r="Q174" s="1155"/>
      <c r="R174" s="1661"/>
      <c r="S174" s="1155"/>
      <c r="T174" s="1155"/>
      <c r="U174" s="540"/>
      <c r="V174" s="1155"/>
      <c r="W174" s="1155"/>
      <c r="X174" s="1155"/>
      <c r="Y174" s="1155"/>
      <c r="Z174" s="1155"/>
      <c r="AA174" s="1657"/>
      <c r="AB174" s="562"/>
      <c r="AC174" s="562"/>
      <c r="AD174" s="562"/>
      <c r="AE174" s="562"/>
    </row>
    <row s="1666" customFormat="1" customHeight="1" ht="11.25">
      <c r="A175" s="982"/>
      <c r="B175" s="1661"/>
      <c r="C175" s="1661"/>
      <c r="D175" s="339"/>
      <c r="K175" s="1155"/>
      <c r="L175" s="1661"/>
      <c r="M175" s="1661"/>
      <c r="N175" s="1155"/>
      <c r="O175" s="1155"/>
      <c r="P175" s="1155"/>
      <c r="Q175" s="1155"/>
      <c r="R175" s="1661"/>
      <c r="S175" s="1155"/>
      <c r="T175" s="1155"/>
      <c r="U175" s="540"/>
      <c r="V175" s="1155"/>
      <c r="W175" s="1155"/>
      <c r="X175" s="1155"/>
      <c r="Y175" s="1155"/>
      <c r="Z175" s="1155"/>
      <c r="AA175" s="1657"/>
      <c r="AB175" s="562"/>
      <c r="AC175" s="562"/>
      <c r="AD175" s="562"/>
      <c r="AE175" s="562"/>
    </row>
    <row s="1666" customFormat="1" customHeight="1" ht="11.25">
      <c r="A176" s="982"/>
      <c r="B176" s="1661"/>
      <c r="C176" s="1661"/>
      <c r="D176" s="339"/>
      <c r="K176" s="1155"/>
      <c r="L176" s="1661"/>
      <c r="M176" s="1661"/>
      <c r="N176" s="1155"/>
      <c r="O176" s="1155"/>
      <c r="P176" s="1155"/>
      <c r="Q176" s="1155"/>
      <c r="R176" s="1661"/>
      <c r="S176" s="1155"/>
      <c r="T176" s="1155"/>
      <c r="U176" s="540"/>
      <c r="V176" s="1155"/>
      <c r="W176" s="1155"/>
      <c r="X176" s="1155"/>
      <c r="Y176" s="1155"/>
      <c r="Z176" s="1155"/>
      <c r="AA176" s="1657"/>
      <c r="AB176" s="562"/>
      <c r="AC176" s="562"/>
      <c r="AD176" s="562"/>
      <c r="AE176" s="562"/>
    </row>
    <row s="1666" customFormat="1" customHeight="1" ht="11.25">
      <c r="A177" s="982"/>
      <c r="B177" s="1661"/>
      <c r="C177" s="1661"/>
      <c r="D177" s="339"/>
      <c r="K177" s="1155"/>
      <c r="L177" s="1661"/>
      <c r="M177" s="1661"/>
      <c r="N177" s="1155"/>
      <c r="O177" s="1155"/>
      <c r="P177" s="1155"/>
      <c r="Q177" s="1155"/>
      <c r="R177" s="1661"/>
      <c r="S177" s="1155"/>
      <c r="T177" s="1155"/>
      <c r="U177" s="540"/>
      <c r="V177" s="1155"/>
      <c r="W177" s="1155"/>
      <c r="X177" s="1155"/>
      <c r="Y177" s="1155"/>
      <c r="Z177" s="1155"/>
      <c r="AA177" s="1657"/>
      <c r="AB177" s="562"/>
      <c r="AC177" s="562"/>
      <c r="AD177" s="562"/>
      <c r="AE177" s="562"/>
    </row>
    <row s="1666" customFormat="1" customHeight="1" ht="11.25">
      <c r="A178" s="982"/>
      <c r="B178" s="1661"/>
      <c r="C178" s="1661"/>
      <c r="D178" s="339"/>
      <c r="K178" s="1155"/>
      <c r="L178" s="1661"/>
      <c r="M178" s="1661"/>
      <c r="N178" s="1155"/>
      <c r="O178" s="1155"/>
      <c r="P178" s="1155"/>
      <c r="Q178" s="1155"/>
      <c r="R178" s="1661"/>
      <c r="S178" s="1155"/>
      <c r="T178" s="1155"/>
      <c r="U178" s="540"/>
      <c r="V178" s="1155"/>
      <c r="W178" s="1155"/>
      <c r="X178" s="1155"/>
      <c r="Y178" s="1155"/>
      <c r="Z178" s="1155"/>
      <c r="AA178" s="1657"/>
      <c r="AB178" s="562"/>
      <c r="AC178" s="562"/>
      <c r="AD178" s="562"/>
      <c r="AE178" s="562"/>
    </row>
    <row s="1666" customFormat="1" customHeight="1" ht="11.25">
      <c r="A179" s="982"/>
      <c r="B179" s="1661"/>
      <c r="C179" s="1661"/>
      <c r="D179" s="339"/>
      <c r="K179" s="1155"/>
      <c r="L179" s="1661"/>
      <c r="M179" s="1661"/>
      <c r="N179" s="1155"/>
      <c r="O179" s="1155"/>
      <c r="P179" s="1155"/>
      <c r="Q179" s="1155"/>
      <c r="R179" s="1661"/>
      <c r="S179" s="1155"/>
      <c r="T179" s="1155"/>
      <c r="U179" s="540"/>
      <c r="V179" s="1155"/>
      <c r="W179" s="1155"/>
      <c r="X179" s="1155"/>
      <c r="Y179" s="1155"/>
      <c r="Z179" s="1155"/>
      <c r="AA179" s="1657"/>
      <c r="AB179" s="562"/>
      <c r="AC179" s="562"/>
      <c r="AD179" s="562"/>
      <c r="AE179" s="562"/>
    </row>
    <row s="1666" customFormat="1" customHeight="1" ht="11.25">
      <c r="A180" s="982"/>
      <c r="B180" s="1661"/>
      <c r="C180" s="1661"/>
      <c r="D180" s="339"/>
      <c r="K180" s="1155"/>
      <c r="L180" s="1661"/>
      <c r="M180" s="1661"/>
      <c r="N180" s="1155"/>
      <c r="O180" s="1155"/>
      <c r="P180" s="1155"/>
      <c r="Q180" s="1155"/>
      <c r="R180" s="1661"/>
      <c r="S180" s="1155"/>
      <c r="T180" s="1155"/>
      <c r="U180" s="540"/>
      <c r="V180" s="1155"/>
      <c r="W180" s="1155"/>
      <c r="X180" s="1155"/>
      <c r="Y180" s="1155"/>
      <c r="Z180" s="1155"/>
      <c r="AA180" s="1657"/>
      <c r="AB180" s="562"/>
      <c r="AC180" s="562"/>
      <c r="AD180" s="562"/>
      <c r="AE180" s="562"/>
    </row>
    <row s="1666" customFormat="1" customHeight="1" ht="11.25">
      <c r="A181" s="982"/>
      <c r="B181" s="1661"/>
      <c r="C181" s="1661"/>
      <c r="D181" s="339"/>
      <c r="K181" s="1155"/>
      <c r="L181" s="1661"/>
      <c r="M181" s="1661"/>
      <c r="N181" s="1155"/>
      <c r="O181" s="1155"/>
      <c r="P181" s="1155"/>
      <c r="Q181" s="1155"/>
      <c r="R181" s="1661"/>
      <c r="S181" s="1155"/>
      <c r="T181" s="1155"/>
      <c r="U181" s="540"/>
      <c r="V181" s="1155"/>
      <c r="W181" s="1155"/>
      <c r="X181" s="1155"/>
      <c r="Y181" s="1155"/>
      <c r="Z181" s="1155"/>
      <c r="AA181" s="1657"/>
      <c r="AB181" s="562"/>
      <c r="AC181" s="562"/>
      <c r="AD181" s="562"/>
      <c r="AE181" s="562"/>
    </row>
    <row s="1666" customFormat="1" customHeight="1" ht="11.25">
      <c r="A182" s="982"/>
      <c r="B182" s="1661"/>
      <c r="C182" s="1661"/>
      <c r="D182" s="339"/>
      <c r="K182" s="1155"/>
      <c r="L182" s="1661"/>
      <c r="M182" s="1661"/>
      <c r="N182" s="1155"/>
      <c r="O182" s="1155"/>
      <c r="P182" s="1155"/>
      <c r="Q182" s="1155"/>
      <c r="R182" s="1661"/>
      <c r="S182" s="1155"/>
      <c r="T182" s="1155"/>
      <c r="U182" s="540"/>
      <c r="V182" s="1155"/>
      <c r="W182" s="1155"/>
      <c r="X182" s="1155"/>
      <c r="Y182" s="1155"/>
      <c r="Z182" s="1155"/>
      <c r="AA182" s="1657"/>
      <c r="AB182" s="562"/>
      <c r="AC182" s="562"/>
      <c r="AD182" s="562"/>
      <c r="AE182" s="562"/>
    </row>
    <row s="1666" customFormat="1" customHeight="1" ht="11.25">
      <c r="A183" s="982"/>
      <c r="B183" s="1661"/>
      <c r="C183" s="1661"/>
      <c r="D183" s="339"/>
      <c r="K183" s="1155"/>
      <c r="L183" s="1661"/>
      <c r="M183" s="1661"/>
      <c r="N183" s="1155"/>
      <c r="O183" s="1155"/>
      <c r="P183" s="1155"/>
      <c r="Q183" s="1155"/>
      <c r="R183" s="1661"/>
      <c r="S183" s="1155"/>
      <c r="T183" s="1155"/>
      <c r="U183" s="540"/>
      <c r="V183" s="1155"/>
      <c r="W183" s="1155"/>
      <c r="X183" s="1155"/>
      <c r="Y183" s="1155"/>
      <c r="Z183" s="1155"/>
      <c r="AA183" s="1657"/>
      <c r="AB183" s="562"/>
      <c r="AC183" s="562"/>
      <c r="AD183" s="562"/>
      <c r="AE183" s="562"/>
    </row>
    <row s="1666" customFormat="1" customHeight="1" ht="11.25">
      <c r="A184" s="982"/>
      <c r="B184" s="1661"/>
      <c r="C184" s="1661"/>
      <c r="D184" s="339"/>
      <c r="K184" s="1155"/>
      <c r="L184" s="1661"/>
      <c r="M184" s="1661"/>
      <c r="N184" s="1155"/>
      <c r="O184" s="1155"/>
      <c r="P184" s="1155"/>
      <c r="Q184" s="1155"/>
      <c r="R184" s="1661"/>
      <c r="S184" s="1155"/>
      <c r="T184" s="1155"/>
      <c r="U184" s="540"/>
      <c r="V184" s="1155"/>
      <c r="W184" s="1155"/>
      <c r="X184" s="1155"/>
      <c r="Y184" s="1155"/>
      <c r="Z184" s="1155"/>
      <c r="AA184" s="1657"/>
      <c r="AB184" s="562"/>
      <c r="AC184" s="562"/>
      <c r="AD184" s="562"/>
      <c r="AE184" s="562"/>
    </row>
    <row s="1666" customFormat="1" customHeight="1" ht="11.25">
      <c r="A185" s="982"/>
      <c r="B185" s="1661"/>
      <c r="C185" s="1661"/>
      <c r="D185" s="339"/>
      <c r="K185" s="1155"/>
      <c r="L185" s="1661"/>
      <c r="M185" s="1661"/>
      <c r="N185" s="1155"/>
      <c r="O185" s="1155"/>
      <c r="P185" s="1155"/>
      <c r="Q185" s="1155"/>
      <c r="R185" s="1661"/>
      <c r="S185" s="1155"/>
      <c r="T185" s="1155"/>
      <c r="U185" s="540"/>
      <c r="V185" s="1155"/>
      <c r="W185" s="1155"/>
      <c r="X185" s="1155"/>
      <c r="Y185" s="1155"/>
      <c r="Z185" s="1155"/>
      <c r="AA185" s="1657"/>
      <c r="AB185" s="562"/>
      <c r="AC185" s="562"/>
      <c r="AD185" s="562"/>
      <c r="AE185" s="562"/>
    </row>
    <row s="1666" customFormat="1" customHeight="1" ht="11.25">
      <c r="A186" s="982"/>
      <c r="B186" s="1661"/>
      <c r="C186" s="1661"/>
      <c r="D186" s="339"/>
      <c r="K186" s="1155"/>
      <c r="L186" s="1661"/>
      <c r="M186" s="1661"/>
      <c r="N186" s="1155"/>
      <c r="O186" s="1155"/>
      <c r="P186" s="1155"/>
      <c r="Q186" s="1155"/>
      <c r="R186" s="1661"/>
      <c r="S186" s="1155"/>
      <c r="T186" s="1155"/>
      <c r="U186" s="540"/>
      <c r="V186" s="1155"/>
      <c r="W186" s="1155"/>
      <c r="X186" s="1155"/>
      <c r="Y186" s="1155"/>
      <c r="Z186" s="1155"/>
      <c r="AA186" s="1657"/>
      <c r="AB186" s="562"/>
      <c r="AC186" s="562"/>
      <c r="AD186" s="562"/>
      <c r="AE186" s="562"/>
    </row>
    <row s="1666" customFormat="1" customHeight="1" ht="11.25">
      <c r="A187" s="982"/>
      <c r="B187" s="1661"/>
      <c r="C187" s="1661"/>
      <c r="D187" s="339"/>
      <c r="K187" s="1155"/>
      <c r="L187" s="1661"/>
      <c r="M187" s="1661"/>
      <c r="N187" s="1155"/>
      <c r="O187" s="1155"/>
      <c r="P187" s="1155"/>
      <c r="Q187" s="1155"/>
      <c r="R187" s="1661"/>
      <c r="S187" s="1155"/>
      <c r="T187" s="1155"/>
      <c r="U187" s="540"/>
      <c r="V187" s="1155"/>
      <c r="W187" s="1155"/>
      <c r="X187" s="1155"/>
      <c r="Y187" s="1155"/>
      <c r="Z187" s="1155"/>
      <c r="AA187" s="1657"/>
      <c r="AB187" s="562"/>
      <c r="AC187" s="562"/>
      <c r="AD187" s="562"/>
      <c r="AE187" s="562"/>
    </row>
    <row s="1666" customFormat="1" customHeight="1" ht="11.25">
      <c r="A188" s="982"/>
      <c r="B188" s="1661"/>
      <c r="C188" s="1661"/>
      <c r="D188" s="339"/>
      <c r="K188" s="1155"/>
      <c r="L188" s="1661"/>
      <c r="M188" s="1661"/>
      <c r="N188" s="1155"/>
      <c r="O188" s="1155"/>
      <c r="P188" s="1155"/>
      <c r="Q188" s="1155"/>
      <c r="R188" s="1661"/>
      <c r="S188" s="1155"/>
      <c r="T188" s="1155"/>
      <c r="U188" s="540"/>
      <c r="V188" s="1155"/>
      <c r="W188" s="1155"/>
      <c r="X188" s="1155"/>
      <c r="Y188" s="1155"/>
      <c r="Z188" s="1155"/>
      <c r="AA188" s="1657"/>
      <c r="AB188" s="562"/>
      <c r="AC188" s="562"/>
      <c r="AD188" s="562"/>
      <c r="AE188" s="562"/>
    </row>
    <row s="1666" customFormat="1" customHeight="1" ht="11.25">
      <c r="A189" s="982"/>
      <c r="B189" s="1661"/>
      <c r="C189" s="1661"/>
      <c r="D189" s="339"/>
      <c r="K189" s="1155"/>
      <c r="L189" s="1661"/>
      <c r="M189" s="1661"/>
      <c r="N189" s="1155"/>
      <c r="O189" s="1155"/>
      <c r="P189" s="1155"/>
      <c r="Q189" s="1155"/>
      <c r="R189" s="1661"/>
      <c r="S189" s="1155"/>
      <c r="T189" s="1155"/>
      <c r="U189" s="540"/>
      <c r="V189" s="1155"/>
      <c r="W189" s="1155"/>
      <c r="X189" s="1155"/>
      <c r="Y189" s="1155"/>
      <c r="Z189" s="1155"/>
      <c r="AA189" s="1657"/>
      <c r="AB189" s="562"/>
      <c r="AC189" s="562"/>
      <c r="AD189" s="562"/>
      <c r="AE189" s="562"/>
    </row>
    <row s="1666" customFormat="1" customHeight="1" ht="11.25">
      <c r="A190" s="982"/>
      <c r="B190" s="1661"/>
      <c r="C190" s="1661"/>
      <c r="D190" s="339"/>
      <c r="K190" s="1155"/>
      <c r="L190" s="1661"/>
      <c r="M190" s="1661"/>
      <c r="N190" s="1155"/>
      <c r="O190" s="1155"/>
      <c r="P190" s="1155"/>
      <c r="Q190" s="1155"/>
      <c r="R190" s="1661"/>
      <c r="S190" s="1155"/>
      <c r="T190" s="1155"/>
      <c r="U190" s="540"/>
      <c r="V190" s="1155"/>
      <c r="W190" s="1155"/>
      <c r="X190" s="1155"/>
      <c r="Y190" s="1155"/>
      <c r="Z190" s="1155"/>
      <c r="AA190" s="1657"/>
      <c r="AB190" s="562"/>
      <c r="AC190" s="562"/>
      <c r="AD190" s="562"/>
      <c r="AE190" s="562"/>
    </row>
    <row s="1666" customFormat="1" customHeight="1" ht="11.25">
      <c r="A191" s="982"/>
      <c r="B191" s="1661"/>
      <c r="C191" s="1661"/>
      <c r="D191" s="339"/>
      <c r="K191" s="1155"/>
      <c r="L191" s="1661"/>
      <c r="M191" s="1661"/>
      <c r="N191" s="1155"/>
      <c r="O191" s="1155"/>
      <c r="P191" s="1155"/>
      <c r="Q191" s="1155"/>
      <c r="R191" s="1661"/>
      <c r="S191" s="1155"/>
      <c r="T191" s="1155"/>
      <c r="U191" s="540"/>
      <c r="V191" s="1155"/>
      <c r="W191" s="1155"/>
      <c r="X191" s="1155"/>
      <c r="Y191" s="1155"/>
      <c r="Z191" s="1155"/>
      <c r="AA191" s="1657"/>
      <c r="AB191" s="562"/>
      <c r="AC191" s="562"/>
      <c r="AD191" s="562"/>
      <c r="AE191" s="562"/>
    </row>
    <row s="1666" customFormat="1" customHeight="1" ht="11.25">
      <c r="A192" s="982"/>
      <c r="B192" s="1661"/>
      <c r="C192" s="1661"/>
      <c r="D192" s="339"/>
      <c r="K192" s="1155"/>
      <c r="L192" s="1661"/>
      <c r="M192" s="1661"/>
      <c r="N192" s="1155"/>
      <c r="O192" s="1155"/>
      <c r="P192" s="1155"/>
      <c r="Q192" s="1155"/>
      <c r="R192" s="1661"/>
      <c r="S192" s="1155"/>
      <c r="T192" s="1155"/>
      <c r="U192" s="540"/>
      <c r="V192" s="1155"/>
      <c r="W192" s="1155"/>
      <c r="X192" s="1155"/>
      <c r="Y192" s="1155"/>
      <c r="Z192" s="1155"/>
      <c r="AA192" s="1657"/>
      <c r="AB192" s="562"/>
      <c r="AC192" s="562"/>
      <c r="AD192" s="562"/>
      <c r="AE192" s="562"/>
    </row>
    <row s="1666" customFormat="1" customHeight="1" ht="11.25">
      <c r="A193" s="982"/>
      <c r="B193" s="1661"/>
      <c r="C193" s="1661"/>
      <c r="D193" s="339"/>
      <c r="K193" s="1155"/>
      <c r="L193" s="1661"/>
      <c r="M193" s="1661"/>
      <c r="N193" s="1155"/>
      <c r="O193" s="1155"/>
      <c r="P193" s="1155"/>
      <c r="Q193" s="1155"/>
      <c r="R193" s="1661"/>
      <c r="S193" s="1155"/>
      <c r="T193" s="1155"/>
      <c r="U193" s="540"/>
      <c r="V193" s="1155"/>
      <c r="W193" s="1155"/>
      <c r="X193" s="1155"/>
      <c r="Y193" s="1155"/>
      <c r="Z193" s="1155"/>
      <c r="AA193" s="1657"/>
      <c r="AB193" s="562"/>
      <c r="AC193" s="562"/>
      <c r="AD193" s="562"/>
      <c r="AE193" s="562"/>
    </row>
    <row s="1666" customFormat="1" customHeight="1" ht="11.25">
      <c r="A194" s="982"/>
      <c r="B194" s="1661"/>
      <c r="C194" s="1661"/>
      <c r="D194" s="339"/>
      <c r="K194" s="1155"/>
      <c r="L194" s="1661"/>
      <c r="M194" s="1661"/>
      <c r="N194" s="1155"/>
      <c r="O194" s="1155"/>
      <c r="P194" s="1155"/>
      <c r="Q194" s="1155"/>
      <c r="R194" s="1661"/>
      <c r="S194" s="1155"/>
      <c r="T194" s="1155"/>
      <c r="U194" s="540"/>
      <c r="V194" s="1155"/>
      <c r="W194" s="1155"/>
      <c r="X194" s="1155"/>
      <c r="Y194" s="1155"/>
      <c r="Z194" s="1155"/>
      <c r="AA194" s="1657"/>
      <c r="AB194" s="562"/>
      <c r="AC194" s="562"/>
      <c r="AD194" s="562"/>
      <c r="AE194" s="562"/>
    </row>
    <row s="1666" customFormat="1" customHeight="1" ht="11.25">
      <c r="A195" s="982"/>
      <c r="B195" s="1661"/>
      <c r="C195" s="1661"/>
      <c r="D195" s="339"/>
      <c r="K195" s="1155"/>
      <c r="L195" s="1661"/>
      <c r="M195" s="1661"/>
      <c r="N195" s="1155"/>
      <c r="O195" s="1155"/>
      <c r="P195" s="1155"/>
      <c r="Q195" s="1155"/>
      <c r="R195" s="1661"/>
      <c r="S195" s="1155"/>
      <c r="T195" s="1155"/>
      <c r="U195" s="540"/>
      <c r="V195" s="1155"/>
      <c r="W195" s="1155"/>
      <c r="X195" s="1155"/>
      <c r="Y195" s="1155"/>
      <c r="Z195" s="1155"/>
      <c r="AA195" s="1657"/>
      <c r="AB195" s="562"/>
      <c r="AC195" s="562"/>
      <c r="AD195" s="562"/>
      <c r="AE195" s="562"/>
    </row>
    <row r="199" customHeight="1" ht="11.25">
      <c r="A199" s="985"/>
      <c r="B199" s="1656"/>
      <c r="D199" s="1656"/>
      <c r="K199" s="1656"/>
      <c r="N199" s="1656"/>
      <c r="O199" s="1656"/>
      <c r="P199" s="1656"/>
      <c r="Q199" s="1656"/>
      <c r="S199" s="1656"/>
      <c r="T199" s="1656"/>
      <c r="U199" s="1656"/>
      <c r="V199" s="1656"/>
      <c r="W199" s="1656"/>
      <c r="X199" s="1656"/>
      <c r="Y199" s="1656"/>
      <c r="Z199" s="1656"/>
      <c r="AA199" s="1656"/>
      <c r="AB199" s="1656"/>
      <c r="AC199" s="1656"/>
      <c r="AD199" s="1656"/>
      <c r="AE199" s="1656"/>
    </row>
    <row customHeight="1" ht="11.25">
      <c r="A200" s="985"/>
      <c r="B200" s="1656"/>
      <c r="D200" s="1656"/>
      <c r="K200" s="1656"/>
      <c r="N200" s="1656"/>
      <c r="O200" s="1656"/>
      <c r="P200" s="1656"/>
      <c r="Q200" s="1656"/>
      <c r="S200" s="1656"/>
      <c r="T200" s="1656"/>
      <c r="U200" s="1656"/>
      <c r="V200" s="1656"/>
      <c r="W200" s="1656"/>
      <c r="X200" s="1656"/>
      <c r="Y200" s="1656"/>
      <c r="Z200" s="1656"/>
      <c r="AA200" s="1656"/>
      <c r="AB200" s="1656"/>
      <c r="AC200" s="1656"/>
      <c r="AD200" s="1656"/>
      <c r="AE200" s="1656"/>
    </row>
    <row customHeight="1" ht="11.25">
      <c r="A201" s="985"/>
      <c r="B201" s="1656"/>
      <c r="D201" s="1656"/>
      <c r="K201" s="1656"/>
      <c r="N201" s="1656"/>
      <c r="O201" s="1656"/>
      <c r="P201" s="1656"/>
      <c r="Q201" s="1656"/>
      <c r="S201" s="1656"/>
      <c r="T201" s="1656"/>
      <c r="U201" s="1656"/>
      <c r="V201" s="1656"/>
      <c r="W201" s="1656"/>
      <c r="X201" s="1656"/>
      <c r="Y201" s="1656"/>
      <c r="Z201" s="1656"/>
      <c r="AA201" s="1656"/>
      <c r="AB201" s="1656"/>
      <c r="AC201" s="1656"/>
      <c r="AD201" s="1656"/>
      <c r="AE201" s="1656"/>
    </row>
    <row customHeight="1" ht="11.25">
      <c r="A202" s="985"/>
      <c r="B202" s="1656"/>
      <c r="D202" s="1656"/>
      <c r="K202" s="1656"/>
      <c r="N202" s="1656"/>
      <c r="O202" s="1656"/>
      <c r="P202" s="1656"/>
      <c r="Q202" s="1656"/>
      <c r="S202" s="1656"/>
      <c r="T202" s="1656"/>
      <c r="U202" s="1656"/>
      <c r="V202" s="1656"/>
      <c r="W202" s="1656"/>
      <c r="X202" s="1656"/>
      <c r="Y202" s="1656"/>
      <c r="Z202" s="1656"/>
      <c r="AA202" s="1656"/>
      <c r="AB202" s="1656"/>
      <c r="AC202" s="1656"/>
      <c r="AD202" s="1656"/>
      <c r="AE202" s="1656"/>
    </row>
    <row customHeight="1" ht="11.25">
      <c r="A203" s="985"/>
      <c r="B203" s="1656"/>
      <c r="D203" s="1656"/>
      <c r="K203" s="1656"/>
      <c r="N203" s="1656"/>
      <c r="O203" s="1656"/>
      <c r="P203" s="1656"/>
      <c r="Q203" s="1656"/>
      <c r="S203" s="1656"/>
      <c r="T203" s="1656"/>
      <c r="U203" s="1656"/>
      <c r="V203" s="1656"/>
      <c r="W203" s="1656"/>
      <c r="X203" s="1656"/>
      <c r="Y203" s="1656"/>
      <c r="Z203" s="1656"/>
      <c r="AA203" s="1656"/>
      <c r="AB203" s="1656"/>
      <c r="AC203" s="1656"/>
      <c r="AD203" s="1656"/>
      <c r="AE203" s="1656"/>
    </row>
    <row customHeight="1" ht="11.25">
      <c r="A204" s="985"/>
      <c r="B204" s="1656"/>
      <c r="D204" s="1656"/>
      <c r="K204" s="1656"/>
      <c r="N204" s="1656"/>
      <c r="O204" s="1656"/>
      <c r="P204" s="1656"/>
      <c r="Q204" s="1656"/>
      <c r="S204" s="1656"/>
      <c r="T204" s="1656"/>
      <c r="U204" s="1656"/>
      <c r="V204" s="1656"/>
      <c r="W204" s="1656"/>
      <c r="X204" s="1656"/>
      <c r="Y204" s="1656"/>
      <c r="Z204" s="1656"/>
      <c r="AA204" s="1656"/>
      <c r="AB204" s="1656"/>
      <c r="AC204" s="1656"/>
      <c r="AD204" s="1656"/>
      <c r="AE204" s="1656"/>
    </row>
    <row customHeight="1" ht="11.25">
      <c r="A205" s="985"/>
      <c r="B205" s="1656"/>
      <c r="D205" s="1656"/>
      <c r="K205" s="1656"/>
      <c r="N205" s="1656"/>
      <c r="O205" s="1656"/>
      <c r="P205" s="1656"/>
      <c r="Q205" s="1656"/>
      <c r="S205" s="1656"/>
      <c r="T205" s="1656"/>
      <c r="U205" s="1656"/>
      <c r="V205" s="1656"/>
      <c r="W205" s="1656"/>
      <c r="X205" s="1656"/>
      <c r="Y205" s="1656"/>
      <c r="Z205" s="1656"/>
      <c r="AA205" s="1656"/>
      <c r="AB205" s="1656"/>
      <c r="AC205" s="1656"/>
      <c r="AD205" s="1656"/>
      <c r="AE205" s="1656"/>
    </row>
    <row customHeight="1" ht="11.25">
      <c r="A206" s="985"/>
      <c r="B206" s="1656"/>
      <c r="D206" s="1656"/>
      <c r="K206" s="1656"/>
      <c r="N206" s="1656"/>
      <c r="O206" s="1656"/>
      <c r="P206" s="1656"/>
      <c r="Q206" s="1656"/>
      <c r="S206" s="1656"/>
      <c r="T206" s="1656"/>
      <c r="U206" s="1656"/>
      <c r="V206" s="1656"/>
      <c r="W206" s="1656"/>
      <c r="X206" s="1656"/>
      <c r="Y206" s="1656"/>
      <c r="Z206" s="1656"/>
      <c r="AA206" s="1656"/>
      <c r="AB206" s="1656"/>
      <c r="AC206" s="1656"/>
      <c r="AD206" s="1656"/>
      <c r="AE206" s="1656"/>
    </row>
    <row customHeight="1" ht="11.25">
      <c r="A207" s="985"/>
      <c r="B207" s="1656"/>
      <c r="D207" s="1656"/>
      <c r="K207" s="1656"/>
      <c r="N207" s="1656"/>
      <c r="O207" s="1656"/>
      <c r="P207" s="1656"/>
      <c r="Q207" s="1656"/>
      <c r="S207" s="1656"/>
      <c r="T207" s="1656"/>
      <c r="U207" s="1656"/>
      <c r="V207" s="1656"/>
      <c r="W207" s="1656"/>
      <c r="X207" s="1656"/>
      <c r="Y207" s="1656"/>
      <c r="Z207" s="1656"/>
      <c r="AA207" s="1656"/>
      <c r="AB207" s="1656"/>
      <c r="AC207" s="1656"/>
      <c r="AD207" s="1656"/>
      <c r="AE207" s="1656"/>
    </row>
    <row customHeight="1" ht="11.25">
      <c r="A208" s="985"/>
      <c r="B208" s="1656"/>
      <c r="D208" s="1656"/>
      <c r="K208" s="1656"/>
      <c r="N208" s="1656"/>
      <c r="O208" s="1656"/>
      <c r="P208" s="1656"/>
      <c r="Q208" s="1656"/>
      <c r="S208" s="1656"/>
      <c r="T208" s="1656"/>
      <c r="U208" s="1656"/>
      <c r="V208" s="1656"/>
      <c r="W208" s="1656"/>
      <c r="X208" s="1656"/>
      <c r="Y208" s="1656"/>
      <c r="Z208" s="1656"/>
      <c r="AA208" s="1656"/>
      <c r="AB208" s="1656"/>
      <c r="AC208" s="1656"/>
      <c r="AD208" s="1656"/>
      <c r="AE208" s="1656"/>
    </row>
    <row customHeight="1" ht="11.25">
      <c r="A209" s="985"/>
      <c r="B209" s="1656"/>
      <c r="D209" s="1656"/>
      <c r="K209" s="1656"/>
      <c r="N209" s="1656"/>
      <c r="O209" s="1656"/>
      <c r="P209" s="1656"/>
      <c r="Q209" s="1656"/>
      <c r="S209" s="1656"/>
      <c r="T209" s="1656"/>
      <c r="U209" s="1656"/>
      <c r="V209" s="1656"/>
      <c r="W209" s="1656"/>
      <c r="X209" s="1656"/>
      <c r="Y209" s="1656"/>
      <c r="Z209" s="1656"/>
      <c r="AA209" s="1656"/>
      <c r="AB209" s="1656"/>
      <c r="AC209" s="1656"/>
      <c r="AD209" s="1656"/>
      <c r="AE209" s="1656"/>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BD7A77-D514-595E-3A3E-213B5CE3032D}"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1161" width="9.140625" hidden="1" customWidth="1"/>
    <col min="2" max="2" style="1667" width="3.57421875" hidden="1" customWidth="1"/>
    <col min="3" max="3" style="1660" width="3.7109375" customWidth="1"/>
    <col min="4" max="4" style="1660" width="7.7109375" customWidth="1"/>
    <col min="5" max="5" style="1660" width="69.8515625" customWidth="1"/>
    <col min="6" max="6" style="1660" width="11.140625" customWidth="1"/>
    <col min="7" max="8" style="1660" width="44.00390625" hidden="1" customWidth="1"/>
    <col min="9" max="10" style="1660" width="44.00390625" customWidth="1"/>
    <col min="11" max="11" style="1660" width="74.00390625" customWidth="1"/>
    <col min="12" max="12" style="1660" width="3.7109375" customWidth="1"/>
    <col min="13" max="23" style="1660" width="10.57421875"/>
  </cols>
  <sheetData>
    <row s="1383" customFormat="1" customHeight="1" ht="11.25" hidden="1">
      <c r="A1" s="532"/>
      <c r="B1" s="507"/>
      <c r="G1" s="414">
        <v>4</v>
      </c>
      <c r="I1" s="414">
        <v>4</v>
      </c>
      <c r="K1" s="414">
        <v>5</v>
      </c>
    </row>
    <row customHeight="1" ht="3"/>
    <row customHeight="1" ht="75">
      <c r="D3" s="2073"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74"/>
      <c r="F3" s="2075"/>
    </row>
    <row s="1660" customFormat="1" customHeight="1" ht="20.25">
      <c r="A4" s="946"/>
      <c r="B4" s="507"/>
      <c r="D4" s="2061" t="str">
        <f>IF(org=0,"Не определено",org)</f>
        <v>ПАО "ТГК-1" филиал "Невский"</v>
      </c>
      <c r="E4" s="2062"/>
      <c r="F4" s="2063"/>
    </row>
    <row customHeight="1" ht="11.25">
      <c r="C5" s="505"/>
      <c r="D5" s="584"/>
      <c r="E5" s="584"/>
      <c r="F5" s="584"/>
      <c r="G5" s="584"/>
      <c r="H5" s="747"/>
      <c r="I5" s="584"/>
      <c r="J5" s="747"/>
      <c r="K5" s="584"/>
    </row>
    <row customHeight="1" ht="0.75">
      <c r="C6" s="505"/>
      <c r="D6" s="505"/>
      <c r="E6" s="518"/>
      <c r="F6" s="610"/>
      <c r="G6" s="1017"/>
      <c r="H6" s="1017"/>
      <c r="I6" s="1017" t="s">
        <v>116</v>
      </c>
      <c r="J6" s="1017"/>
    </row>
    <row customHeight="1" ht="11.25">
      <c r="D7" s="706"/>
      <c r="E7" s="2195" t="s">
        <v>104</v>
      </c>
      <c r="F7" s="2196"/>
      <c r="G7" s="2212" t="str">
        <f>IF(G6="","",INDEX(DIFFERENTIATION_UNMERGE_VD,MATCH(G6,DIFFERENTIATION_ID_DIFF,0)))</f>
        <v/>
      </c>
      <c r="H7" s="2213"/>
      <c r="I7" s="2212">
        <f>IF(I6="","",INDEX(DIFFERENTIATION_UNMERGE_VD,MATCH(I6,DIFFERENTIATION_ID_DIFF,0)))</f>
        <v>0</v>
      </c>
      <c r="J7" s="2213"/>
      <c r="K7" s="2010"/>
      <c r="L7" s="505"/>
    </row>
    <row customHeight="1" ht="11.25">
      <c r="A8" s="699"/>
      <c r="D8" s="706"/>
      <c r="E8" s="2195" t="s">
        <v>575</v>
      </c>
      <c r="F8" s="2196"/>
      <c r="G8" s="2212" t="str">
        <f>IF(G6="","",INDEX(DIFFERENTIATION_UNMERGE_AREA,MATCH(G6,DIFFERENTIATION_ID_DIFF,0)))</f>
        <v/>
      </c>
      <c r="H8" s="2213"/>
      <c r="I8" s="2212" t="str">
        <f>IF(I6="","",INDEX(DIFFERENTIATION_UNMERGE_AREA,MATCH(I6,DIFFERENTIATION_ID_DIFF,0)))</f>
        <v/>
      </c>
      <c r="J8" s="2213"/>
      <c r="K8" s="2018"/>
      <c r="L8" s="505"/>
    </row>
    <row customHeight="1" ht="11.25">
      <c r="A9" s="699"/>
      <c r="D9" s="706"/>
      <c r="E9" s="2195" t="s">
        <v>576</v>
      </c>
      <c r="F9" s="2196"/>
      <c r="G9" s="2212" t="str">
        <f>IF(G6="","",INDEX(DIFFERENTIATION_UNMERGE_SYSTEM,MATCH(G6,DIFFERENTIATION_ID_DIFF,0)))</f>
        <v/>
      </c>
      <c r="H9" s="2213"/>
      <c r="I9" s="2212" t="str">
        <f>IF(I6="","",INDEX(DIFFERENTIATION_UNMERGE_SYSTEM,MATCH(I6,DIFFERENTIATION_ID_DIFF,0)))</f>
        <v>без дифференциации</v>
      </c>
      <c r="J9" s="2213"/>
      <c r="K9" s="2018"/>
      <c r="L9" s="505"/>
    </row>
    <row s="1660" customFormat="1" customHeight="1" ht="11.25">
      <c r="A10" s="1016"/>
      <c r="B10" s="507"/>
      <c r="D10" s="1937" t="s">
        <v>312</v>
      </c>
      <c r="E10" s="1938"/>
      <c r="F10" s="1938"/>
      <c r="G10" s="1938"/>
      <c r="H10" s="1938"/>
      <c r="I10" s="1938"/>
      <c r="J10" s="1939"/>
      <c r="K10" s="2018"/>
      <c r="L10" s="505"/>
    </row>
    <row s="1660" customFormat="1" customHeight="1" ht="22.5">
      <c r="A11" s="2215"/>
      <c r="B11" s="2215"/>
      <c r="C11" s="652"/>
      <c r="D11" s="698" t="s">
        <v>87</v>
      </c>
      <c r="E11" s="700" t="s">
        <v>732</v>
      </c>
      <c r="F11" s="700" t="s">
        <v>577</v>
      </c>
      <c r="G11" s="461" t="s">
        <v>315</v>
      </c>
      <c r="H11" s="461" t="s">
        <v>404</v>
      </c>
      <c r="I11" s="801" t="s">
        <v>315</v>
      </c>
      <c r="J11" s="802" t="s">
        <v>404</v>
      </c>
      <c r="K11" s="2072"/>
      <c r="L11" s="653"/>
    </row>
    <row s="1667" customFormat="1" customHeight="1" ht="10.5">
      <c r="A12" s="947"/>
      <c r="D12" s="1020" t="s">
        <v>108</v>
      </c>
      <c r="E12" s="1020" t="s">
        <v>109</v>
      </c>
      <c r="F12" s="1020" t="s">
        <v>89</v>
      </c>
      <c r="G12" s="1021" t="str">
        <f>G1&amp;".1"</f>
        <v>4.1</v>
      </c>
      <c r="H12" s="1021" t="str">
        <f>G1&amp;".2"</f>
        <v>4.2</v>
      </c>
      <c r="I12" s="1021" t="str">
        <f>I1&amp;".1"</f>
        <v>4.1</v>
      </c>
      <c r="J12" s="1021" t="str">
        <f>I1&amp;".2"</f>
        <v>4.2</v>
      </c>
      <c r="K12" s="1021"/>
    </row>
    <row customHeight="1" ht="22.5">
      <c r="A13" s="2214" t="s">
        <v>733</v>
      </c>
      <c r="D13" s="948" t="s">
        <v>108</v>
      </c>
      <c r="E13" s="260" t="s">
        <v>734</v>
      </c>
      <c r="F13" s="655" t="s">
        <v>735</v>
      </c>
      <c r="G13" s="553"/>
      <c r="H13" s="656"/>
      <c r="I13" s="553"/>
      <c r="J13" s="656"/>
      <c r="K13" s="270" t="s">
        <v>736</v>
      </c>
      <c r="L13" s="715"/>
    </row>
    <row customHeight="1" ht="22.5">
      <c r="A14" s="2214"/>
      <c r="D14" s="535" t="s">
        <v>109</v>
      </c>
      <c r="E14" s="260" t="s">
        <v>737</v>
      </c>
      <c r="F14" s="655" t="s">
        <v>738</v>
      </c>
      <c r="G14" s="553"/>
      <c r="H14" s="657"/>
      <c r="I14" s="553"/>
      <c r="J14" s="657"/>
      <c r="K14" s="270" t="s">
        <v>739</v>
      </c>
      <c r="L14" s="715"/>
    </row>
    <row s="1660" customFormat="1" customHeight="1" ht="78.75">
      <c r="A15" s="2214"/>
      <c r="B15" s="507"/>
      <c r="D15" s="948" t="s">
        <v>89</v>
      </c>
      <c r="E15" s="702" t="s">
        <v>740</v>
      </c>
      <c r="F15" s="945" t="s">
        <v>318</v>
      </c>
      <c r="G15" s="945" t="s">
        <v>318</v>
      </c>
      <c r="H15" s="86"/>
      <c r="I15" s="945" t="s">
        <v>318</v>
      </c>
      <c r="J15" s="86"/>
      <c r="K15" s="270" t="s">
        <v>741</v>
      </c>
      <c r="L15" s="715"/>
    </row>
    <row s="1660" customFormat="1" customHeight="1" ht="22.5">
      <c r="A16" s="2214"/>
      <c r="B16" s="507"/>
      <c r="D16" s="948" t="s">
        <v>338</v>
      </c>
      <c r="E16" s="949" t="s">
        <v>742</v>
      </c>
      <c r="F16" s="945" t="s">
        <v>743</v>
      </c>
      <c r="G16" s="811"/>
      <c r="H16" s="86"/>
      <c r="I16" s="811"/>
      <c r="J16" s="86"/>
      <c r="K16" s="270"/>
      <c r="L16" s="715"/>
    </row>
    <row s="1660" customFormat="1" customHeight="1" ht="22.5">
      <c r="A17" s="2214"/>
      <c r="B17" s="507"/>
      <c r="D17" s="948" t="s">
        <v>346</v>
      </c>
      <c r="E17" s="949" t="s">
        <v>744</v>
      </c>
      <c r="F17" s="945" t="s">
        <v>745</v>
      </c>
      <c r="G17" s="811"/>
      <c r="H17" s="86"/>
      <c r="I17" s="811"/>
      <c r="J17" s="86"/>
      <c r="K17" s="270"/>
      <c r="L17" s="715"/>
    </row>
    <row s="1660" customFormat="1" customHeight="1" ht="33.75">
      <c r="A18" s="2214"/>
      <c r="B18" s="507"/>
      <c r="D18" s="948" t="s">
        <v>348</v>
      </c>
      <c r="E18" s="949" t="s">
        <v>746</v>
      </c>
      <c r="F18" s="945" t="s">
        <v>582</v>
      </c>
      <c r="G18" s="675"/>
      <c r="H18" s="86"/>
      <c r="I18" s="675"/>
      <c r="J18" s="86"/>
      <c r="K18" s="270"/>
      <c r="L18" s="715"/>
    </row>
    <row customHeight="1" ht="101.25">
      <c r="A19" s="2214"/>
      <c r="D19" s="948" t="s">
        <v>90</v>
      </c>
      <c r="E19" s="260" t="s">
        <v>747</v>
      </c>
      <c r="F19" s="655" t="s">
        <v>557</v>
      </c>
      <c r="G19" s="658"/>
      <c r="H19" s="657"/>
      <c r="I19" s="950"/>
      <c r="J19" s="657"/>
      <c r="K19" s="270" t="s">
        <v>748</v>
      </c>
      <c r="L19" s="715"/>
    </row>
    <row s="1660" customFormat="1" customHeight="1" ht="18.75">
      <c r="A20" s="2214"/>
      <c r="C20" s="951"/>
      <c r="D20" s="948" t="s">
        <v>678</v>
      </c>
      <c r="E20" s="949" t="s">
        <v>749</v>
      </c>
      <c r="F20" s="945" t="s">
        <v>318</v>
      </c>
      <c r="G20" s="945" t="s">
        <v>318</v>
      </c>
      <c r="H20" s="944" t="s">
        <v>318</v>
      </c>
      <c r="I20" s="945" t="s">
        <v>318</v>
      </c>
      <c r="J20" s="944" t="s">
        <v>318</v>
      </c>
      <c r="K20" s="943"/>
      <c r="L20" s="715"/>
      <c r="W20" s="670"/>
    </row>
    <row s="1660" customFormat="1" customHeight="1" ht="33.75">
      <c r="A21" s="2214"/>
      <c r="C21" s="951"/>
      <c r="D21" s="948" t="s">
        <v>681</v>
      </c>
      <c r="E21" s="572" t="s">
        <v>750</v>
      </c>
      <c r="F21" s="945" t="s">
        <v>751</v>
      </c>
      <c r="G21" s="937"/>
      <c r="H21" s="86"/>
      <c r="I21" s="937"/>
      <c r="J21" s="86"/>
      <c r="K21" s="943"/>
      <c r="L21" s="715"/>
      <c r="W21" s="670"/>
    </row>
    <row s="1660" customFormat="1" customHeight="1" ht="33.75">
      <c r="A22" s="2214"/>
      <c r="C22" s="951"/>
      <c r="D22" s="948" t="s">
        <v>684</v>
      </c>
      <c r="E22" s="572" t="s">
        <v>752</v>
      </c>
      <c r="F22" s="945" t="s">
        <v>753</v>
      </c>
      <c r="G22" s="937"/>
      <c r="H22" s="86"/>
      <c r="I22" s="937"/>
      <c r="J22" s="86"/>
      <c r="K22" s="943"/>
      <c r="L22" s="715"/>
      <c r="W22" s="670"/>
    </row>
    <row s="1660" customFormat="1" customHeight="1" ht="22.5">
      <c r="A23" s="2214"/>
      <c r="C23" s="951"/>
      <c r="D23" s="948" t="s">
        <v>721</v>
      </c>
      <c r="E23" s="949" t="s">
        <v>754</v>
      </c>
      <c r="F23" s="945" t="s">
        <v>318</v>
      </c>
      <c r="G23" s="945" t="s">
        <v>318</v>
      </c>
      <c r="H23" s="944" t="s">
        <v>318</v>
      </c>
      <c r="I23" s="945" t="s">
        <v>318</v>
      </c>
      <c r="J23" s="944" t="s">
        <v>318</v>
      </c>
      <c r="K23" s="943"/>
      <c r="L23" s="715"/>
      <c r="W23" s="670"/>
    </row>
    <row s="1660" customFormat="1" customHeight="1" ht="22.5">
      <c r="A24" s="2214"/>
      <c r="C24" s="951"/>
      <c r="D24" s="948" t="s">
        <v>755</v>
      </c>
      <c r="E24" s="572" t="s">
        <v>756</v>
      </c>
      <c r="F24" s="945" t="s">
        <v>757</v>
      </c>
      <c r="G24" s="937"/>
      <c r="H24" s="681"/>
      <c r="I24" s="937"/>
      <c r="J24" s="681"/>
      <c r="K24" s="943"/>
      <c r="L24" s="715"/>
      <c r="W24" s="670"/>
    </row>
    <row s="1660" customFormat="1" customHeight="1" ht="22.5">
      <c r="A25" s="2214"/>
      <c r="C25" s="951"/>
      <c r="D25" s="948" t="s">
        <v>758</v>
      </c>
      <c r="E25" s="572" t="s">
        <v>759</v>
      </c>
      <c r="F25" s="945" t="s">
        <v>318</v>
      </c>
      <c r="G25" s="945" t="s">
        <v>318</v>
      </c>
      <c r="H25" s="944" t="s">
        <v>318</v>
      </c>
      <c r="I25" s="945" t="s">
        <v>318</v>
      </c>
      <c r="J25" s="944" t="s">
        <v>318</v>
      </c>
      <c r="K25" s="943"/>
      <c r="L25" s="715"/>
      <c r="W25" s="670"/>
    </row>
    <row s="1660" customFormat="1" customHeight="1" ht="18.75">
      <c r="A26" s="2214"/>
      <c r="C26" s="951"/>
      <c r="D26" s="948" t="s">
        <v>760</v>
      </c>
      <c r="E26" s="549" t="s">
        <v>761</v>
      </c>
      <c r="F26" s="945" t="s">
        <v>762</v>
      </c>
      <c r="G26" s="675"/>
      <c r="H26" s="681"/>
      <c r="I26" s="675"/>
      <c r="J26" s="681"/>
      <c r="K26" s="943"/>
      <c r="L26" s="715"/>
      <c r="W26" s="670"/>
    </row>
    <row s="1660" customFormat="1" customHeight="1" ht="18.75">
      <c r="A27" s="2214"/>
      <c r="C27" s="951"/>
      <c r="D27" s="948" t="s">
        <v>763</v>
      </c>
      <c r="E27" s="549" t="s">
        <v>764</v>
      </c>
      <c r="F27" s="945" t="s">
        <v>765</v>
      </c>
      <c r="G27" s="675"/>
      <c r="H27" s="681"/>
      <c r="I27" s="675"/>
      <c r="J27" s="681"/>
      <c r="K27" s="943"/>
      <c r="L27" s="715"/>
      <c r="W27" s="670"/>
    </row>
    <row s="1660" customFormat="1" customHeight="1" ht="18.75">
      <c r="A28" s="2214"/>
      <c r="C28" s="951"/>
      <c r="D28" s="948" t="s">
        <v>766</v>
      </c>
      <c r="E28" s="572" t="s">
        <v>767</v>
      </c>
      <c r="F28" s="945" t="s">
        <v>318</v>
      </c>
      <c r="G28" s="945" t="s">
        <v>318</v>
      </c>
      <c r="H28" s="944" t="s">
        <v>318</v>
      </c>
      <c r="I28" s="945" t="s">
        <v>318</v>
      </c>
      <c r="J28" s="944" t="s">
        <v>318</v>
      </c>
      <c r="K28" s="943"/>
      <c r="L28" s="715"/>
      <c r="W28" s="670"/>
    </row>
    <row s="1660" customFormat="1" customHeight="1" ht="18.75">
      <c r="A29" s="2214"/>
      <c r="C29" s="951"/>
      <c r="D29" s="948" t="s">
        <v>768</v>
      </c>
      <c r="E29" s="549" t="s">
        <v>761</v>
      </c>
      <c r="F29" s="945" t="s">
        <v>769</v>
      </c>
      <c r="G29" s="675"/>
      <c r="H29" s="681"/>
      <c r="I29" s="675"/>
      <c r="J29" s="681"/>
      <c r="K29" s="943"/>
      <c r="L29" s="715"/>
      <c r="W29" s="670"/>
    </row>
    <row s="1660" customFormat="1" customHeight="1" ht="18.75">
      <c r="A30" s="2214"/>
      <c r="C30" s="951"/>
      <c r="D30" s="948" t="s">
        <v>770</v>
      </c>
      <c r="E30" s="549" t="s">
        <v>771</v>
      </c>
      <c r="F30" s="945" t="s">
        <v>772</v>
      </c>
      <c r="G30" s="675"/>
      <c r="H30" s="681"/>
      <c r="I30" s="675"/>
      <c r="J30" s="681"/>
      <c r="K30" s="943"/>
      <c r="L30" s="715"/>
      <c r="W30" s="670"/>
    </row>
    <row customHeight="1" ht="126.75">
      <c r="A31" s="2214"/>
      <c r="D31" s="948" t="s">
        <v>110</v>
      </c>
      <c r="E31" s="260" t="s">
        <v>773</v>
      </c>
      <c r="F31" s="655" t="s">
        <v>569</v>
      </c>
      <c r="G31" s="553"/>
      <c r="H31" s="657"/>
      <c r="I31" s="553"/>
      <c r="J31" s="657"/>
      <c r="K31" s="270" t="s">
        <v>774</v>
      </c>
      <c r="L31" s="715"/>
    </row>
    <row customHeight="1" ht="56.25">
      <c r="A32" s="2214"/>
      <c r="D32" s="948" t="s">
        <v>91</v>
      </c>
      <c r="E32" s="260" t="s">
        <v>775</v>
      </c>
      <c r="F32" s="535" t="s">
        <v>745</v>
      </c>
      <c r="G32" s="553"/>
      <c r="H32" s="657"/>
      <c r="I32" s="553"/>
      <c r="J32" s="657"/>
      <c r="K32" s="270" t="s">
        <v>776</v>
      </c>
      <c r="L32" s="715"/>
    </row>
    <row customHeight="1" ht="11.25">
      <c r="A33" s="2214"/>
      <c r="E33" s="659"/>
      <c r="F33" s="161"/>
      <c r="G33" s="161"/>
      <c r="H33" s="161"/>
      <c r="I33" s="161"/>
      <c r="J33" s="161"/>
      <c r="K33" s="161"/>
    </row>
    <row customHeight="1" ht="12.75">
      <c r="A34" s="2214"/>
      <c r="D34" s="47">
        <v>1</v>
      </c>
      <c r="E34" s="323" t="s">
        <v>777</v>
      </c>
    </row>
    <row customHeight="1" ht="11.25">
      <c r="A35" s="2214"/>
      <c r="D35" s="361"/>
      <c r="E35" s="323" t="s">
        <v>778</v>
      </c>
    </row>
    <row s="1660" customFormat="1" customHeight="1" ht="11.25">
      <c r="A36" s="1028"/>
      <c r="B36" s="514"/>
      <c r="D36" s="1029"/>
      <c r="E36" s="1030"/>
    </row>
    <row s="1660" customFormat="1" customHeight="1" ht="22.5" hidden="1">
      <c r="A37" s="2214" t="s">
        <v>779</v>
      </c>
      <c r="B37" s="507"/>
      <c r="D37" s="948">
        <v>1</v>
      </c>
      <c r="E37" s="702" t="s">
        <v>780</v>
      </c>
      <c r="F37" s="655" t="s">
        <v>735</v>
      </c>
      <c r="G37" s="553"/>
      <c r="H37" s="515"/>
      <c r="I37" s="553"/>
      <c r="J37" s="515"/>
      <c r="K37" s="270" t="s">
        <v>781</v>
      </c>
    </row>
    <row s="1660" customFormat="1" customHeight="1" ht="22.5" hidden="1">
      <c r="A38" s="2214"/>
      <c r="B38" s="507"/>
      <c r="D38" s="664" t="s">
        <v>109</v>
      </c>
      <c r="E38" s="1027" t="s">
        <v>782</v>
      </c>
      <c r="F38" s="1031" t="s">
        <v>557</v>
      </c>
      <c r="G38" s="1031" t="s">
        <v>557</v>
      </c>
      <c r="H38" s="1025"/>
      <c r="I38" s="1031" t="s">
        <v>557</v>
      </c>
      <c r="J38" s="1025"/>
      <c r="K38" s="1026"/>
    </row>
    <row s="1660" customFormat="1" customHeight="1" ht="33.75" hidden="1">
      <c r="A39" s="2214"/>
      <c r="B39" s="507"/>
      <c r="D39" s="660" t="s">
        <v>636</v>
      </c>
      <c r="E39" s="718" t="s">
        <v>783</v>
      </c>
      <c r="F39" s="655" t="s">
        <v>784</v>
      </c>
      <c r="G39" s="663"/>
      <c r="H39" s="1018"/>
      <c r="I39" s="663"/>
      <c r="J39" s="1018"/>
      <c r="K39" s="270" t="s">
        <v>785</v>
      </c>
    </row>
    <row s="1660" customFormat="1" customHeight="1" ht="33.75" hidden="1">
      <c r="A40" s="2214"/>
      <c r="B40" s="507"/>
      <c r="D40" s="660" t="s">
        <v>639</v>
      </c>
      <c r="E40" s="718" t="s">
        <v>786</v>
      </c>
      <c r="F40" s="1022" t="s">
        <v>787</v>
      </c>
      <c r="G40" s="736"/>
      <c r="H40" s="1018"/>
      <c r="I40" s="736"/>
      <c r="J40" s="1018"/>
      <c r="K40" s="270" t="s">
        <v>788</v>
      </c>
    </row>
    <row s="1660" customFormat="1" customHeight="1" ht="22.5" hidden="1">
      <c r="A41" s="2214"/>
      <c r="B41" s="507"/>
      <c r="D41" s="660" t="s">
        <v>89</v>
      </c>
      <c r="E41" s="717" t="s">
        <v>789</v>
      </c>
      <c r="F41" s="655" t="s">
        <v>557</v>
      </c>
      <c r="G41" s="655" t="s">
        <v>557</v>
      </c>
      <c r="H41" s="1019"/>
      <c r="I41" s="655" t="s">
        <v>557</v>
      </c>
      <c r="J41" s="1019"/>
      <c r="K41" s="282"/>
    </row>
    <row s="1660" customFormat="1" customHeight="1" ht="45" hidden="1">
      <c r="A42" s="2214"/>
      <c r="B42" s="507"/>
      <c r="D42" s="660" t="s">
        <v>338</v>
      </c>
      <c r="E42" s="718" t="s">
        <v>790</v>
      </c>
      <c r="F42" s="655" t="s">
        <v>569</v>
      </c>
      <c r="G42" s="553"/>
      <c r="H42" s="1019"/>
      <c r="I42" s="553"/>
      <c r="J42" s="1019"/>
      <c r="K42" s="282" t="s">
        <v>791</v>
      </c>
    </row>
    <row s="1660" customFormat="1" customHeight="1" ht="45" hidden="1">
      <c r="A43" s="2214"/>
      <c r="B43" s="507"/>
      <c r="D43" s="660" t="s">
        <v>346</v>
      </c>
      <c r="E43" s="662" t="s">
        <v>792</v>
      </c>
      <c r="F43" s="1023" t="s">
        <v>569</v>
      </c>
      <c r="G43" s="737"/>
      <c r="H43" s="1018"/>
      <c r="I43" s="737"/>
      <c r="J43" s="1018"/>
      <c r="K43" s="282" t="s">
        <v>793</v>
      </c>
    </row>
    <row s="1660" customFormat="1" customHeight="1" ht="11.25" hidden="1">
      <c r="A44" s="2214"/>
      <c r="B44" s="507"/>
      <c r="D44" s="660" t="s">
        <v>90</v>
      </c>
      <c r="E44" s="661" t="s">
        <v>794</v>
      </c>
      <c r="F44" s="655" t="s">
        <v>784</v>
      </c>
      <c r="G44" s="663"/>
      <c r="H44" s="1018"/>
      <c r="I44" s="663"/>
      <c r="J44" s="1018"/>
      <c r="K44" s="270"/>
    </row>
    <row s="1660" customFormat="1" customHeight="1" ht="11.25" hidden="1">
      <c r="A45" s="2214"/>
      <c r="B45" s="507"/>
      <c r="D45" s="660" t="s">
        <v>678</v>
      </c>
      <c r="E45" s="662" t="s">
        <v>795</v>
      </c>
      <c r="F45" s="655" t="s">
        <v>784</v>
      </c>
      <c r="G45" s="663"/>
      <c r="H45" s="1018"/>
      <c r="I45" s="663"/>
      <c r="J45" s="1018"/>
      <c r="K45" s="270"/>
    </row>
    <row s="1660" customFormat="1" customHeight="1" ht="11.25" hidden="1">
      <c r="A46" s="2214"/>
      <c r="B46" s="507"/>
      <c r="D46" s="660" t="s">
        <v>721</v>
      </c>
      <c r="E46" s="662" t="s">
        <v>796</v>
      </c>
      <c r="F46" s="655" t="s">
        <v>784</v>
      </c>
      <c r="G46" s="663"/>
      <c r="H46" s="1018"/>
      <c r="I46" s="663"/>
      <c r="J46" s="1018"/>
      <c r="K46" s="270"/>
    </row>
    <row s="1660" customFormat="1" customHeight="1" ht="11.25" hidden="1">
      <c r="A47" s="2214"/>
      <c r="B47" s="507"/>
      <c r="D47" s="660" t="s">
        <v>724</v>
      </c>
      <c r="E47" s="662" t="s">
        <v>797</v>
      </c>
      <c r="F47" s="655" t="s">
        <v>784</v>
      </c>
      <c r="G47" s="663"/>
      <c r="H47" s="1018"/>
      <c r="I47" s="663"/>
      <c r="J47" s="1018"/>
      <c r="K47" s="270"/>
    </row>
    <row s="1660" customFormat="1" customHeight="1" ht="11.25" hidden="1">
      <c r="A48" s="2214"/>
      <c r="B48" s="507"/>
      <c r="D48" s="660" t="s">
        <v>798</v>
      </c>
      <c r="E48" s="666" t="s">
        <v>799</v>
      </c>
      <c r="F48" s="655" t="s">
        <v>784</v>
      </c>
      <c r="G48" s="663"/>
      <c r="H48" s="1018"/>
      <c r="I48" s="663"/>
      <c r="J48" s="1018"/>
      <c r="K48" s="270"/>
    </row>
    <row s="1660" customFormat="1" customHeight="1" ht="11.25" hidden="1">
      <c r="A49" s="2214"/>
      <c r="B49" s="507"/>
      <c r="D49" s="660" t="s">
        <v>800</v>
      </c>
      <c r="E49" s="666" t="s">
        <v>801</v>
      </c>
      <c r="F49" s="655" t="s">
        <v>784</v>
      </c>
      <c r="G49" s="663"/>
      <c r="H49" s="1018"/>
      <c r="I49" s="663"/>
      <c r="J49" s="1018"/>
      <c r="K49" s="270"/>
    </row>
    <row s="1660" customFormat="1" customHeight="1" ht="11.25" hidden="1">
      <c r="A50" s="2214"/>
      <c r="B50" s="507"/>
      <c r="D50" s="660" t="s">
        <v>802</v>
      </c>
      <c r="E50" s="662" t="s">
        <v>803</v>
      </c>
      <c r="F50" s="655" t="s">
        <v>784</v>
      </c>
      <c r="G50" s="663"/>
      <c r="H50" s="1018"/>
      <c r="I50" s="663"/>
      <c r="J50" s="1018"/>
      <c r="K50" s="270"/>
    </row>
    <row s="1660" customFormat="1" customHeight="1" ht="11.25" hidden="1">
      <c r="A51" s="2214"/>
      <c r="B51" s="507"/>
      <c r="D51" s="660" t="s">
        <v>804</v>
      </c>
      <c r="E51" s="662" t="s">
        <v>805</v>
      </c>
      <c r="F51" s="655" t="s">
        <v>784</v>
      </c>
      <c r="G51" s="663"/>
      <c r="H51" s="1018"/>
      <c r="I51" s="663"/>
      <c r="J51" s="1018"/>
      <c r="K51" s="270"/>
    </row>
    <row s="1660" customFormat="1" customHeight="1" ht="45" hidden="1">
      <c r="A52" s="2214"/>
      <c r="B52" s="507"/>
      <c r="D52" s="660" t="s">
        <v>110</v>
      </c>
      <c r="E52" s="661" t="s">
        <v>806</v>
      </c>
      <c r="F52" s="655" t="s">
        <v>784</v>
      </c>
      <c r="G52" s="663"/>
      <c r="H52" s="1018"/>
      <c r="I52" s="663"/>
      <c r="J52" s="1018"/>
      <c r="K52" s="270"/>
    </row>
    <row s="1660" customFormat="1" customHeight="1" ht="11.25" hidden="1">
      <c r="A53" s="2214"/>
      <c r="B53" s="507"/>
      <c r="D53" s="660" t="s">
        <v>327</v>
      </c>
      <c r="E53" s="662" t="s">
        <v>795</v>
      </c>
      <c r="F53" s="655" t="s">
        <v>784</v>
      </c>
      <c r="G53" s="663"/>
      <c r="H53" s="1018"/>
      <c r="I53" s="663"/>
      <c r="J53" s="1018"/>
      <c r="K53" s="270"/>
    </row>
    <row s="1660" customFormat="1" customHeight="1" ht="11.25" hidden="1">
      <c r="A54" s="2214"/>
      <c r="B54" s="507"/>
      <c r="D54" s="660" t="s">
        <v>329</v>
      </c>
      <c r="E54" s="662" t="s">
        <v>796</v>
      </c>
      <c r="F54" s="655" t="s">
        <v>784</v>
      </c>
      <c r="G54" s="663"/>
      <c r="H54" s="1018"/>
      <c r="I54" s="663"/>
      <c r="J54" s="1018"/>
      <c r="K54" s="270"/>
    </row>
    <row s="1660" customFormat="1" customHeight="1" ht="11.25" hidden="1">
      <c r="A55" s="2214"/>
      <c r="B55" s="507"/>
      <c r="D55" s="660" t="s">
        <v>332</v>
      </c>
      <c r="E55" s="662" t="s">
        <v>797</v>
      </c>
      <c r="F55" s="655" t="s">
        <v>784</v>
      </c>
      <c r="G55" s="663"/>
      <c r="H55" s="1018"/>
      <c r="I55" s="663"/>
      <c r="J55" s="1018"/>
      <c r="K55" s="270"/>
    </row>
    <row s="1660" customFormat="1" customHeight="1" ht="11.25" hidden="1">
      <c r="A56" s="2214"/>
      <c r="B56" s="507"/>
      <c r="D56" s="660" t="s">
        <v>807</v>
      </c>
      <c r="E56" s="666" t="s">
        <v>799</v>
      </c>
      <c r="F56" s="655" t="s">
        <v>784</v>
      </c>
      <c r="G56" s="663"/>
      <c r="H56" s="1018"/>
      <c r="I56" s="663"/>
      <c r="J56" s="1018"/>
      <c r="K56" s="270"/>
    </row>
    <row s="1660" customFormat="1" customHeight="1" ht="11.25" hidden="1">
      <c r="A57" s="2214"/>
      <c r="B57" s="507"/>
      <c r="D57" s="660" t="s">
        <v>808</v>
      </c>
      <c r="E57" s="666" t="s">
        <v>801</v>
      </c>
      <c r="F57" s="655" t="s">
        <v>784</v>
      </c>
      <c r="G57" s="663"/>
      <c r="H57" s="1018"/>
      <c r="I57" s="663"/>
      <c r="J57" s="1018"/>
      <c r="K57" s="270"/>
    </row>
    <row s="1660" customFormat="1" customHeight="1" ht="11.25" hidden="1">
      <c r="A58" s="2214"/>
      <c r="B58" s="507"/>
      <c r="D58" s="660" t="s">
        <v>334</v>
      </c>
      <c r="E58" s="662" t="s">
        <v>803</v>
      </c>
      <c r="F58" s="655" t="s">
        <v>784</v>
      </c>
      <c r="G58" s="663"/>
      <c r="H58" s="1018"/>
      <c r="I58" s="663"/>
      <c r="J58" s="1018"/>
      <c r="K58" s="270"/>
    </row>
    <row s="1660" customFormat="1" customHeight="1" ht="11.25" hidden="1">
      <c r="A59" s="2214"/>
      <c r="B59" s="507"/>
      <c r="D59" s="660" t="s">
        <v>809</v>
      </c>
      <c r="E59" s="662" t="s">
        <v>805</v>
      </c>
      <c r="F59" s="655" t="s">
        <v>784</v>
      </c>
      <c r="G59" s="663"/>
      <c r="H59" s="1018"/>
      <c r="I59" s="663"/>
      <c r="J59" s="1018"/>
      <c r="K59" s="270"/>
    </row>
    <row s="1660" customFormat="1" customHeight="1" ht="33.75" hidden="1">
      <c r="A60" s="2214"/>
      <c r="B60" s="507"/>
      <c r="D60" s="660" t="s">
        <v>91</v>
      </c>
      <c r="E60" s="661" t="s">
        <v>810</v>
      </c>
      <c r="F60" s="716" t="s">
        <v>569</v>
      </c>
      <c r="G60" s="737"/>
      <c r="H60" s="1018"/>
      <c r="I60" s="737"/>
      <c r="J60" s="1018"/>
      <c r="K60" s="282" t="s">
        <v>811</v>
      </c>
    </row>
    <row s="1660" customFormat="1" customHeight="1" ht="33.75" hidden="1">
      <c r="A61" s="2214"/>
      <c r="B61" s="507"/>
      <c r="D61" s="660" t="s">
        <v>92</v>
      </c>
      <c r="E61" s="661" t="s">
        <v>812</v>
      </c>
      <c r="F61" s="721" t="s">
        <v>745</v>
      </c>
      <c r="G61" s="663"/>
      <c r="H61" s="1018"/>
      <c r="I61" s="663"/>
      <c r="J61" s="1018"/>
      <c r="K61" s="270"/>
    </row>
    <row s="1660" customFormat="1" customHeight="1" ht="22.5" hidden="1">
      <c r="A62" s="2214"/>
      <c r="B62" s="507" t="s">
        <v>599</v>
      </c>
      <c r="D62" s="660" t="s">
        <v>111</v>
      </c>
      <c r="E62" s="661" t="s">
        <v>813</v>
      </c>
      <c r="F62" s="721" t="s">
        <v>318</v>
      </c>
      <c r="G62" s="379"/>
      <c r="H62" s="1018"/>
      <c r="I62" s="379"/>
      <c r="J62" s="1018"/>
      <c r="K62" s="270" t="s">
        <v>814</v>
      </c>
    </row>
    <row s="1660" customFormat="1" customHeight="1" ht="45" hidden="1">
      <c r="A63" s="2214"/>
      <c r="B63" s="507" t="s">
        <v>599</v>
      </c>
      <c r="D63" s="660" t="s">
        <v>815</v>
      </c>
      <c r="E63" s="662" t="s">
        <v>816</v>
      </c>
      <c r="F63" s="716" t="s">
        <v>318</v>
      </c>
      <c r="G63" s="379"/>
      <c r="H63" s="1018"/>
      <c r="I63" s="379"/>
      <c r="J63" s="1018"/>
      <c r="K63" s="270" t="s">
        <v>814</v>
      </c>
    </row>
    <row s="1660" customFormat="1" customHeight="1" ht="11.25">
      <c r="A64" s="1028"/>
      <c r="B64" s="514"/>
      <c r="D64" s="1029"/>
      <c r="E64" s="1030"/>
    </row>
    <row s="1660" customFormat="1" customHeight="1" ht="22.5" hidden="1">
      <c r="A65" s="2214" t="s">
        <v>817</v>
      </c>
      <c r="B65" s="507"/>
      <c r="D65" s="660">
        <v>1</v>
      </c>
      <c r="E65" s="739" t="s">
        <v>818</v>
      </c>
      <c r="F65" s="735" t="s">
        <v>735</v>
      </c>
      <c r="G65" s="736"/>
      <c r="H65" s="1024"/>
      <c r="I65" s="736"/>
      <c r="J65" s="1024"/>
      <c r="K65" s="281" t="s">
        <v>819</v>
      </c>
    </row>
    <row s="1660" customFormat="1" customHeight="1" ht="56.25" hidden="1">
      <c r="A66" s="2214"/>
      <c r="B66" s="507"/>
      <c r="D66" s="738" t="s">
        <v>109</v>
      </c>
      <c r="E66" s="702" t="s">
        <v>820</v>
      </c>
      <c r="F66" s="655" t="s">
        <v>557</v>
      </c>
      <c r="G66" s="655" t="s">
        <v>557</v>
      </c>
      <c r="H66" s="515"/>
      <c r="I66" s="655" t="s">
        <v>557</v>
      </c>
      <c r="J66" s="515"/>
      <c r="K66" s="270"/>
    </row>
    <row s="1660" customFormat="1" customHeight="1" ht="33.75" hidden="1">
      <c r="A67" s="2214"/>
      <c r="B67" s="507"/>
      <c r="D67" s="738" t="s">
        <v>633</v>
      </c>
      <c r="E67" s="949" t="s">
        <v>821</v>
      </c>
      <c r="F67" s="655" t="s">
        <v>787</v>
      </c>
      <c r="G67" s="722"/>
      <c r="H67" s="515"/>
      <c r="I67" s="722"/>
      <c r="J67" s="515"/>
      <c r="K67" s="270"/>
    </row>
    <row s="1660" customFormat="1" customHeight="1" ht="22.5" hidden="1">
      <c r="A68" s="2214"/>
      <c r="B68" s="507"/>
      <c r="D68" s="738" t="s">
        <v>319</v>
      </c>
      <c r="E68" s="949" t="s">
        <v>822</v>
      </c>
      <c r="F68" s="655" t="s">
        <v>787</v>
      </c>
      <c r="G68" s="722"/>
      <c r="H68" s="515"/>
      <c r="I68" s="722"/>
      <c r="J68" s="515"/>
      <c r="K68" s="270"/>
    </row>
    <row s="1660" customFormat="1" customHeight="1" ht="22.5" hidden="1">
      <c r="A69" s="2214"/>
      <c r="B69" s="507"/>
      <c r="D69" s="738" t="s">
        <v>322</v>
      </c>
      <c r="E69" s="949" t="s">
        <v>823</v>
      </c>
      <c r="F69" s="716" t="s">
        <v>569</v>
      </c>
      <c r="G69" s="737"/>
      <c r="H69" s="515"/>
      <c r="I69" s="737"/>
      <c r="J69" s="515"/>
      <c r="K69" s="270"/>
    </row>
    <row s="1660" customFormat="1" customHeight="1" ht="22.5" hidden="1">
      <c r="A70" s="2214"/>
      <c r="B70" s="507"/>
      <c r="D70" s="738" t="s">
        <v>653</v>
      </c>
      <c r="E70" s="949" t="s">
        <v>824</v>
      </c>
      <c r="F70" s="716" t="s">
        <v>569</v>
      </c>
      <c r="G70" s="737"/>
      <c r="H70" s="515"/>
      <c r="I70" s="737"/>
      <c r="J70" s="515"/>
      <c r="K70" s="270"/>
    </row>
    <row s="1660" customFormat="1" customHeight="1" ht="22.5" hidden="1">
      <c r="A71" s="2214"/>
      <c r="B71" s="507"/>
      <c r="D71" s="660" t="s">
        <v>89</v>
      </c>
      <c r="E71" s="661" t="s">
        <v>825</v>
      </c>
      <c r="F71" s="655" t="s">
        <v>787</v>
      </c>
      <c r="G71" s="553"/>
      <c r="H71" s="1025"/>
      <c r="I71" s="553"/>
      <c r="J71" s="1025"/>
      <c r="K71" s="282"/>
    </row>
    <row s="1660" customFormat="1" customHeight="1" ht="56.25" hidden="1">
      <c r="A72" s="2214"/>
      <c r="B72" s="507"/>
      <c r="D72" s="660" t="s">
        <v>90</v>
      </c>
      <c r="E72" s="661" t="s">
        <v>826</v>
      </c>
      <c r="F72" s="716" t="s">
        <v>569</v>
      </c>
      <c r="G72" s="737"/>
      <c r="H72" s="1018"/>
      <c r="I72" s="737"/>
      <c r="J72" s="1018"/>
      <c r="K72" s="282"/>
    </row>
    <row s="1660" customFormat="1" customHeight="1" ht="33.75" hidden="1">
      <c r="A73" s="2214"/>
      <c r="B73" s="507"/>
      <c r="D73" s="660" t="s">
        <v>110</v>
      </c>
      <c r="E73" s="661" t="s">
        <v>827</v>
      </c>
      <c r="F73" s="721" t="s">
        <v>745</v>
      </c>
      <c r="G73" s="663"/>
      <c r="H73" s="1018"/>
      <c r="I73" s="663"/>
      <c r="J73" s="1018"/>
      <c r="K73" s="270"/>
    </row>
    <row s="1660" customFormat="1" customHeight="1" ht="22.5" hidden="1">
      <c r="A74" s="2214"/>
      <c r="B74" s="507" t="s">
        <v>599</v>
      </c>
      <c r="D74" s="660" t="s">
        <v>91</v>
      </c>
      <c r="E74" s="661" t="s">
        <v>828</v>
      </c>
      <c r="F74" s="721" t="s">
        <v>318</v>
      </c>
      <c r="G74" s="379"/>
      <c r="H74" s="1018"/>
      <c r="I74" s="379"/>
      <c r="J74" s="1018"/>
      <c r="K74" s="270" t="s">
        <v>814</v>
      </c>
    </row>
    <row s="1660" customFormat="1" customHeight="1" ht="45" hidden="1">
      <c r="A75" s="2214"/>
      <c r="B75" s="507" t="s">
        <v>599</v>
      </c>
      <c r="D75" s="660" t="s">
        <v>829</v>
      </c>
      <c r="E75" s="662" t="s">
        <v>830</v>
      </c>
      <c r="F75" s="716" t="s">
        <v>318</v>
      </c>
      <c r="G75" s="379"/>
      <c r="H75" s="1018"/>
      <c r="I75" s="379"/>
      <c r="J75" s="1018"/>
      <c r="K75" s="270" t="s">
        <v>814</v>
      </c>
    </row>
    <row s="1660" customFormat="1" customHeight="1" ht="11.25">
      <c r="A76" s="1028"/>
      <c r="B76" s="514"/>
      <c r="D76" s="1029"/>
      <c r="E76" s="1030"/>
    </row>
    <row s="1660" customFormat="1" customHeight="1" ht="11.25" hidden="1">
      <c r="A77" s="2214" t="s">
        <v>831</v>
      </c>
      <c r="B77" s="507"/>
      <c r="D77" s="660">
        <v>1</v>
      </c>
      <c r="E77" s="661" t="s">
        <v>832</v>
      </c>
      <c r="F77" s="716" t="s">
        <v>735</v>
      </c>
      <c r="G77" s="719"/>
      <c r="H77" s="1018"/>
      <c r="I77" s="719"/>
      <c r="J77" s="1018"/>
      <c r="K77" s="270" t="s">
        <v>833</v>
      </c>
    </row>
    <row s="1660" customFormat="1" customHeight="1" ht="11.25" hidden="1">
      <c r="A78" s="2214"/>
      <c r="B78" s="507"/>
      <c r="D78" s="660" t="s">
        <v>109</v>
      </c>
      <c r="E78" s="661" t="s">
        <v>834</v>
      </c>
      <c r="F78" s="716" t="s">
        <v>735</v>
      </c>
      <c r="G78" s="719"/>
      <c r="H78" s="1018"/>
      <c r="I78" s="719"/>
      <c r="J78" s="1018"/>
      <c r="K78" s="270" t="s">
        <v>835</v>
      </c>
    </row>
    <row s="1660" customFormat="1" customHeight="1" ht="22.5" hidden="1">
      <c r="A79" s="2214"/>
      <c r="B79" s="507"/>
      <c r="D79" s="660" t="s">
        <v>89</v>
      </c>
      <c r="E79" s="717" t="s">
        <v>836</v>
      </c>
      <c r="F79" s="655" t="s">
        <v>784</v>
      </c>
      <c r="G79" s="719"/>
      <c r="H79" s="1018"/>
      <c r="I79" s="719"/>
      <c r="J79" s="1018"/>
      <c r="K79" s="270" t="s">
        <v>837</v>
      </c>
    </row>
    <row s="1660" customFormat="1" customHeight="1" ht="11.25" hidden="1">
      <c r="A80" s="2214"/>
      <c r="B80" s="507"/>
      <c r="D80" s="660" t="s">
        <v>338</v>
      </c>
      <c r="E80" s="718" t="s">
        <v>838</v>
      </c>
      <c r="F80" s="655" t="s">
        <v>784</v>
      </c>
      <c r="G80" s="719"/>
      <c r="H80" s="1018"/>
      <c r="I80" s="719"/>
      <c r="J80" s="1018"/>
      <c r="K80" s="270"/>
    </row>
    <row s="1660" customFormat="1" customHeight="1" ht="11.25" hidden="1">
      <c r="A81" s="2214"/>
      <c r="B81" s="507"/>
      <c r="D81" s="660" t="s">
        <v>346</v>
      </c>
      <c r="E81" s="718" t="s">
        <v>839</v>
      </c>
      <c r="F81" s="655" t="s">
        <v>784</v>
      </c>
      <c r="G81" s="719"/>
      <c r="H81" s="1018"/>
      <c r="I81" s="719"/>
      <c r="J81" s="1018"/>
      <c r="K81" s="270"/>
    </row>
    <row s="1660" customFormat="1" customHeight="1" ht="11.25" hidden="1">
      <c r="A82" s="2214"/>
      <c r="B82" s="507"/>
      <c r="D82" s="660" t="s">
        <v>348</v>
      </c>
      <c r="E82" s="718" t="s">
        <v>840</v>
      </c>
      <c r="F82" s="655" t="s">
        <v>784</v>
      </c>
      <c r="G82" s="719"/>
      <c r="H82" s="1018"/>
      <c r="I82" s="719"/>
      <c r="J82" s="1018"/>
      <c r="K82" s="270"/>
    </row>
    <row s="1660" customFormat="1" customHeight="1" ht="11.25" hidden="1">
      <c r="A83" s="2214"/>
      <c r="B83" s="507"/>
      <c r="D83" s="660" t="s">
        <v>350</v>
      </c>
      <c r="E83" s="718" t="s">
        <v>841</v>
      </c>
      <c r="F83" s="655" t="s">
        <v>784</v>
      </c>
      <c r="G83" s="719"/>
      <c r="H83" s="1018"/>
      <c r="I83" s="719"/>
      <c r="J83" s="1018"/>
      <c r="K83" s="270"/>
    </row>
    <row s="1660" customFormat="1" customHeight="1" ht="11.25" hidden="1">
      <c r="A84" s="2214"/>
      <c r="B84" s="507"/>
      <c r="D84" s="660" t="s">
        <v>842</v>
      </c>
      <c r="E84" s="718" t="s">
        <v>843</v>
      </c>
      <c r="F84" s="655" t="s">
        <v>784</v>
      </c>
      <c r="G84" s="719"/>
      <c r="H84" s="1018"/>
      <c r="I84" s="719"/>
      <c r="J84" s="1018"/>
      <c r="K84" s="270"/>
    </row>
    <row s="1660" customFormat="1" customHeight="1" ht="11.25" hidden="1">
      <c r="A85" s="2214"/>
      <c r="B85" s="507"/>
      <c r="D85" s="660" t="s">
        <v>844</v>
      </c>
      <c r="E85" s="718" t="s">
        <v>845</v>
      </c>
      <c r="F85" s="655" t="s">
        <v>784</v>
      </c>
      <c r="G85" s="719"/>
      <c r="H85" s="1018"/>
      <c r="I85" s="719"/>
      <c r="J85" s="1018"/>
      <c r="K85" s="270"/>
    </row>
    <row s="1660" customFormat="1" customHeight="1" ht="11.25" hidden="1">
      <c r="A86" s="2214"/>
      <c r="B86" s="507"/>
      <c r="D86" s="660" t="s">
        <v>846</v>
      </c>
      <c r="E86" s="718" t="s">
        <v>847</v>
      </c>
      <c r="F86" s="655" t="s">
        <v>784</v>
      </c>
      <c r="G86" s="719"/>
      <c r="H86" s="1018"/>
      <c r="I86" s="719"/>
      <c r="J86" s="1018"/>
      <c r="K86" s="270"/>
    </row>
    <row s="1660" customFormat="1" customHeight="1" ht="45" hidden="1">
      <c r="A87" s="2214"/>
      <c r="B87" s="507"/>
      <c r="D87" s="660" t="s">
        <v>90</v>
      </c>
      <c r="E87" s="661" t="s">
        <v>848</v>
      </c>
      <c r="F87" s="655" t="s">
        <v>784</v>
      </c>
      <c r="G87" s="719"/>
      <c r="H87" s="1018"/>
      <c r="I87" s="719"/>
      <c r="J87" s="1018"/>
      <c r="K87" s="270" t="s">
        <v>849</v>
      </c>
    </row>
    <row s="1660" customFormat="1" customHeight="1" ht="11.25" hidden="1">
      <c r="A88" s="2214"/>
      <c r="B88" s="507"/>
      <c r="D88" s="660" t="s">
        <v>678</v>
      </c>
      <c r="E88" s="718" t="s">
        <v>838</v>
      </c>
      <c r="F88" s="655" t="s">
        <v>784</v>
      </c>
      <c r="G88" s="719"/>
      <c r="H88" s="1018"/>
      <c r="I88" s="719"/>
      <c r="J88" s="1018"/>
      <c r="K88" s="270"/>
    </row>
    <row s="1660" customFormat="1" customHeight="1" ht="11.25" hidden="1">
      <c r="A89" s="2214"/>
      <c r="B89" s="507"/>
      <c r="D89" s="660" t="s">
        <v>721</v>
      </c>
      <c r="E89" s="718" t="s">
        <v>839</v>
      </c>
      <c r="F89" s="655" t="s">
        <v>784</v>
      </c>
      <c r="G89" s="719"/>
      <c r="H89" s="1018"/>
      <c r="I89" s="719"/>
      <c r="J89" s="1018"/>
      <c r="K89" s="270"/>
    </row>
    <row s="1660" customFormat="1" customHeight="1" ht="11.25" hidden="1">
      <c r="A90" s="2214"/>
      <c r="B90" s="507"/>
      <c r="D90" s="660" t="s">
        <v>724</v>
      </c>
      <c r="E90" s="718" t="s">
        <v>840</v>
      </c>
      <c r="F90" s="655" t="s">
        <v>784</v>
      </c>
      <c r="G90" s="719"/>
      <c r="H90" s="1018"/>
      <c r="I90" s="719"/>
      <c r="J90" s="1018"/>
      <c r="K90" s="270"/>
    </row>
    <row s="1660" customFormat="1" customHeight="1" ht="11.25" hidden="1">
      <c r="A91" s="2214"/>
      <c r="B91" s="507"/>
      <c r="D91" s="660" t="s">
        <v>802</v>
      </c>
      <c r="E91" s="718" t="s">
        <v>841</v>
      </c>
      <c r="F91" s="655" t="s">
        <v>784</v>
      </c>
      <c r="G91" s="719"/>
      <c r="H91" s="1018"/>
      <c r="I91" s="719"/>
      <c r="J91" s="1018"/>
      <c r="K91" s="270"/>
    </row>
    <row s="1660" customFormat="1" customHeight="1" ht="11.25" hidden="1">
      <c r="A92" s="2214"/>
      <c r="B92" s="507"/>
      <c r="D92" s="660" t="s">
        <v>804</v>
      </c>
      <c r="E92" s="718" t="s">
        <v>843</v>
      </c>
      <c r="F92" s="655" t="s">
        <v>784</v>
      </c>
      <c r="G92" s="719"/>
      <c r="H92" s="1018"/>
      <c r="I92" s="719"/>
      <c r="J92" s="1018"/>
      <c r="K92" s="270"/>
    </row>
    <row s="1660" customFormat="1" customHeight="1" ht="11.25" hidden="1">
      <c r="A93" s="2214"/>
      <c r="B93" s="507"/>
      <c r="D93" s="660" t="s">
        <v>850</v>
      </c>
      <c r="E93" s="718" t="s">
        <v>845</v>
      </c>
      <c r="F93" s="655" t="s">
        <v>784</v>
      </c>
      <c r="G93" s="719"/>
      <c r="H93" s="1018"/>
      <c r="I93" s="719"/>
      <c r="J93" s="1018"/>
      <c r="K93" s="270"/>
    </row>
    <row s="1660" customFormat="1" customHeight="1" ht="11.25" hidden="1">
      <c r="A94" s="2214"/>
      <c r="B94" s="507"/>
      <c r="D94" s="660" t="s">
        <v>851</v>
      </c>
      <c r="E94" s="718" t="s">
        <v>847</v>
      </c>
      <c r="F94" s="655" t="s">
        <v>784</v>
      </c>
      <c r="G94" s="719"/>
      <c r="H94" s="1018"/>
      <c r="I94" s="719"/>
      <c r="J94" s="1018"/>
      <c r="K94" s="270"/>
    </row>
    <row s="1660" customFormat="1" customHeight="1" ht="24.75" hidden="1">
      <c r="A95" s="2214"/>
      <c r="B95" s="507"/>
      <c r="D95" s="660" t="s">
        <v>110</v>
      </c>
      <c r="E95" s="661" t="s">
        <v>852</v>
      </c>
      <c r="F95" s="720" t="s">
        <v>569</v>
      </c>
      <c r="G95" s="722"/>
      <c r="H95" s="1018"/>
      <c r="I95" s="722"/>
      <c r="J95" s="1018"/>
      <c r="K95" s="270" t="s">
        <v>853</v>
      </c>
    </row>
    <row s="1660" customFormat="1" customHeight="1" ht="33.75" hidden="1">
      <c r="A96" s="2214"/>
      <c r="B96" s="507"/>
      <c r="D96" s="660" t="s">
        <v>91</v>
      </c>
      <c r="E96" s="661" t="s">
        <v>854</v>
      </c>
      <c r="F96" s="721" t="s">
        <v>745</v>
      </c>
      <c r="G96" s="723"/>
      <c r="H96" s="1018"/>
      <c r="I96" s="723"/>
      <c r="J96" s="1018"/>
      <c r="K96" s="270"/>
    </row>
    <row s="1660" customFormat="1" customHeight="1" ht="22.5" hidden="1">
      <c r="A97" s="2214"/>
      <c r="B97" s="507" t="s">
        <v>599</v>
      </c>
      <c r="D97" s="660" t="s">
        <v>92</v>
      </c>
      <c r="E97" s="661" t="s">
        <v>855</v>
      </c>
      <c r="F97" s="721" t="s">
        <v>318</v>
      </c>
      <c r="G97" s="382"/>
      <c r="H97" s="1018"/>
      <c r="I97" s="382"/>
      <c r="J97" s="1018"/>
      <c r="K97" s="270" t="s">
        <v>814</v>
      </c>
    </row>
    <row s="1660" customFormat="1" customHeight="1" ht="45" hidden="1">
      <c r="A98" s="2214"/>
      <c r="B98" s="507" t="s">
        <v>599</v>
      </c>
      <c r="D98" s="660" t="s">
        <v>856</v>
      </c>
      <c r="E98" s="662" t="s">
        <v>857</v>
      </c>
      <c r="F98" s="716" t="s">
        <v>318</v>
      </c>
      <c r="G98" s="382"/>
      <c r="H98" s="1018"/>
      <c r="I98" s="382"/>
      <c r="J98" s="1018"/>
      <c r="K98" s="270" t="s">
        <v>814</v>
      </c>
    </row>
    <row s="1660" customFormat="1" customHeight="1" ht="95.25" hidden="1">
      <c r="A99" s="2214"/>
      <c r="B99" s="507" t="s">
        <v>599</v>
      </c>
      <c r="D99" s="660" t="s">
        <v>111</v>
      </c>
      <c r="E99" s="661" t="s">
        <v>858</v>
      </c>
      <c r="F99" s="716" t="s">
        <v>318</v>
      </c>
      <c r="G99" s="382"/>
      <c r="H99" s="1018"/>
      <c r="I99" s="382"/>
      <c r="J99" s="1018"/>
      <c r="K99" s="270" t="s">
        <v>814</v>
      </c>
    </row>
    <row s="1660" customFormat="1" customHeight="1" ht="22.5" hidden="1">
      <c r="A100" s="2214"/>
      <c r="B100" s="507" t="s">
        <v>599</v>
      </c>
      <c r="D100" s="660" t="s">
        <v>98</v>
      </c>
      <c r="E100" s="661" t="s">
        <v>859</v>
      </c>
      <c r="F100" s="716" t="s">
        <v>318</v>
      </c>
      <c r="G100" s="382"/>
      <c r="H100" s="1018"/>
      <c r="I100" s="382"/>
      <c r="J100" s="1018"/>
      <c r="K100" s="270" t="s">
        <v>814</v>
      </c>
    </row>
    <row s="1660" customFormat="1" customHeight="1" ht="11.25">
      <c r="A101" s="1028"/>
      <c r="B101" s="514"/>
      <c r="D101" s="1029"/>
      <c r="E101" s="1030"/>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69AA68-6E51-8023-89F5-0D0A33CB15D9}"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25.7109375" hidden="1" customWidth="1"/>
    <col min="8" max="8" style="1660" width="33.7109375" hidden="1" customWidth="1"/>
    <col min="9" max="9" style="1660" width="25.7109375" customWidth="1"/>
    <col min="10" max="10" style="1660" width="33.7109375" customWidth="1"/>
    <col min="11" max="11" style="1383" width="93.421875" customWidth="1"/>
    <col min="12" max="20" style="1660" width="10.57421875"/>
    <col min="21" max="21" style="670" width="10.57421875"/>
  </cols>
  <sheetData>
    <row s="1383" customFormat="1" customHeight="1" ht="15" hidden="1">
      <c r="C1" s="667"/>
      <c r="G1" s="414">
        <v>4</v>
      </c>
      <c r="I1" s="414">
        <v>4</v>
      </c>
      <c r="U1" s="417"/>
    </row>
    <row s="1383" customFormat="1" customHeight="1" ht="15" hidden="1">
      <c r="C2" s="667"/>
      <c r="U2" s="417"/>
    </row>
    <row customHeight="1" ht="22.5" hidden="1">
      <c r="A3" s="501"/>
      <c r="B3" s="2216"/>
      <c r="C3" s="2217"/>
      <c r="D3" s="684" t="str">
        <f>B3&amp;".1"</f>
        <v>.1</v>
      </c>
      <c r="E3" s="685" t="s">
        <v>860</v>
      </c>
      <c r="F3" s="686" t="s">
        <v>318</v>
      </c>
      <c r="G3" s="681"/>
      <c r="H3" s="398"/>
      <c r="I3" s="681"/>
      <c r="J3" s="398"/>
      <c r="K3" s="270" t="s">
        <v>861</v>
      </c>
    </row>
    <row customHeight="1" ht="15" hidden="1">
      <c r="A4" s="501"/>
      <c r="B4" s="2216"/>
      <c r="C4" s="2217"/>
      <c r="D4" s="684" t="str">
        <f>B3&amp;".2"</f>
        <v>.2</v>
      </c>
      <c r="E4" s="685" t="s">
        <v>862</v>
      </c>
      <c r="F4" s="686" t="s">
        <v>318</v>
      </c>
      <c r="G4" s="1762" t="s">
        <v>24</v>
      </c>
      <c r="H4" s="398"/>
      <c r="I4" s="1762" t="s">
        <v>24</v>
      </c>
      <c r="J4" s="398"/>
      <c r="K4" s="270" t="s">
        <v>863</v>
      </c>
    </row>
    <row s="1383" customFormat="1" customHeight="1" ht="15" hidden="1">
      <c r="C5" s="667"/>
      <c r="U5" s="417"/>
    </row>
    <row customHeight="1" ht="22.5" hidden="1">
      <c r="A6" s="501"/>
      <c r="B6" s="2216"/>
      <c r="C6" s="2217"/>
      <c r="D6" s="684" t="str">
        <f>B6&amp;".1"</f>
        <v>.1</v>
      </c>
      <c r="E6" s="685" t="s">
        <v>864</v>
      </c>
      <c r="F6" s="686" t="s">
        <v>318</v>
      </c>
      <c r="G6" s="681"/>
      <c r="H6" s="398"/>
      <c r="I6" s="681"/>
      <c r="J6" s="398"/>
      <c r="K6" s="270" t="s">
        <v>865</v>
      </c>
    </row>
    <row customHeight="1" ht="15" hidden="1">
      <c r="A7" s="501"/>
      <c r="B7" s="2216"/>
      <c r="C7" s="2217"/>
      <c r="D7" s="684" t="str">
        <f>B6&amp;".2"</f>
        <v>.2</v>
      </c>
      <c r="E7" s="685" t="s">
        <v>862</v>
      </c>
      <c r="F7" s="686" t="s">
        <v>318</v>
      </c>
      <c r="G7" s="1762" t="s">
        <v>24</v>
      </c>
      <c r="H7" s="398"/>
      <c r="I7" s="1762" t="s">
        <v>24</v>
      </c>
      <c r="J7" s="398"/>
      <c r="K7" s="270" t="s">
        <v>863</v>
      </c>
    </row>
    <row s="1383" customFormat="1" customHeight="1" ht="15" hidden="1">
      <c r="C8" s="667"/>
      <c r="U8" s="417"/>
    </row>
    <row customHeight="1" ht="22.5" hidden="1">
      <c r="A9" s="501"/>
      <c r="B9" s="2216"/>
      <c r="C9" s="2217"/>
      <c r="D9" s="684" t="str">
        <f>B9&amp;".1"</f>
        <v>.1</v>
      </c>
      <c r="E9" s="685" t="s">
        <v>866</v>
      </c>
      <c r="F9" s="686" t="s">
        <v>318</v>
      </c>
      <c r="G9" s="692" t="s">
        <v>24</v>
      </c>
      <c r="H9" s="398" t="s">
        <v>24</v>
      </c>
      <c r="I9" s="692" t="s">
        <v>24</v>
      </c>
      <c r="J9" s="398" t="s">
        <v>24</v>
      </c>
      <c r="K9" s="270"/>
    </row>
    <row customHeight="1" ht="15" hidden="1">
      <c r="A10" s="501"/>
      <c r="B10" s="2216"/>
      <c r="C10" s="2217"/>
      <c r="D10" s="684" t="str">
        <f>B9&amp;".2"</f>
        <v>.2</v>
      </c>
      <c r="E10" s="685" t="s">
        <v>867</v>
      </c>
      <c r="F10" s="686" t="s">
        <v>318</v>
      </c>
      <c r="G10" s="1756" t="s">
        <v>24</v>
      </c>
      <c r="H10" s="398" t="s">
        <v>24</v>
      </c>
      <c r="I10" s="1756" t="s">
        <v>24</v>
      </c>
      <c r="J10" s="398" t="s">
        <v>24</v>
      </c>
      <c r="K10" s="270" t="s">
        <v>868</v>
      </c>
    </row>
    <row customHeight="1" ht="15" hidden="1">
      <c r="A11" s="501"/>
      <c r="B11" s="2216"/>
      <c r="C11" s="2217"/>
      <c r="D11" s="684" t="str">
        <f>B9&amp;".3"</f>
        <v>.3</v>
      </c>
      <c r="E11" s="685" t="s">
        <v>869</v>
      </c>
      <c r="F11" s="686" t="s">
        <v>318</v>
      </c>
      <c r="G11" s="1756" t="s">
        <v>24</v>
      </c>
      <c r="H11" s="398" t="s">
        <v>24</v>
      </c>
      <c r="I11" s="1756" t="s">
        <v>24</v>
      </c>
      <c r="J11" s="398" t="s">
        <v>24</v>
      </c>
      <c r="K11" s="270" t="s">
        <v>870</v>
      </c>
    </row>
    <row s="1383" customFormat="1" customHeight="1" ht="15" hidden="1">
      <c r="C12" s="667"/>
      <c r="U12" s="417"/>
    </row>
    <row customHeight="1" ht="33.75" hidden="1">
      <c r="A13" s="501"/>
      <c r="B13" s="2216"/>
      <c r="C13" s="2217"/>
      <c r="D13" s="684" t="str">
        <f>B13&amp;".1"</f>
        <v>.1</v>
      </c>
      <c r="E13" s="685" t="s">
        <v>871</v>
      </c>
      <c r="F13" s="686" t="s">
        <v>318</v>
      </c>
      <c r="G13" s="692" t="s">
        <v>24</v>
      </c>
      <c r="H13" s="398" t="s">
        <v>24</v>
      </c>
      <c r="I13" s="692" t="s">
        <v>24</v>
      </c>
      <c r="J13" s="398" t="s">
        <v>24</v>
      </c>
      <c r="K13" s="270" t="s">
        <v>872</v>
      </c>
    </row>
    <row customHeight="1" ht="15" hidden="1">
      <c r="B14" s="2216"/>
      <c r="C14" s="2217"/>
      <c r="D14" s="684" t="str">
        <f>B13&amp;".2"</f>
        <v>.2</v>
      </c>
      <c r="E14" s="685" t="s">
        <v>873</v>
      </c>
      <c r="F14" s="686" t="s">
        <v>318</v>
      </c>
      <c r="G14" s="1756" t="s">
        <v>24</v>
      </c>
      <c r="H14" s="398" t="s">
        <v>24</v>
      </c>
      <c r="I14" s="1756" t="s">
        <v>24</v>
      </c>
      <c r="J14" s="398" t="s">
        <v>24</v>
      </c>
      <c r="K14" s="270" t="s">
        <v>874</v>
      </c>
    </row>
    <row s="1383" customFormat="1" customHeight="1" ht="15" hidden="1">
      <c r="C15" s="667"/>
      <c r="U15" s="417"/>
    </row>
    <row s="1383" customFormat="1" customHeight="1" ht="15" hidden="1">
      <c r="C16" s="667"/>
      <c r="U16" s="417"/>
    </row>
    <row s="1383" customFormat="1" customHeight="1" ht="15" hidden="1">
      <c r="C17" s="667"/>
      <c r="U17" s="417"/>
    </row>
    <row s="1383" customFormat="1" customHeight="1" ht="15" hidden="1">
      <c r="C18" s="667"/>
      <c r="U18" s="417"/>
    </row>
    <row s="1383" customFormat="1" customHeight="1" ht="15" hidden="1">
      <c r="C19" s="667"/>
      <c r="U19" s="417"/>
    </row>
    <row s="1383" customFormat="1" customHeight="1" ht="15" hidden="1">
      <c r="C20" s="667"/>
      <c r="U20" s="417"/>
    </row>
    <row customHeight="1" ht="15">
      <c r="C21" s="156"/>
      <c r="D21" s="505"/>
      <c r="E21" s="505"/>
      <c r="F21" s="505"/>
      <c r="G21" s="505"/>
      <c r="H21" s="505"/>
      <c r="I21" s="505"/>
      <c r="J21" s="505"/>
    </row>
    <row customHeight="1" ht="22.5">
      <c r="C22" s="156"/>
      <c r="D22" s="2067"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67"/>
      <c r="F22" s="2067"/>
      <c r="G22" s="2067"/>
      <c r="H22" s="2067"/>
      <c r="I22" s="2067"/>
      <c r="J22" s="671"/>
      <c r="K22" s="533"/>
    </row>
    <row customHeight="1" ht="15">
      <c r="C23" s="156"/>
      <c r="D23" s="2035" t="str">
        <f>IF(org=0,"Не определено",org)</f>
        <v>ПАО "ТГК-1" филиал "Невский"</v>
      </c>
      <c r="E23" s="2035"/>
      <c r="F23" s="2035"/>
      <c r="G23" s="2035"/>
      <c r="H23" s="2035"/>
      <c r="I23" s="2035"/>
      <c r="J23" s="671"/>
      <c r="K23" s="533"/>
    </row>
    <row customHeight="1" ht="15">
      <c r="C24" s="156"/>
      <c r="D24" s="505"/>
      <c r="E24" s="505"/>
      <c r="F24" s="505"/>
      <c r="G24" s="533">
        <v>22</v>
      </c>
      <c r="H24" s="747"/>
      <c r="I24" s="533">
        <v>22</v>
      </c>
      <c r="J24" s="747"/>
    </row>
    <row s="1660" customFormat="1" customHeight="1" ht="0.75">
      <c r="A25" s="754"/>
      <c r="C25" s="156"/>
      <c r="D25" s="505"/>
      <c r="E25" s="505"/>
      <c r="F25" s="505"/>
      <c r="G25" s="533"/>
      <c r="H25" s="747"/>
      <c r="I25" s="533" t="s">
        <v>116</v>
      </c>
      <c r="J25" s="747"/>
      <c r="K25" s="414"/>
      <c r="U25" s="670"/>
    </row>
    <row customHeight="1" ht="15">
      <c r="C26" s="156"/>
      <c r="D26" s="706"/>
      <c r="E26" s="2195" t="s">
        <v>104</v>
      </c>
      <c r="F26" s="2196"/>
      <c r="G26" s="2218" t="str">
        <f>IF(G25="","",INDEX(DIFFERENTIATION_UNMERGE_VD,MATCH(G25,DIFFERENTIATION_ID_DIFF,0)))</f>
        <v/>
      </c>
      <c r="H26" s="2219"/>
      <c r="I26" s="2218">
        <f>IF(I25="","",INDEX(DIFFERENTIATION_UNMERGE_VD,MATCH(I25,DIFFERENTIATION_ID_DIFF,0)))</f>
        <v>0</v>
      </c>
      <c r="J26" s="2219"/>
      <c r="K26" s="2010" t="s">
        <v>313</v>
      </c>
    </row>
    <row s="1660" customFormat="1" customHeight="1" ht="15">
      <c r="A27" s="754"/>
      <c r="C27" s="156"/>
      <c r="D27" s="706"/>
      <c r="E27" s="2195" t="s">
        <v>575</v>
      </c>
      <c r="F27" s="2196"/>
      <c r="G27" s="2218" t="str">
        <f>IF(G25="","",INDEX(DIFFERENTIATION_UNMERGE_AREA,MATCH(G25,DIFFERENTIATION_ID_DIFF,0)))</f>
        <v/>
      </c>
      <c r="H27" s="2219"/>
      <c r="I27" s="2218" t="str">
        <f>IF(I25="","",INDEX(DIFFERENTIATION_UNMERGE_AREA,MATCH(I25,DIFFERENTIATION_ID_DIFF,0)))</f>
        <v/>
      </c>
      <c r="J27" s="2219"/>
      <c r="K27" s="2014"/>
      <c r="U27" s="670"/>
    </row>
    <row s="1660" customFormat="1" customHeight="1" ht="15">
      <c r="A28" s="754"/>
      <c r="C28" s="156"/>
      <c r="D28" s="706"/>
      <c r="E28" s="2195" t="s">
        <v>576</v>
      </c>
      <c r="F28" s="2196"/>
      <c r="G28" s="2218" t="str">
        <f>IF(G25="","",INDEX(DIFFERENTIATION_UNMERGE_SYSTEM,MATCH(G25,DIFFERENTIATION_ID_DIFF,0)))</f>
        <v/>
      </c>
      <c r="H28" s="2219"/>
      <c r="I28" s="2218" t="str">
        <f>IF(I25="","",INDEX(DIFFERENTIATION_UNMERGE_SYSTEM,MATCH(I25,DIFFERENTIATION_ID_DIFF,0)))</f>
        <v>без дифференциации</v>
      </c>
      <c r="J28" s="2219"/>
      <c r="K28" s="2014"/>
      <c r="U28" s="670"/>
    </row>
    <row s="1660" customFormat="1" customHeight="1" ht="15">
      <c r="A29" s="754"/>
      <c r="C29" s="156"/>
      <c r="D29" s="2197" t="s">
        <v>312</v>
      </c>
      <c r="E29" s="2198"/>
      <c r="F29" s="2198"/>
      <c r="G29" s="881"/>
      <c r="H29" s="881"/>
      <c r="I29" s="881"/>
      <c r="J29" s="882"/>
      <c r="K29" s="2014"/>
      <c r="U29" s="670"/>
    </row>
    <row customHeight="1" ht="33.75">
      <c r="C30" s="156"/>
      <c r="D30" s="756" t="s">
        <v>87</v>
      </c>
      <c r="E30" s="755" t="s">
        <v>314</v>
      </c>
      <c r="F30" s="755" t="s">
        <v>577</v>
      </c>
      <c r="G30" s="802" t="s">
        <v>315</v>
      </c>
      <c r="H30" s="801" t="s">
        <v>404</v>
      </c>
      <c r="I30" s="679" t="s">
        <v>315</v>
      </c>
      <c r="J30" s="461" t="s">
        <v>404</v>
      </c>
      <c r="K30" s="2020"/>
    </row>
    <row customHeight="1" ht="15" hidden="1">
      <c r="C31" s="156"/>
      <c r="D31" s="589"/>
      <c r="E31" s="589"/>
      <c r="F31" s="589"/>
      <c r="G31" s="654"/>
      <c r="H31" s="654"/>
      <c r="I31" s="654"/>
      <c r="J31" s="654"/>
      <c r="K31" s="270"/>
    </row>
    <row customHeight="1" ht="22.5">
      <c r="A32" s="501"/>
      <c r="B32" s="501" t="s">
        <v>875</v>
      </c>
      <c r="C32" s="522"/>
      <c r="D32" s="687">
        <v>1</v>
      </c>
      <c r="E32" s="688" t="s">
        <v>876</v>
      </c>
      <c r="F32" s="686" t="s">
        <v>318</v>
      </c>
      <c r="G32" s="807" t="s">
        <v>318</v>
      </c>
      <c r="H32" s="807" t="s">
        <v>318</v>
      </c>
      <c r="I32" s="686" t="s">
        <v>318</v>
      </c>
      <c r="J32" s="686" t="s">
        <v>318</v>
      </c>
      <c r="K32" s="270"/>
    </row>
    <row customHeight="1" ht="11.25">
      <c r="A33" s="501"/>
      <c r="C33" s="501"/>
      <c r="D33" s="335"/>
      <c r="E33" s="576" t="s">
        <v>597</v>
      </c>
      <c r="F33" s="568"/>
      <c r="G33" s="568"/>
      <c r="H33" s="568"/>
      <c r="I33" s="568"/>
      <c r="J33" s="568"/>
      <c r="K33" s="569"/>
      <c r="U33" s="501"/>
    </row>
    <row customHeight="1" ht="22.5">
      <c r="A34" s="501"/>
      <c r="B34" s="577" t="s">
        <v>877</v>
      </c>
      <c r="C34" s="522"/>
      <c r="D34" s="687">
        <v>2</v>
      </c>
      <c r="E34" s="688" t="s">
        <v>878</v>
      </c>
      <c r="F34" s="814" t="s">
        <v>318</v>
      </c>
      <c r="G34" s="814" t="s">
        <v>318</v>
      </c>
      <c r="H34" s="814" t="s">
        <v>318</v>
      </c>
      <c r="I34" s="686"/>
      <c r="J34" s="686"/>
      <c r="K34" s="270"/>
    </row>
    <row customHeight="1" ht="11.25">
      <c r="A35" s="501"/>
      <c r="C35" s="501"/>
      <c r="D35" s="335"/>
      <c r="E35" s="576" t="s">
        <v>879</v>
      </c>
      <c r="F35" s="568"/>
      <c r="G35" s="689"/>
      <c r="H35" s="568"/>
      <c r="I35" s="689"/>
      <c r="J35" s="568"/>
      <c r="K35" s="569"/>
      <c r="U35" s="501"/>
    </row>
    <row customHeight="1" ht="67.5">
      <c r="A36" s="501"/>
      <c r="B36" s="501" t="s">
        <v>880</v>
      </c>
      <c r="C36" s="522"/>
      <c r="D36" s="687">
        <v>3</v>
      </c>
      <c r="E36" s="688" t="s">
        <v>881</v>
      </c>
      <c r="F36" s="690" t="s">
        <v>318</v>
      </c>
      <c r="G36" s="808" t="s">
        <v>882</v>
      </c>
      <c r="H36" s="807" t="s">
        <v>318</v>
      </c>
      <c r="I36" s="520" t="s">
        <v>882</v>
      </c>
      <c r="J36" s="686" t="s">
        <v>318</v>
      </c>
      <c r="K36" s="270" t="s">
        <v>883</v>
      </c>
    </row>
    <row customHeight="1" ht="11.25">
      <c r="A37" s="501"/>
      <c r="C37" s="501"/>
      <c r="D37" s="335"/>
      <c r="E37" s="576" t="s">
        <v>884</v>
      </c>
      <c r="F37" s="568"/>
      <c r="G37" s="689"/>
      <c r="H37" s="689"/>
      <c r="I37" s="689"/>
      <c r="J37" s="689"/>
      <c r="K37" s="569"/>
      <c r="U37" s="501"/>
    </row>
    <row customHeight="1" ht="67.5">
      <c r="A38" s="501"/>
      <c r="B38" s="501" t="s">
        <v>885</v>
      </c>
      <c r="C38" s="522"/>
      <c r="D38" s="687">
        <v>4</v>
      </c>
      <c r="E38" s="688" t="s">
        <v>886</v>
      </c>
      <c r="F38" s="690" t="s">
        <v>318</v>
      </c>
      <c r="G38" s="808" t="s">
        <v>882</v>
      </c>
      <c r="H38" s="809" t="s">
        <v>318</v>
      </c>
      <c r="I38" s="520" t="s">
        <v>882</v>
      </c>
      <c r="J38" s="517" t="s">
        <v>318</v>
      </c>
      <c r="K38" s="674" t="s">
        <v>887</v>
      </c>
    </row>
    <row customHeight="1" ht="11.25">
      <c r="A39" s="501"/>
      <c r="C39" s="501"/>
      <c r="D39" s="335"/>
      <c r="E39" s="576" t="s">
        <v>888</v>
      </c>
      <c r="F39" s="568"/>
      <c r="G39" s="568"/>
      <c r="H39" s="691"/>
      <c r="I39" s="568"/>
      <c r="J39" s="691"/>
      <c r="K39" s="569"/>
      <c r="U39" s="50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79F822-DF84-B8F7-B4D7-6F95467A22EE}"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1161" width="6.7109375" hidden="1" customWidth="1"/>
    <col min="4" max="4" style="1383" width="6.7109375" hidden="1" customWidth="1"/>
    <col min="5" max="5" style="1660" width="3.7109375" customWidth="1"/>
    <col min="6" max="6" style="1660" width="6.28125" customWidth="1"/>
    <col min="7" max="7" style="1660" width="37.7109375" customWidth="1"/>
    <col min="8" max="8" style="1660" width="16.57421875" customWidth="1"/>
    <col min="9" max="10" style="1660" width="19.7109375" customWidth="1"/>
    <col min="11" max="11" style="1660" width="25.00390625" customWidth="1"/>
    <col min="12" max="13" style="1660" width="25.7109375" customWidth="1"/>
    <col min="14" max="16" style="1660" width="17.7109375" customWidth="1"/>
    <col min="17" max="24" style="1660" width="19.7109375" customWidth="1"/>
    <col min="25" max="25" style="1660" width="8.00390625" customWidth="1"/>
    <col min="26" max="26" style="1660" width="3.28125" customWidth="1"/>
    <col min="27" max="27" style="1660" width="6.28125" customWidth="1"/>
    <col min="28" max="28" style="1660" width="34.140625" customWidth="1"/>
    <col min="29" max="30" style="1660" width="9.140625"/>
  </cols>
  <sheetData>
    <row s="1383" customFormat="1" customHeight="1" ht="10.5" hidden="1">
      <c r="A1" s="889"/>
      <c r="B1" s="889"/>
      <c r="C1" s="889"/>
      <c r="E1" s="533"/>
      <c r="H1" s="1155"/>
    </row>
    <row customHeight="1" ht="10.5" hidden="1"/>
    <row s="1657" customFormat="1" customHeight="1" ht="10.5" hidden="1">
      <c r="A3" s="889"/>
      <c r="B3" s="889"/>
      <c r="C3" s="889"/>
      <c r="D3" s="414"/>
      <c r="E3" s="352"/>
      <c r="H3" s="1151"/>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M5" s="578"/>
      <c r="AB5" s="900"/>
    </row>
    <row s="1660" customFormat="1" customHeight="1" ht="15.75">
      <c r="A6" s="1161"/>
      <c r="B6" s="1161"/>
      <c r="C6" s="1161"/>
      <c r="D6" s="1155"/>
      <c r="E6" s="1660"/>
      <c r="F6" s="2123" t="str">
        <f>IF(org=0,"Не определено",org)</f>
        <v>ПАО "ТГК-1" филиал "Невский"</v>
      </c>
      <c r="G6" s="2123"/>
      <c r="H6" s="2123"/>
      <c r="I6" s="2123"/>
      <c r="J6" s="2123"/>
      <c r="K6" s="2123"/>
      <c r="M6" s="578"/>
      <c r="AB6" s="1143"/>
    </row>
    <row r="8" customHeight="1" ht="10.5">
      <c r="A8" s="1046"/>
      <c r="B8" s="1046"/>
      <c r="C8" s="1046"/>
      <c r="F8" s="1937" t="s">
        <v>312</v>
      </c>
      <c r="G8" s="1938"/>
      <c r="H8" s="1938"/>
      <c r="I8" s="1938"/>
      <c r="J8" s="1938"/>
      <c r="K8" s="1938"/>
      <c r="L8" s="1938"/>
      <c r="M8" s="1938"/>
      <c r="N8" s="1938"/>
      <c r="O8" s="1938"/>
      <c r="P8" s="1938"/>
      <c r="Q8" s="1938"/>
      <c r="R8" s="1938"/>
      <c r="S8" s="1938"/>
      <c r="T8" s="1938"/>
      <c r="U8" s="1938"/>
      <c r="V8" s="1938"/>
      <c r="W8" s="1938"/>
      <c r="X8" s="1938"/>
      <c r="Y8" s="1938"/>
      <c r="Z8" s="1938"/>
      <c r="AA8" s="1938"/>
      <c r="AB8" s="1939"/>
    </row>
    <row customHeight="1" ht="41.25">
      <c r="A9" s="899"/>
      <c r="B9" s="899"/>
      <c r="C9" s="899"/>
      <c r="F9" s="1953" t="s">
        <v>87</v>
      </c>
      <c r="G9" s="1953" t="s">
        <v>889</v>
      </c>
      <c r="H9" s="2010" t="s">
        <v>890</v>
      </c>
      <c r="I9" s="1953" t="s">
        <v>891</v>
      </c>
      <c r="J9" s="1953" t="s">
        <v>892</v>
      </c>
      <c r="K9" s="1953" t="s">
        <v>893</v>
      </c>
      <c r="L9" s="1953" t="s">
        <v>894</v>
      </c>
      <c r="M9" s="1953" t="s">
        <v>895</v>
      </c>
      <c r="N9" s="2044" t="s">
        <v>896</v>
      </c>
      <c r="O9" s="2044"/>
      <c r="P9" s="2044"/>
      <c r="Q9" s="2224" t="s">
        <v>897</v>
      </c>
      <c r="R9" s="2225"/>
      <c r="S9" s="2225"/>
      <c r="T9" s="2226"/>
      <c r="U9" s="2224" t="s">
        <v>898</v>
      </c>
      <c r="V9" s="2225"/>
      <c r="W9" s="2225"/>
      <c r="X9" s="2226"/>
      <c r="Y9" s="1937" t="s">
        <v>899</v>
      </c>
      <c r="Z9" s="1938"/>
      <c r="AA9" s="1938"/>
      <c r="AB9" s="1939"/>
    </row>
    <row customHeight="1" ht="41.25">
      <c r="A10" s="899"/>
      <c r="B10" s="899"/>
      <c r="C10" s="899"/>
      <c r="F10" s="2010"/>
      <c r="G10" s="2010"/>
      <c r="H10" s="2072"/>
      <c r="I10" s="2010"/>
      <c r="J10" s="2010"/>
      <c r="K10" s="2010"/>
      <c r="L10" s="2010"/>
      <c r="M10" s="2010"/>
      <c r="N10" s="897" t="s">
        <v>900</v>
      </c>
      <c r="O10" s="897" t="s">
        <v>901</v>
      </c>
      <c r="P10" s="898" t="s">
        <v>902</v>
      </c>
      <c r="Q10" s="909" t="s">
        <v>88</v>
      </c>
      <c r="R10" s="909" t="s">
        <v>903</v>
      </c>
      <c r="S10" s="909" t="s">
        <v>904</v>
      </c>
      <c r="T10" s="910" t="s">
        <v>905</v>
      </c>
      <c r="U10" s="909" t="s">
        <v>88</v>
      </c>
      <c r="V10" s="909" t="s">
        <v>906</v>
      </c>
      <c r="W10" s="909" t="s">
        <v>904</v>
      </c>
      <c r="X10" s="910" t="s">
        <v>905</v>
      </c>
      <c r="Y10" s="281" t="s">
        <v>907</v>
      </c>
      <c r="Z10" s="1937" t="s">
        <v>87</v>
      </c>
      <c r="AA10" s="1939"/>
      <c r="AB10" s="1044" t="s">
        <v>908</v>
      </c>
    </row>
    <row s="1667" customFormat="1" customHeight="1" ht="5.25" hidden="1">
      <c r="A11" s="1047"/>
      <c r="B11" s="1047"/>
      <c r="C11" s="1047"/>
      <c r="E11" s="1045"/>
      <c r="F11" s="2222" t="s">
        <v>390</v>
      </c>
      <c r="G11" s="2227"/>
      <c r="H11" s="2220"/>
      <c r="I11" s="2220"/>
      <c r="J11" s="2220"/>
      <c r="K11" s="2223"/>
      <c r="L11" s="2223"/>
      <c r="M11" s="2223"/>
      <c r="N11" s="2220"/>
      <c r="O11" s="2220"/>
      <c r="P11" s="1953"/>
      <c r="Q11" s="2023"/>
      <c r="R11" s="2023"/>
      <c r="S11" s="2023"/>
      <c r="T11" s="2220"/>
      <c r="U11" s="2023"/>
      <c r="V11" s="2023"/>
      <c r="W11" s="2023"/>
      <c r="X11" s="2220"/>
      <c r="Y11" s="1964"/>
      <c r="Z11" s="1964"/>
      <c r="AA11" s="1964"/>
      <c r="AB11" s="1964"/>
      <c r="AD11" s="507" t="s">
        <v>909</v>
      </c>
    </row>
    <row s="1667" customFormat="1" customHeight="1" ht="5.25" hidden="1">
      <c r="A12" s="890"/>
      <c r="B12" s="890"/>
      <c r="C12" s="890"/>
      <c r="E12" s="514"/>
      <c r="F12" s="2222"/>
      <c r="G12" s="2227"/>
      <c r="H12" s="2220"/>
      <c r="I12" s="2220"/>
      <c r="J12" s="2220"/>
      <c r="K12" s="2223"/>
      <c r="L12" s="2223"/>
      <c r="M12" s="2223"/>
      <c r="N12" s="2220"/>
      <c r="O12" s="2220"/>
      <c r="P12" s="1953"/>
      <c r="Q12" s="2023"/>
      <c r="R12" s="2023"/>
      <c r="S12" s="2023"/>
      <c r="T12" s="2220"/>
      <c r="U12" s="2023"/>
      <c r="V12" s="2023"/>
      <c r="W12" s="2023"/>
      <c r="X12" s="2220"/>
      <c r="Y12" s="2221"/>
      <c r="Z12" s="2221"/>
      <c r="AA12" s="2221"/>
      <c r="AB12" s="2221"/>
    </row>
    <row customHeight="1" ht="10.5">
      <c r="F13" s="896"/>
      <c r="G13" s="645" t="s">
        <v>910</v>
      </c>
      <c r="H13" s="1163"/>
      <c r="I13" s="568"/>
      <c r="J13" s="568"/>
      <c r="K13" s="568"/>
      <c r="L13" s="568"/>
      <c r="M13" s="568"/>
      <c r="N13" s="568"/>
      <c r="O13" s="568"/>
      <c r="P13" s="568"/>
      <c r="Q13" s="568"/>
      <c r="R13" s="568"/>
      <c r="S13" s="568"/>
      <c r="T13" s="568"/>
      <c r="U13" s="568"/>
      <c r="V13" s="568"/>
      <c r="W13" s="568"/>
      <c r="X13" s="568"/>
      <c r="Y13" s="568"/>
      <c r="Z13" s="691"/>
      <c r="AA13" s="691"/>
      <c r="AB13" s="911"/>
    </row>
    <row r="15" s="1667" customFormat="1" customHeight="1" ht="10.5">
      <c r="A15" s="1162"/>
      <c r="B15" s="1162"/>
      <c r="C15" s="1162"/>
      <c r="E15" s="514"/>
      <c r="H15" s="50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E8204B-8B8E-2E02-4C7D-1313FECC8C0A}"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14.421875" customWidth="1"/>
    <col min="7" max="7" style="1660" width="3.7109375" customWidth="1"/>
    <col min="8" max="8" style="1660" width="7.7109375" customWidth="1"/>
    <col min="9" max="10" style="1660" width="16.7109375" customWidth="1"/>
    <col min="11" max="11" style="1660" width="25.7109375" customWidth="1"/>
    <col min="12" max="12" style="1660" width="8.00390625" customWidth="1"/>
    <col min="13" max="13" style="1660" width="15.57421875" customWidth="1"/>
    <col min="14" max="14" style="1660" width="3.28125" customWidth="1"/>
    <col min="15" max="15" style="1660" width="4.7109375" customWidth="1"/>
    <col min="16" max="16" style="1660" width="9.00390625" customWidth="1"/>
    <col min="17" max="17" style="1660" width="21.7109375" customWidth="1"/>
    <col min="18" max="18" style="1660" width="14.7109375" customWidth="1"/>
    <col min="19" max="20" style="1660" width="17.7109375" customWidth="1"/>
    <col min="21" max="21" style="1660" width="9.7109375" customWidth="1"/>
    <col min="22" max="22" style="1660" width="12.7109375" customWidth="1"/>
    <col min="23" max="23" style="1660" width="9.7109375" customWidth="1"/>
    <col min="24" max="24" style="1660" width="21.7109375" customWidth="1"/>
    <col min="25" max="25" style="1660" width="12.7109375" customWidth="1"/>
    <col min="26" max="26" style="1660" width="3.28125" customWidth="1"/>
    <col min="27" max="27" style="1660" width="7.140625" customWidth="1"/>
    <col min="28" max="28" style="1660" width="38.421875" customWidth="1"/>
    <col min="29" max="29" style="1660" width="15.7109375" customWidth="1"/>
    <col min="30" max="30" style="1660" width="37.57421875" customWidth="1"/>
    <col min="31" max="31" style="1660" width="15.7109375" customWidth="1"/>
    <col min="32" max="37" style="1660" width="16.7109375" customWidth="1"/>
    <col min="38" max="58" style="1660" width="9.140625"/>
  </cols>
  <sheetData>
    <row s="1383" customFormat="1" customHeight="1" ht="10.5" hidden="1">
      <c r="A1" s="889"/>
      <c r="B1" s="889"/>
      <c r="C1" s="889"/>
      <c r="E1" s="533"/>
      <c r="H1" s="1155"/>
      <c r="L1" s="1123"/>
      <c r="M1" s="1123"/>
      <c r="AD1" s="1123"/>
      <c r="AH1" s="1142"/>
      <c r="AI1" s="1135"/>
    </row>
    <row customHeight="1" ht="10.5" hidden="1"/>
    <row s="1657" customFormat="1" customHeight="1" ht="10.5" hidden="1">
      <c r="A3" s="889"/>
      <c r="B3" s="889"/>
      <c r="C3" s="889"/>
      <c r="D3" s="414"/>
      <c r="E3" s="352"/>
      <c r="H3" s="1151"/>
      <c r="L3" s="1121"/>
      <c r="M3" s="1121"/>
      <c r="AD3" s="1121"/>
      <c r="AH3" s="1140"/>
      <c r="AI3" s="1133"/>
    </row>
    <row customHeight="1" ht="3"/>
    <row customHeight="1" ht="25.5">
      <c r="F5" s="2122"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22"/>
      <c r="H5" s="2122"/>
      <c r="I5" s="2122"/>
      <c r="J5" s="2122"/>
      <c r="K5" s="2122"/>
      <c r="L5" s="1130"/>
      <c r="M5" s="1130"/>
      <c r="AG5" s="900"/>
      <c r="AH5" s="1143"/>
    </row>
    <row customHeight="1" ht="10.5">
      <c r="F6" s="2035" t="str">
        <f>IF(org=0,"Не определено",org)</f>
        <v>ПАО "ТГК-1" филиал "Невский"</v>
      </c>
      <c r="G6" s="2035"/>
      <c r="H6" s="2035"/>
      <c r="I6" s="2035"/>
      <c r="J6" s="2035"/>
      <c r="K6" s="2035"/>
      <c r="L6" s="1131"/>
      <c r="M6" s="1131"/>
    </row>
    <row customHeight="1" ht="11.25">
      <c r="E7" s="902"/>
      <c r="F7" s="913"/>
      <c r="G7" s="913"/>
      <c r="H7" s="1181"/>
      <c r="I7" s="913"/>
      <c r="J7" s="913"/>
      <c r="K7" s="915"/>
      <c r="L7" s="1128"/>
      <c r="M7" s="1128"/>
      <c r="N7" s="913"/>
      <c r="O7" s="913"/>
      <c r="P7" s="913"/>
      <c r="Q7" s="915"/>
      <c r="R7" s="913"/>
      <c r="S7" s="913"/>
      <c r="T7" s="913"/>
      <c r="U7" s="913"/>
      <c r="V7" s="913"/>
      <c r="W7" s="913"/>
      <c r="X7" s="913"/>
      <c r="Y7" s="913"/>
      <c r="Z7" s="913"/>
      <c r="AA7" s="913"/>
      <c r="AB7" s="913"/>
      <c r="AC7" s="914"/>
      <c r="AD7" s="1127"/>
      <c r="AE7" s="914"/>
      <c r="AF7" s="913"/>
      <c r="AG7" s="913"/>
      <c r="AH7" s="1145"/>
      <c r="AI7" s="1138"/>
      <c r="AJ7" s="913"/>
      <c r="AK7" s="913"/>
      <c r="AL7" s="904"/>
      <c r="AM7" s="904"/>
      <c r="AN7" s="904"/>
      <c r="AO7" s="901"/>
      <c r="AP7" s="901"/>
      <c r="AQ7" s="901"/>
      <c r="AR7" s="901"/>
      <c r="AS7" s="901"/>
      <c r="AT7" s="901"/>
      <c r="AU7" s="901"/>
      <c r="AV7" s="901"/>
      <c r="AW7" s="901"/>
      <c r="AX7" s="901"/>
      <c r="AY7" s="901"/>
      <c r="AZ7" s="901"/>
      <c r="BA7" s="901"/>
      <c r="BB7" s="901"/>
      <c r="BC7" s="901"/>
      <c r="BD7" s="901"/>
      <c r="BE7" s="901"/>
      <c r="BF7" s="901"/>
    </row>
    <row customHeight="1" ht="10.5">
      <c r="E8" s="902"/>
      <c r="F8" s="2237" t="s">
        <v>312</v>
      </c>
      <c r="G8" s="2238"/>
      <c r="H8" s="2238"/>
      <c r="I8" s="2238"/>
      <c r="J8" s="2238"/>
      <c r="K8" s="2238"/>
      <c r="L8" s="2238"/>
      <c r="M8" s="2238"/>
      <c r="N8" s="2238"/>
      <c r="O8" s="2238"/>
      <c r="P8" s="2238"/>
      <c r="Q8" s="2238"/>
      <c r="R8" s="2238"/>
      <c r="S8" s="2238"/>
      <c r="T8" s="2238"/>
      <c r="U8" s="2238"/>
      <c r="V8" s="2238"/>
      <c r="W8" s="2238"/>
      <c r="X8" s="2238"/>
      <c r="Y8" s="2238"/>
      <c r="Z8" s="2238"/>
      <c r="AA8" s="2238"/>
      <c r="AB8" s="2238"/>
      <c r="AC8" s="2238"/>
      <c r="AD8" s="2238"/>
      <c r="AE8" s="2238"/>
      <c r="AF8" s="2238"/>
      <c r="AG8" s="2238"/>
      <c r="AH8" s="2238"/>
      <c r="AI8" s="2238"/>
      <c r="AJ8" s="2238"/>
      <c r="AK8" s="2239"/>
      <c r="AL8" s="903"/>
      <c r="AM8" s="901"/>
      <c r="AN8" s="901"/>
      <c r="AO8" s="901"/>
      <c r="AP8" s="901"/>
      <c r="AQ8" s="901"/>
      <c r="AR8" s="901"/>
      <c r="AS8" s="901"/>
      <c r="AT8" s="901"/>
      <c r="AU8" s="901"/>
      <c r="AV8" s="901"/>
      <c r="AW8" s="901"/>
      <c r="AX8" s="901"/>
      <c r="AY8" s="901"/>
      <c r="AZ8" s="901"/>
      <c r="BA8" s="901"/>
      <c r="BB8" s="901"/>
      <c r="BC8" s="901"/>
      <c r="BD8" s="901"/>
      <c r="BE8" s="901"/>
      <c r="BF8" s="901"/>
    </row>
    <row customHeight="1" ht="23.25">
      <c r="A9" s="899"/>
      <c r="B9" s="899"/>
      <c r="C9" s="899"/>
      <c r="E9" s="902"/>
      <c r="F9" s="2230" t="s">
        <v>911</v>
      </c>
      <c r="G9" s="2231" t="s">
        <v>912</v>
      </c>
      <c r="H9" s="2232"/>
      <c r="I9" s="1953" t="s">
        <v>913</v>
      </c>
      <c r="J9" s="1953"/>
      <c r="K9" s="1953" t="s">
        <v>914</v>
      </c>
      <c r="L9" s="1953"/>
      <c r="M9" s="1953"/>
      <c r="N9" s="1953"/>
      <c r="O9" s="1953"/>
      <c r="P9" s="1953"/>
      <c r="Q9" s="1953"/>
      <c r="R9" s="1953"/>
      <c r="S9" s="1953"/>
      <c r="T9" s="1953"/>
      <c r="U9" s="1953"/>
      <c r="V9" s="1953"/>
      <c r="W9" s="1953"/>
      <c r="X9" s="1953"/>
      <c r="Y9" s="1953"/>
      <c r="Z9" s="2011" t="s">
        <v>915</v>
      </c>
      <c r="AA9" s="2012"/>
      <c r="AB9" s="1953" t="s">
        <v>916</v>
      </c>
      <c r="AC9" s="1953"/>
      <c r="AD9" s="1953"/>
      <c r="AE9" s="1953"/>
      <c r="AF9" s="2010" t="s">
        <v>917</v>
      </c>
      <c r="AG9" s="1953" t="s">
        <v>918</v>
      </c>
      <c r="AH9" s="1953"/>
      <c r="AI9" s="2010" t="s">
        <v>919</v>
      </c>
      <c r="AJ9" s="1953" t="s">
        <v>920</v>
      </c>
      <c r="AK9" s="1953"/>
      <c r="AL9" s="1137"/>
      <c r="AM9" s="901"/>
      <c r="AN9" s="901"/>
      <c r="AO9" s="901"/>
      <c r="AP9" s="901"/>
      <c r="AQ9" s="901"/>
      <c r="AR9" s="901"/>
      <c r="AS9" s="901"/>
      <c r="AT9" s="901"/>
      <c r="AU9" s="901"/>
      <c r="AV9" s="901"/>
      <c r="AW9" s="901"/>
      <c r="AX9" s="901"/>
      <c r="AY9" s="901"/>
      <c r="AZ9" s="901"/>
      <c r="BA9" s="901"/>
      <c r="BB9" s="901"/>
      <c r="BC9" s="901"/>
      <c r="BD9" s="901"/>
      <c r="BE9" s="901"/>
      <c r="BF9" s="901"/>
    </row>
    <row customHeight="1" ht="23.25">
      <c r="A10" s="899"/>
      <c r="B10" s="899"/>
      <c r="C10" s="899"/>
      <c r="E10" s="906"/>
      <c r="F10" s="2230"/>
      <c r="G10" s="2233"/>
      <c r="H10" s="2234"/>
      <c r="I10" s="1953"/>
      <c r="J10" s="1953"/>
      <c r="K10" s="1953" t="s">
        <v>921</v>
      </c>
      <c r="L10" s="1937" t="s">
        <v>922</v>
      </c>
      <c r="M10" s="1939"/>
      <c r="N10" s="1953" t="s">
        <v>923</v>
      </c>
      <c r="O10" s="1953"/>
      <c r="P10" s="1953"/>
      <c r="Q10" s="1953"/>
      <c r="R10" s="1953"/>
      <c r="S10" s="1953"/>
      <c r="T10" s="1953"/>
      <c r="U10" s="1953"/>
      <c r="V10" s="1953"/>
      <c r="W10" s="1953"/>
      <c r="X10" s="1953"/>
      <c r="Y10" s="1953"/>
      <c r="Z10" s="2013"/>
      <c r="AA10" s="2014"/>
      <c r="AB10" s="1953"/>
      <c r="AC10" s="1953"/>
      <c r="AD10" s="1953"/>
      <c r="AE10" s="1953"/>
      <c r="AF10" s="2018"/>
      <c r="AG10" s="1953"/>
      <c r="AH10" s="1953"/>
      <c r="AI10" s="2018"/>
      <c r="AJ10" s="1953"/>
      <c r="AK10" s="1953"/>
      <c r="AL10" s="1137"/>
      <c r="AM10" s="907"/>
      <c r="AN10" s="907"/>
      <c r="AO10" s="907"/>
      <c r="AP10" s="907"/>
      <c r="AQ10" s="907"/>
      <c r="AR10" s="907"/>
      <c r="AS10" s="907"/>
      <c r="AT10" s="907"/>
      <c r="AU10" s="907"/>
      <c r="AV10" s="907"/>
      <c r="AW10" s="907"/>
      <c r="AX10" s="907"/>
      <c r="AY10" s="907"/>
      <c r="AZ10" s="907"/>
      <c r="BA10" s="907"/>
      <c r="BB10" s="907"/>
      <c r="BC10" s="907"/>
      <c r="BD10" s="907"/>
      <c r="BE10" s="907"/>
      <c r="BF10" s="907"/>
    </row>
    <row s="1660" customFormat="1" customHeight="1" ht="23.25">
      <c r="A11" s="1124"/>
      <c r="B11" s="1124"/>
      <c r="C11" s="1124"/>
      <c r="D11" s="1123"/>
      <c r="E11" s="1125"/>
      <c r="F11" s="2230"/>
      <c r="G11" s="2233"/>
      <c r="H11" s="2234"/>
      <c r="I11" s="1953"/>
      <c r="J11" s="1953"/>
      <c r="K11" s="1953"/>
      <c r="L11" s="2010" t="s">
        <v>924</v>
      </c>
      <c r="M11" s="2010" t="s">
        <v>925</v>
      </c>
      <c r="N11" s="1953" t="s">
        <v>926</v>
      </c>
      <c r="O11" s="1953"/>
      <c r="P11" s="2228" t="s">
        <v>907</v>
      </c>
      <c r="Q11" s="2228" t="s">
        <v>927</v>
      </c>
      <c r="R11" s="2228" t="s">
        <v>928</v>
      </c>
      <c r="S11" s="2228" t="s">
        <v>929</v>
      </c>
      <c r="T11" s="2228"/>
      <c r="U11" s="2228"/>
      <c r="V11" s="2228"/>
      <c r="W11" s="2228"/>
      <c r="X11" s="2228"/>
      <c r="Y11" s="2228"/>
      <c r="Z11" s="2013"/>
      <c r="AA11" s="2014"/>
      <c r="AB11" s="1953" t="s">
        <v>930</v>
      </c>
      <c r="AC11" s="1953"/>
      <c r="AD11" s="1937" t="s">
        <v>931</v>
      </c>
      <c r="AE11" s="1939"/>
      <c r="AF11" s="2018"/>
      <c r="AG11" s="1953"/>
      <c r="AH11" s="1953"/>
      <c r="AI11" s="2018"/>
      <c r="AJ11" s="1953"/>
      <c r="AK11" s="1953"/>
      <c r="AL11" s="1137"/>
      <c r="AM11" s="1122"/>
      <c r="AN11" s="1122"/>
      <c r="AO11" s="1122"/>
      <c r="AP11" s="1122"/>
      <c r="AQ11" s="1122"/>
      <c r="AR11" s="1122"/>
      <c r="AS11" s="1122"/>
      <c r="AT11" s="1122"/>
      <c r="AU11" s="1122"/>
      <c r="AV11" s="1122"/>
      <c r="AW11" s="1122"/>
      <c r="AX11" s="1122"/>
      <c r="AY11" s="1122"/>
      <c r="AZ11" s="1122"/>
      <c r="BA11" s="1122"/>
      <c r="BB11" s="1122"/>
      <c r="BC11" s="1122"/>
      <c r="BD11" s="1122"/>
      <c r="BE11" s="1122"/>
      <c r="BF11" s="1122"/>
    </row>
    <row customHeight="1" ht="33.75">
      <c r="A12" s="899"/>
      <c r="B12" s="899"/>
      <c r="C12" s="899"/>
      <c r="E12" s="902"/>
      <c r="F12" s="2230"/>
      <c r="G12" s="2235"/>
      <c r="H12" s="2236"/>
      <c r="I12" s="1148" t="s">
        <v>88</v>
      </c>
      <c r="J12" s="1148" t="s">
        <v>932</v>
      </c>
      <c r="K12" s="1953"/>
      <c r="L12" s="2072"/>
      <c r="M12" s="2072"/>
      <c r="N12" s="1953"/>
      <c r="O12" s="1953"/>
      <c r="P12" s="2228"/>
      <c r="Q12" s="2228"/>
      <c r="R12" s="2228"/>
      <c r="S12" s="1129" t="s">
        <v>85</v>
      </c>
      <c r="T12" s="1129" t="s">
        <v>86</v>
      </c>
      <c r="U12" s="1129" t="s">
        <v>84</v>
      </c>
      <c r="V12" s="1129" t="s">
        <v>933</v>
      </c>
      <c r="W12" s="1129" t="s">
        <v>84</v>
      </c>
      <c r="X12" s="1129" t="s">
        <v>934</v>
      </c>
      <c r="Y12" s="1129" t="s">
        <v>935</v>
      </c>
      <c r="Z12" s="2019"/>
      <c r="AA12" s="2020"/>
      <c r="AB12" s="1136" t="s">
        <v>936</v>
      </c>
      <c r="AC12" s="1136" t="s">
        <v>937</v>
      </c>
      <c r="AD12" s="1136" t="s">
        <v>936</v>
      </c>
      <c r="AE12" s="1136" t="s">
        <v>937</v>
      </c>
      <c r="AF12" s="2072"/>
      <c r="AG12" s="1149" t="s">
        <v>938</v>
      </c>
      <c r="AH12" s="1149" t="s">
        <v>939</v>
      </c>
      <c r="AI12" s="2072"/>
      <c r="AJ12" s="1149" t="s">
        <v>938</v>
      </c>
      <c r="AK12" s="1149" t="s">
        <v>939</v>
      </c>
      <c r="AL12" s="1137"/>
      <c r="AM12" s="901"/>
      <c r="AN12" s="901"/>
      <c r="AO12" s="901"/>
      <c r="AP12" s="901"/>
      <c r="AQ12" s="901"/>
      <c r="AR12" s="901"/>
      <c r="AS12" s="901"/>
      <c r="AT12" s="901"/>
      <c r="AU12" s="901"/>
      <c r="AV12" s="901"/>
      <c r="AW12" s="901"/>
      <c r="AX12" s="901"/>
      <c r="AY12" s="901"/>
      <c r="AZ12" s="901"/>
      <c r="BA12" s="901"/>
      <c r="BB12" s="901"/>
      <c r="BC12" s="901"/>
      <c r="BD12" s="901"/>
      <c r="BE12" s="901"/>
      <c r="BF12" s="901"/>
    </row>
    <row customHeight="1" ht="0.75">
      <c r="E13" s="902"/>
      <c r="F13" s="1119">
        <v>0</v>
      </c>
      <c r="G13" s="1119"/>
      <c r="H13" s="1119"/>
      <c r="I13" s="1119"/>
      <c r="J13" s="1119"/>
      <c r="K13" s="1126"/>
      <c r="L13" s="1126"/>
      <c r="M13" s="1126"/>
      <c r="N13" s="1126"/>
      <c r="O13" s="1126"/>
      <c r="P13" s="1126"/>
      <c r="Q13" s="1126"/>
      <c r="R13" s="1126"/>
      <c r="S13" s="1126"/>
      <c r="T13" s="1126"/>
      <c r="U13" s="1126"/>
      <c r="V13" s="1126"/>
      <c r="W13" s="1126"/>
      <c r="X13" s="1126"/>
      <c r="Y13" s="1126"/>
      <c r="Z13" s="1126"/>
      <c r="AA13" s="1126"/>
      <c r="AB13" s="1126"/>
      <c r="AC13" s="1126"/>
      <c r="AD13" s="1126"/>
      <c r="AE13" s="1126"/>
      <c r="AF13" s="1126"/>
      <c r="AG13" s="1126"/>
      <c r="AH13" s="1144"/>
      <c r="AI13" s="1137"/>
      <c r="AJ13" s="1126"/>
      <c r="AK13" s="1126"/>
      <c r="AL13" s="903"/>
      <c r="AM13" s="901"/>
      <c r="AN13" s="901"/>
      <c r="AO13" s="901"/>
      <c r="AP13" s="901"/>
      <c r="AQ13" s="901"/>
      <c r="AR13" s="901"/>
      <c r="AS13" s="901"/>
      <c r="AT13" s="901"/>
      <c r="AU13" s="901"/>
      <c r="AV13" s="901"/>
      <c r="AW13" s="901"/>
      <c r="AX13" s="901"/>
      <c r="AY13" s="901"/>
      <c r="AZ13" s="901"/>
      <c r="BA13" s="901"/>
      <c r="BB13" s="901"/>
      <c r="BC13" s="901"/>
      <c r="BD13" s="901"/>
      <c r="BE13" s="901"/>
      <c r="BF13" s="901"/>
    </row>
    <row customHeight="1" ht="10.5">
      <c r="E14" s="901"/>
      <c r="F14" s="912"/>
      <c r="G14" s="912"/>
      <c r="H14" s="1168"/>
      <c r="I14" s="912"/>
      <c r="J14" s="912"/>
      <c r="K14" s="912"/>
      <c r="L14" s="1126"/>
      <c r="M14" s="1126"/>
      <c r="N14" s="912"/>
      <c r="O14" s="912"/>
      <c r="P14" s="912"/>
      <c r="Q14" s="912"/>
      <c r="R14" s="912"/>
      <c r="S14" s="912"/>
      <c r="T14" s="912"/>
      <c r="U14" s="912"/>
      <c r="V14" s="912"/>
      <c r="W14" s="912"/>
      <c r="X14" s="912"/>
      <c r="Y14" s="912"/>
      <c r="Z14" s="912"/>
      <c r="AA14" s="912"/>
      <c r="AB14" s="912"/>
      <c r="AC14" s="912"/>
      <c r="AD14" s="1126"/>
      <c r="AE14" s="912"/>
      <c r="AF14" s="912"/>
      <c r="AG14" s="912"/>
      <c r="AH14" s="1144"/>
      <c r="AI14" s="1137"/>
      <c r="AJ14" s="912"/>
      <c r="AK14" s="912"/>
      <c r="AL14" s="901"/>
      <c r="AM14" s="901"/>
      <c r="AN14" s="901"/>
      <c r="AO14" s="901"/>
      <c r="AP14" s="901"/>
      <c r="AQ14" s="901"/>
      <c r="AR14" s="901"/>
      <c r="AS14" s="901"/>
      <c r="AT14" s="901"/>
      <c r="AU14" s="901"/>
      <c r="AV14" s="901"/>
      <c r="AW14" s="901"/>
      <c r="AX14" s="901"/>
      <c r="AY14" s="901"/>
      <c r="AZ14" s="901"/>
      <c r="BA14" s="901"/>
      <c r="BB14" s="901"/>
      <c r="BC14" s="901"/>
      <c r="BD14" s="901"/>
      <c r="BE14" s="901"/>
      <c r="BF14" s="901"/>
    </row>
    <row customHeight="1" ht="12.75">
      <c r="E15" s="901"/>
      <c r="F15" s="908" t="s">
        <v>940</v>
      </c>
      <c r="G15" s="908"/>
      <c r="H15" s="1167"/>
      <c r="I15" s="908"/>
      <c r="J15" s="908"/>
      <c r="K15" s="905"/>
      <c r="L15" s="1122"/>
      <c r="M15" s="1122"/>
      <c r="N15" s="907"/>
      <c r="O15" s="907"/>
      <c r="P15" s="907"/>
      <c r="Q15" s="907"/>
      <c r="R15" s="907"/>
      <c r="S15" s="907"/>
      <c r="T15" s="907"/>
      <c r="U15" s="907"/>
      <c r="V15" s="907"/>
      <c r="W15" s="907"/>
      <c r="X15" s="907"/>
      <c r="Y15" s="907"/>
      <c r="Z15" s="905"/>
      <c r="AA15" s="905"/>
      <c r="AB15" s="905"/>
      <c r="AC15" s="905"/>
      <c r="AD15" s="1122"/>
      <c r="AE15" s="905"/>
      <c r="AF15" s="905"/>
      <c r="AG15" s="905"/>
      <c r="AH15" s="1141"/>
      <c r="AI15" s="1134"/>
      <c r="AJ15" s="905"/>
      <c r="AK15" s="905"/>
      <c r="AL15" s="901"/>
      <c r="AM15" s="901"/>
      <c r="AN15" s="901"/>
      <c r="AO15" s="901"/>
      <c r="AP15" s="901"/>
      <c r="AQ15" s="901"/>
      <c r="AR15" s="901"/>
      <c r="AS15" s="901"/>
      <c r="AT15" s="901"/>
      <c r="AU15" s="901"/>
      <c r="AV15" s="901"/>
      <c r="AW15" s="901"/>
      <c r="AX15" s="901"/>
      <c r="AY15" s="901"/>
      <c r="AZ15" s="901"/>
      <c r="BA15" s="901"/>
      <c r="BB15" s="901"/>
      <c r="BC15" s="901"/>
      <c r="BD15" s="901"/>
      <c r="BE15" s="901"/>
      <c r="BF15" s="901"/>
    </row>
    <row r="17" customHeight="1" ht="10.5">
      <c r="E17" s="901"/>
      <c r="F17" s="2229"/>
      <c r="G17" s="2229"/>
      <c r="H17" s="2229"/>
      <c r="I17" s="2229"/>
      <c r="J17" s="2229"/>
      <c r="K17" s="905"/>
      <c r="L17" s="1122"/>
      <c r="M17" s="1122"/>
      <c r="N17" s="907"/>
      <c r="O17" s="907"/>
      <c r="P17" s="907"/>
      <c r="Q17" s="907"/>
      <c r="R17" s="907"/>
      <c r="S17" s="907"/>
      <c r="T17" s="907"/>
      <c r="U17" s="907"/>
      <c r="V17" s="907"/>
      <c r="W17" s="907"/>
      <c r="X17" s="907"/>
      <c r="Y17" s="907"/>
      <c r="Z17" s="905"/>
      <c r="AA17" s="905"/>
      <c r="AB17" s="905"/>
      <c r="AC17" s="905"/>
      <c r="AD17" s="1122"/>
      <c r="AE17" s="905"/>
      <c r="AF17" s="905"/>
      <c r="AG17" s="905"/>
      <c r="AH17" s="1141"/>
      <c r="AI17" s="1134"/>
      <c r="AJ17" s="905"/>
      <c r="AK17" s="905"/>
      <c r="AL17" s="901"/>
      <c r="AM17" s="901"/>
      <c r="AN17" s="901"/>
      <c r="AO17" s="901"/>
      <c r="AP17" s="901"/>
      <c r="AQ17" s="901"/>
      <c r="AR17" s="901"/>
      <c r="AS17" s="901"/>
      <c r="AT17" s="901"/>
      <c r="AU17" s="901"/>
      <c r="AV17" s="901"/>
      <c r="AW17" s="901"/>
      <c r="AX17" s="901"/>
      <c r="AY17" s="901"/>
      <c r="AZ17" s="901"/>
      <c r="BA17" s="901"/>
      <c r="BB17" s="901"/>
      <c r="BC17" s="901"/>
      <c r="BD17" s="901"/>
      <c r="BE17" s="901"/>
      <c r="BF17" s="901"/>
    </row>
    <row customHeight="1" ht="10.5">
      <c r="E18" s="901"/>
      <c r="F18" s="2229"/>
      <c r="G18" s="2229"/>
      <c r="H18" s="2229"/>
      <c r="I18" s="2229"/>
      <c r="J18" s="2229"/>
      <c r="K18" s="905"/>
      <c r="L18" s="1122"/>
      <c r="M18" s="1122"/>
      <c r="N18" s="907"/>
      <c r="O18" s="907"/>
      <c r="P18" s="907"/>
      <c r="Q18" s="907"/>
      <c r="R18" s="907"/>
      <c r="S18" s="907"/>
      <c r="T18" s="907"/>
      <c r="U18" s="907"/>
      <c r="V18" s="907"/>
      <c r="W18" s="907"/>
      <c r="X18" s="907"/>
      <c r="Y18" s="907"/>
      <c r="Z18" s="905"/>
      <c r="AA18" s="905"/>
      <c r="AB18" s="905"/>
      <c r="AC18" s="905"/>
      <c r="AD18" s="1122"/>
      <c r="AE18" s="905"/>
      <c r="AF18" s="905"/>
      <c r="AG18" s="905"/>
      <c r="AH18" s="1141"/>
      <c r="AI18" s="1134"/>
      <c r="AJ18" s="905"/>
      <c r="AK18" s="905"/>
      <c r="AL18" s="901"/>
      <c r="AM18" s="901"/>
      <c r="AN18" s="901"/>
      <c r="AO18" s="901"/>
      <c r="AP18" s="901"/>
      <c r="AQ18" s="901"/>
      <c r="AR18" s="901"/>
      <c r="AS18" s="901"/>
      <c r="AT18" s="901"/>
      <c r="AU18" s="901"/>
      <c r="AV18" s="901"/>
      <c r="AW18" s="901"/>
      <c r="AX18" s="901"/>
      <c r="AY18" s="901"/>
      <c r="AZ18" s="901"/>
      <c r="BA18" s="901"/>
      <c r="BB18" s="901"/>
      <c r="BC18" s="901"/>
      <c r="BD18" s="901"/>
      <c r="BE18" s="901"/>
      <c r="BF18" s="901"/>
    </row>
    <row customHeight="1" ht="10.5">
      <c r="E19" s="901"/>
      <c r="F19" s="2229"/>
      <c r="G19" s="2229"/>
      <c r="H19" s="2229"/>
      <c r="I19" s="2229"/>
      <c r="J19" s="2229"/>
      <c r="K19" s="905"/>
      <c r="L19" s="1122"/>
      <c r="M19" s="1122"/>
      <c r="N19" s="907"/>
      <c r="O19" s="907"/>
      <c r="P19" s="907"/>
      <c r="Q19" s="907"/>
      <c r="R19" s="907"/>
      <c r="S19" s="907"/>
      <c r="T19" s="907"/>
      <c r="U19" s="907"/>
      <c r="V19" s="907"/>
      <c r="W19" s="907"/>
      <c r="X19" s="907"/>
      <c r="Y19" s="907"/>
      <c r="Z19" s="905"/>
      <c r="AA19" s="905"/>
      <c r="AB19" s="905"/>
      <c r="AC19" s="905"/>
      <c r="AD19" s="1122"/>
      <c r="AE19" s="905"/>
      <c r="AF19" s="905"/>
      <c r="AG19" s="905"/>
      <c r="AH19" s="1141"/>
      <c r="AI19" s="1134"/>
      <c r="AJ19" s="905"/>
      <c r="AK19" s="905"/>
      <c r="AL19" s="901"/>
      <c r="AM19" s="901"/>
      <c r="AN19" s="901"/>
      <c r="AO19" s="901"/>
      <c r="AP19" s="901"/>
      <c r="AQ19" s="901"/>
      <c r="AR19" s="901"/>
      <c r="AS19" s="901"/>
      <c r="AT19" s="901"/>
      <c r="AU19" s="901"/>
      <c r="AV19" s="901"/>
      <c r="AW19" s="901"/>
      <c r="AX19" s="901"/>
      <c r="AY19" s="901"/>
      <c r="AZ19" s="901"/>
      <c r="BA19" s="901"/>
      <c r="BB19" s="901"/>
      <c r="BC19" s="901"/>
      <c r="BD19" s="901"/>
      <c r="BE19" s="901"/>
      <c r="BF19" s="901"/>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48E075-1C6B-BFE2-33AC-C72247F8A95B}"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1161" width="4.140625" hidden="1" customWidth="1"/>
    <col min="4" max="4" style="1383" width="4.140625" hidden="1" customWidth="1"/>
    <col min="5" max="5" style="1660" width="3.7109375" customWidth="1"/>
    <col min="6" max="6" style="1660" width="6.28125" customWidth="1"/>
    <col min="7" max="7" style="1660" width="60.140625" customWidth="1"/>
    <col min="8" max="9" style="1660" width="21.7109375" hidden="1" customWidth="1"/>
    <col min="10" max="10" style="1660" width="0.140625" customWidth="1"/>
    <col min="11" max="11" style="1660" width="1.7109375" customWidth="1"/>
    <col min="12" max="22" style="1660" width="9.140625"/>
  </cols>
  <sheetData>
    <row s="1383" customFormat="1" customHeight="1" ht="10.5" hidden="1">
      <c r="A1" s="1161"/>
      <c r="B1" s="1161"/>
      <c r="C1" s="1161"/>
      <c r="E1" s="533"/>
    </row>
    <row customHeight="1" ht="10.5" hidden="1"/>
    <row s="1657" customFormat="1" customHeight="1" ht="10.5" hidden="1">
      <c r="A3" s="1161"/>
      <c r="B3" s="1161"/>
      <c r="C3" s="1161"/>
      <c r="D3" s="1155"/>
      <c r="E3" s="352"/>
    </row>
    <row customHeight="1" ht="3"/>
    <row customHeight="1" ht="25.5">
      <c r="F5" s="2122"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22"/>
      <c r="H5" s="2122"/>
      <c r="I5" s="2122"/>
      <c r="J5" s="2122"/>
    </row>
    <row customHeight="1" ht="10.5">
      <c r="F6" s="2035" t="str">
        <f>IF(org=0,"Не определено",org)</f>
        <v>ПАО "ТГК-1" филиал "Невский"</v>
      </c>
      <c r="G6" s="2035"/>
      <c r="H6" s="2035"/>
      <c r="I6" s="2035"/>
      <c r="J6" s="2035"/>
    </row>
    <row customHeight="1" ht="11.25">
      <c r="E7" s="1165"/>
      <c r="F7" s="1232"/>
      <c r="G7" s="1232"/>
      <c r="H7" s="1232"/>
      <c r="I7" s="1232"/>
      <c r="J7" s="1232"/>
      <c r="K7" s="1152"/>
      <c r="L7" s="1152"/>
      <c r="M7" s="1152"/>
      <c r="N7" s="1152"/>
      <c r="O7" s="1152"/>
      <c r="P7" s="1152"/>
      <c r="Q7" s="1152"/>
      <c r="R7" s="1152"/>
      <c r="S7" s="1152"/>
      <c r="T7" s="1152"/>
      <c r="U7" s="1152"/>
      <c r="V7" s="1152"/>
    </row>
    <row s="1667" customFormat="1" customHeight="1" ht="5.25">
      <c r="A8" s="1162"/>
      <c r="B8" s="1162"/>
      <c r="C8" s="1162"/>
      <c r="E8" s="1233"/>
      <c r="F8" s="1234"/>
      <c r="G8" s="1234"/>
      <c r="H8" s="1234"/>
      <c r="I8" s="1234"/>
      <c r="J8" s="1234"/>
      <c r="K8" s="1233"/>
      <c r="L8" s="1233"/>
      <c r="M8" s="1233"/>
      <c r="N8" s="1233"/>
      <c r="O8" s="1233"/>
      <c r="P8" s="1233"/>
      <c r="Q8" s="1233"/>
      <c r="R8" s="1233"/>
      <c r="S8" s="1233"/>
      <c r="T8" s="1233"/>
      <c r="U8" s="1233"/>
      <c r="V8" s="1233"/>
    </row>
    <row customHeight="1" ht="10.5">
      <c r="E9" s="1165"/>
      <c r="F9" s="2240" t="s">
        <v>312</v>
      </c>
      <c r="G9" s="2241"/>
      <c r="H9" s="2241"/>
      <c r="I9" s="2241"/>
      <c r="J9" s="2241"/>
      <c r="K9" s="1245"/>
      <c r="L9" s="1152"/>
      <c r="M9" s="1152"/>
      <c r="N9" s="1152"/>
      <c r="O9" s="1152"/>
      <c r="P9" s="1152"/>
      <c r="Q9" s="1152"/>
      <c r="R9" s="1152"/>
      <c r="S9" s="1152"/>
      <c r="T9" s="1152"/>
      <c r="U9" s="1152"/>
      <c r="V9" s="1152"/>
    </row>
    <row customHeight="1" ht="24">
      <c r="E10" s="1152"/>
      <c r="F10" s="2244" t="s">
        <v>87</v>
      </c>
      <c r="G10" s="2249" t="s">
        <v>941</v>
      </c>
      <c r="H10" s="2247" t="s">
        <v>942</v>
      </c>
      <c r="I10" s="2247"/>
      <c r="J10" s="2247"/>
      <c r="K10" s="1238"/>
      <c r="L10" s="1152"/>
      <c r="M10" s="1152"/>
      <c r="N10" s="1152"/>
      <c r="O10" s="1152"/>
      <c r="P10" s="1152"/>
      <c r="Q10" s="1152"/>
      <c r="R10" s="1152"/>
      <c r="S10" s="1152"/>
      <c r="T10" s="1152"/>
      <c r="U10" s="1152"/>
      <c r="V10" s="1152"/>
    </row>
    <row customHeight="1" ht="24">
      <c r="E11" s="1152"/>
      <c r="F11" s="2245"/>
      <c r="G11" s="2249"/>
      <c r="H11" s="2248">
        <f>INDEX(IP_MAIN_LIST_NAME_IP,MATCH(H8,IP_MAIN_LIST_IP_ID,0))&amp;" ("&amp;INDEX(IP_MAIN_START_DATE,MATCH(H8,IP_MAIN_LIST_IP_ID,0))&amp;"-"&amp;INDEX(IP_MAIN_END_DATE,MATCH(H8,IP_MAIN_LIST_IP_ID,0))&amp;")"</f>
      </c>
      <c r="I11" s="2248"/>
      <c r="J11" s="2248"/>
      <c r="K11" s="1238"/>
      <c r="L11" s="1152"/>
      <c r="M11" s="1152"/>
      <c r="N11" s="1152"/>
      <c r="O11" s="1152"/>
      <c r="P11" s="1152"/>
      <c r="Q11" s="1152"/>
      <c r="R11" s="1152"/>
      <c r="S11" s="1152"/>
      <c r="T11" s="1152"/>
      <c r="U11" s="1152"/>
      <c r="V11" s="1152"/>
    </row>
    <row customHeight="1" ht="10.5">
      <c r="F12" s="2246"/>
      <c r="G12" s="2249"/>
      <c r="H12" s="1231" t="s">
        <v>943</v>
      </c>
      <c r="I12" s="1237"/>
      <c r="J12" s="1231"/>
      <c r="K12" s="1239"/>
    </row>
    <row customHeight="1" ht="10.5" hidden="1">
      <c r="F13" s="1231">
        <v>1</v>
      </c>
      <c r="G13" s="1231">
        <v>2</v>
      </c>
      <c r="H13" s="1231">
        <v>3</v>
      </c>
      <c r="I13" s="1231">
        <v>4</v>
      </c>
      <c r="J13" s="1231">
        <v>5</v>
      </c>
      <c r="K13" s="1239"/>
    </row>
    <row customHeight="1" ht="11.25">
      <c r="F14" s="1230" t="s">
        <v>944</v>
      </c>
      <c r="G14" s="2242" t="s">
        <v>945</v>
      </c>
      <c r="H14" s="2242"/>
      <c r="I14" s="2242"/>
      <c r="J14" s="2242"/>
      <c r="K14" s="1239"/>
    </row>
    <row customHeight="1" ht="11.25">
      <c r="F15" s="1235">
        <v>1</v>
      </c>
      <c r="G15" s="685" t="s">
        <v>946</v>
      </c>
      <c r="H15" s="1241">
        <f>SUM(I15:J15)</f>
        <v>0</v>
      </c>
      <c r="I15" s="1241">
        <f>SUM(I16:I27)</f>
        <v>0</v>
      </c>
      <c r="J15" s="1230"/>
      <c r="K15" s="1239"/>
    </row>
    <row customHeight="1" ht="22.5">
      <c r="F16" s="1235" t="s">
        <v>947</v>
      </c>
      <c r="G16" s="1242" t="s">
        <v>948</v>
      </c>
      <c r="H16" s="1241">
        <f>SUM(I16:J16)</f>
        <v>0</v>
      </c>
      <c r="I16" s="1240"/>
      <c r="J16" s="1230"/>
      <c r="K16" s="1239"/>
    </row>
    <row customHeight="1" ht="22.5">
      <c r="F17" s="1235" t="s">
        <v>949</v>
      </c>
      <c r="G17" s="1242" t="s">
        <v>950</v>
      </c>
      <c r="H17" s="1241">
        <f>SUM(I17:J17)</f>
        <v>0</v>
      </c>
      <c r="I17" s="1240"/>
      <c r="J17" s="1230"/>
      <c r="K17" s="1239"/>
    </row>
    <row customHeight="1" ht="33.75">
      <c r="F18" s="1235" t="s">
        <v>951</v>
      </c>
      <c r="G18" s="1242" t="s">
        <v>952</v>
      </c>
      <c r="H18" s="1241">
        <f>SUM(I18:J18)</f>
        <v>0</v>
      </c>
      <c r="I18" s="1240"/>
      <c r="J18" s="1230"/>
      <c r="K18" s="1239"/>
    </row>
    <row customHeight="1" ht="33.75">
      <c r="F19" s="1235" t="s">
        <v>953</v>
      </c>
      <c r="G19" s="1242" t="s">
        <v>954</v>
      </c>
      <c r="H19" s="1241">
        <f>SUM(I19:J19)</f>
        <v>0</v>
      </c>
      <c r="I19" s="1240"/>
      <c r="J19" s="1230"/>
      <c r="K19" s="1239"/>
    </row>
    <row customHeight="1" ht="45">
      <c r="F20" s="1235" t="s">
        <v>955</v>
      </c>
      <c r="G20" s="1242" t="s">
        <v>956</v>
      </c>
      <c r="H20" s="1241">
        <f>SUM(I20:J20)</f>
        <v>0</v>
      </c>
      <c r="I20" s="1240"/>
      <c r="J20" s="1230"/>
      <c r="K20" s="1239"/>
    </row>
    <row customHeight="1" ht="33.75">
      <c r="F21" s="1235" t="s">
        <v>957</v>
      </c>
      <c r="G21" s="1242" t="s">
        <v>958</v>
      </c>
      <c r="H21" s="1241">
        <f>SUM(I21:J21)</f>
        <v>0</v>
      </c>
      <c r="I21" s="1240"/>
      <c r="J21" s="1230"/>
      <c r="K21" s="1239"/>
    </row>
    <row customHeight="1" ht="33.75">
      <c r="F22" s="1235" t="s">
        <v>959</v>
      </c>
      <c r="G22" s="1242" t="s">
        <v>960</v>
      </c>
      <c r="H22" s="1241">
        <f>SUM(I22:J22)</f>
        <v>0</v>
      </c>
      <c r="I22" s="1240"/>
      <c r="J22" s="1230"/>
      <c r="K22" s="1239"/>
    </row>
    <row customHeight="1" ht="22.5">
      <c r="F23" s="1235" t="s">
        <v>961</v>
      </c>
      <c r="G23" s="1242" t="s">
        <v>962</v>
      </c>
      <c r="H23" s="1241">
        <f>SUM(I23:J23)</f>
        <v>0</v>
      </c>
      <c r="I23" s="1240"/>
      <c r="J23" s="1230"/>
      <c r="K23" s="1239"/>
    </row>
    <row customHeight="1" ht="22.5">
      <c r="F24" s="1235" t="s">
        <v>963</v>
      </c>
      <c r="G24" s="1242" t="s">
        <v>964</v>
      </c>
      <c r="H24" s="1241">
        <f>SUM(I24:J24)</f>
        <v>0</v>
      </c>
      <c r="I24" s="1240"/>
      <c r="J24" s="1230"/>
      <c r="K24" s="1239"/>
    </row>
    <row customHeight="1" ht="33.75">
      <c r="F25" s="1235" t="s">
        <v>965</v>
      </c>
      <c r="G25" s="1242" t="s">
        <v>966</v>
      </c>
      <c r="H25" s="1241">
        <f>SUM(I25:J25)</f>
        <v>0</v>
      </c>
      <c r="I25" s="1240"/>
      <c r="J25" s="1230"/>
      <c r="K25" s="1239"/>
    </row>
    <row customHeight="1" ht="33.75">
      <c r="F26" s="1235" t="s">
        <v>967</v>
      </c>
      <c r="G26" s="1242" t="s">
        <v>968</v>
      </c>
      <c r="H26" s="1241">
        <f>SUM(I26:J26)</f>
        <v>0</v>
      </c>
      <c r="I26" s="1240"/>
      <c r="J26" s="1230"/>
      <c r="K26" s="1239"/>
    </row>
    <row customHeight="1" ht="11.25">
      <c r="F27" s="1235" t="s">
        <v>969</v>
      </c>
      <c r="G27" s="1242" t="s">
        <v>970</v>
      </c>
      <c r="H27" s="1241">
        <f>SUM(I27:J27)</f>
        <v>0</v>
      </c>
      <c r="I27" s="1240"/>
      <c r="J27" s="1230"/>
      <c r="K27" s="1239"/>
    </row>
    <row customHeight="1" ht="11.25">
      <c r="F28" s="1235">
        <v>2</v>
      </c>
      <c r="G28" s="685" t="s">
        <v>971</v>
      </c>
      <c r="H28" s="1241">
        <f>SUM(I28:J28)</f>
        <v>0</v>
      </c>
      <c r="I28" s="1241">
        <f>SUM(I29:I31)</f>
        <v>0</v>
      </c>
      <c r="J28" s="1230"/>
      <c r="K28" s="1239"/>
    </row>
    <row customHeight="1" ht="11.25">
      <c r="F29" s="1235" t="s">
        <v>633</v>
      </c>
      <c r="G29" s="1242" t="s">
        <v>972</v>
      </c>
      <c r="H29" s="1241">
        <f>SUM(I29:J29)</f>
        <v>0</v>
      </c>
      <c r="I29" s="1240"/>
      <c r="J29" s="1230"/>
      <c r="K29" s="1239"/>
    </row>
    <row customHeight="1" ht="11.25">
      <c r="F30" s="1235" t="s">
        <v>319</v>
      </c>
      <c r="G30" s="1242" t="s">
        <v>973</v>
      </c>
      <c r="H30" s="1241">
        <f>SUM(I30:J30)</f>
        <v>0</v>
      </c>
      <c r="I30" s="1240"/>
      <c r="J30" s="1230"/>
      <c r="K30" s="1239"/>
    </row>
    <row customHeight="1" ht="11.25">
      <c r="F31" s="1235" t="s">
        <v>322</v>
      </c>
      <c r="G31" s="1242" t="s">
        <v>974</v>
      </c>
      <c r="H31" s="1241">
        <f>SUM(I31:J31)</f>
        <v>0</v>
      </c>
      <c r="I31" s="1240"/>
      <c r="J31" s="1230"/>
      <c r="K31" s="1239"/>
    </row>
    <row customHeight="1" ht="11.25">
      <c r="F32" s="1235">
        <v>3</v>
      </c>
      <c r="G32" s="685" t="s">
        <v>975</v>
      </c>
      <c r="H32" s="1241">
        <f>SUM(I32:J32)</f>
        <v>0</v>
      </c>
      <c r="I32" s="1241">
        <f>SUM(I33:I34)</f>
        <v>0</v>
      </c>
      <c r="J32" s="1230"/>
      <c r="K32" s="1239"/>
    </row>
    <row customHeight="1" ht="33.75">
      <c r="F33" s="1235" t="s">
        <v>338</v>
      </c>
      <c r="G33" s="1242" t="s">
        <v>976</v>
      </c>
      <c r="H33" s="1241">
        <f>SUM(I33:J33)</f>
        <v>0</v>
      </c>
      <c r="I33" s="1240"/>
      <c r="J33" s="1230"/>
      <c r="K33" s="1239"/>
    </row>
    <row customHeight="1" ht="11.25">
      <c r="F34" s="1235" t="s">
        <v>346</v>
      </c>
      <c r="G34" s="1242" t="s">
        <v>977</v>
      </c>
      <c r="H34" s="1241">
        <f>SUM(I34:J34)</f>
        <v>0</v>
      </c>
      <c r="I34" s="1240"/>
      <c r="J34" s="1230"/>
      <c r="K34" s="1239"/>
    </row>
    <row customHeight="1" ht="11.25">
      <c r="F35" s="1235">
        <v>4</v>
      </c>
      <c r="G35" s="685" t="s">
        <v>978</v>
      </c>
      <c r="H35" s="1241">
        <f>SUM(I35:J35)</f>
        <v>0</v>
      </c>
      <c r="I35" s="1240"/>
      <c r="J35" s="1230"/>
      <c r="K35" s="1239"/>
    </row>
    <row customHeight="1" ht="11.25">
      <c r="F36" s="1235"/>
      <c r="G36" s="688" t="s">
        <v>979</v>
      </c>
      <c r="H36" s="1241">
        <f>SUM(I36:J36)</f>
        <v>0</v>
      </c>
      <c r="I36" s="1241">
        <f>SUM(I15,I28,I32,I35)</f>
        <v>0</v>
      </c>
      <c r="J36" s="1230"/>
      <c r="K36" s="1239"/>
    </row>
    <row customHeight="1" ht="27.75">
      <c r="F37" s="1236" t="s">
        <v>980</v>
      </c>
      <c r="G37" s="2243" t="s">
        <v>981</v>
      </c>
      <c r="H37" s="2243"/>
      <c r="I37" s="2243"/>
      <c r="J37" s="2243"/>
      <c r="K37" s="1239"/>
    </row>
    <row customHeight="1" ht="22.5">
      <c r="F38" s="1235" t="s">
        <v>108</v>
      </c>
      <c r="G38" s="685" t="s">
        <v>982</v>
      </c>
      <c r="H38" s="1241">
        <f>SUM(I38:J38)</f>
        <v>0</v>
      </c>
      <c r="I38" s="1241">
        <f>SUM(I39,I44,I47)</f>
        <v>0</v>
      </c>
      <c r="J38" s="1230"/>
      <c r="K38" s="1239"/>
    </row>
    <row customHeight="1" ht="11.25">
      <c r="F39" s="1235" t="s">
        <v>947</v>
      </c>
      <c r="G39" s="1242" t="s">
        <v>946</v>
      </c>
      <c r="H39" s="1241">
        <f>SUM(I39:J39)</f>
        <v>0</v>
      </c>
      <c r="I39" s="1241">
        <f>SUM(I40:I43)</f>
        <v>0</v>
      </c>
      <c r="J39" s="1230"/>
      <c r="K39" s="1239"/>
    </row>
    <row customHeight="1" ht="22.5">
      <c r="F40" s="1235" t="s">
        <v>983</v>
      </c>
      <c r="G40" s="1243" t="s">
        <v>984</v>
      </c>
      <c r="H40" s="1241">
        <f>SUM(I40:J40)</f>
        <v>0</v>
      </c>
      <c r="I40" s="1240"/>
      <c r="J40" s="1230"/>
      <c r="K40" s="1239"/>
    </row>
    <row customHeight="1" ht="11.25">
      <c r="F41" s="1235" t="s">
        <v>985</v>
      </c>
      <c r="G41" s="1243" t="s">
        <v>986</v>
      </c>
      <c r="H41" s="1241">
        <f>SUM(I41:J41)</f>
        <v>0</v>
      </c>
      <c r="I41" s="1240"/>
      <c r="J41" s="1230"/>
      <c r="K41" s="1239"/>
    </row>
    <row customHeight="1" ht="11.25">
      <c r="F42" s="1235" t="s">
        <v>987</v>
      </c>
      <c r="G42" s="1243" t="s">
        <v>988</v>
      </c>
      <c r="H42" s="1241">
        <f>SUM(I42:J42)</f>
        <v>0</v>
      </c>
      <c r="I42" s="1240"/>
      <c r="J42" s="1230"/>
      <c r="K42" s="1239"/>
    </row>
    <row customHeight="1" ht="33.75">
      <c r="F43" s="1235" t="s">
        <v>989</v>
      </c>
      <c r="G43" s="1243" t="s">
        <v>990</v>
      </c>
      <c r="H43" s="1241">
        <f>SUM(I43:J43)</f>
        <v>0</v>
      </c>
      <c r="I43" s="1240"/>
      <c r="J43" s="1230"/>
      <c r="K43" s="1239"/>
    </row>
    <row customHeight="1" ht="11.25">
      <c r="F44" s="1235" t="s">
        <v>949</v>
      </c>
      <c r="G44" s="1242" t="s">
        <v>975</v>
      </c>
      <c r="H44" s="1241">
        <f>SUM(I44:J44)</f>
        <v>0</v>
      </c>
      <c r="I44" s="1241">
        <f>SUM(I45:I46)</f>
        <v>0</v>
      </c>
      <c r="J44" s="1230"/>
      <c r="K44" s="1239"/>
    </row>
    <row customHeight="1" ht="45">
      <c r="F45" s="1235" t="s">
        <v>991</v>
      </c>
      <c r="G45" s="1243" t="s">
        <v>976</v>
      </c>
      <c r="H45" s="1241">
        <f>SUM(I45:J45)</f>
        <v>0</v>
      </c>
      <c r="I45" s="1240"/>
      <c r="J45" s="1230"/>
      <c r="K45" s="1239"/>
    </row>
    <row customHeight="1" ht="11.25">
      <c r="F46" s="1235" t="s">
        <v>992</v>
      </c>
      <c r="G46" s="1243" t="s">
        <v>977</v>
      </c>
      <c r="H46" s="1241">
        <f>SUM(I46:J46)</f>
        <v>0</v>
      </c>
      <c r="I46" s="1240"/>
      <c r="J46" s="1230"/>
      <c r="K46" s="1239"/>
    </row>
    <row customHeight="1" ht="11.25">
      <c r="F47" s="1235" t="s">
        <v>951</v>
      </c>
      <c r="G47" s="1242" t="s">
        <v>993</v>
      </c>
      <c r="H47" s="1241">
        <f>SUM(I47:J47)</f>
        <v>0</v>
      </c>
      <c r="I47" s="1240"/>
      <c r="J47" s="1230"/>
      <c r="K47" s="1239"/>
    </row>
    <row customHeight="1" ht="22.5">
      <c r="F48" s="1235" t="s">
        <v>109</v>
      </c>
      <c r="G48" s="685" t="s">
        <v>994</v>
      </c>
      <c r="H48" s="1241">
        <f>SUM(I48:J48)</f>
        <v>0</v>
      </c>
      <c r="I48" s="1241">
        <f>SUM(I49,I54,I57)</f>
        <v>0</v>
      </c>
      <c r="J48" s="1230"/>
      <c r="K48" s="1239"/>
    </row>
    <row customHeight="1" ht="11.25">
      <c r="F49" s="1235" t="s">
        <v>633</v>
      </c>
      <c r="G49" s="1242" t="s">
        <v>946</v>
      </c>
      <c r="H49" s="1241">
        <f>SUM(I49:J49)</f>
        <v>0</v>
      </c>
      <c r="I49" s="1241">
        <f>SUM(I50:I53)</f>
        <v>0</v>
      </c>
      <c r="J49" s="1230"/>
      <c r="K49" s="1239"/>
    </row>
    <row customHeight="1" ht="22.5">
      <c r="F50" s="1235" t="s">
        <v>636</v>
      </c>
      <c r="G50" s="1243" t="s">
        <v>984</v>
      </c>
      <c r="H50" s="1241">
        <f>SUM(I50:J50)</f>
        <v>0</v>
      </c>
      <c r="I50" s="1240"/>
      <c r="J50" s="1230"/>
      <c r="K50" s="1239"/>
    </row>
    <row customHeight="1" ht="11.25">
      <c r="F51" s="1235" t="s">
        <v>639</v>
      </c>
      <c r="G51" s="1243" t="s">
        <v>986</v>
      </c>
      <c r="H51" s="1241">
        <f>SUM(I51:J51)</f>
        <v>0</v>
      </c>
      <c r="I51" s="1240"/>
      <c r="J51" s="1230"/>
      <c r="K51" s="1239"/>
    </row>
    <row customHeight="1" ht="11.25">
      <c r="F52" s="1235" t="s">
        <v>995</v>
      </c>
      <c r="G52" s="1243" t="s">
        <v>988</v>
      </c>
      <c r="H52" s="1241">
        <f>SUM(I52:J52)</f>
        <v>0</v>
      </c>
      <c r="I52" s="1240"/>
      <c r="J52" s="1230"/>
      <c r="K52" s="1239"/>
    </row>
    <row customHeight="1" ht="33.75">
      <c r="F53" s="1235" t="s">
        <v>996</v>
      </c>
      <c r="G53" s="1243" t="s">
        <v>990</v>
      </c>
      <c r="H53" s="1241">
        <f>SUM(I53:J53)</f>
        <v>0</v>
      </c>
      <c r="I53" s="1240"/>
      <c r="J53" s="1230"/>
      <c r="K53" s="1239"/>
    </row>
    <row customHeight="1" ht="11.25">
      <c r="F54" s="1235" t="s">
        <v>319</v>
      </c>
      <c r="G54" s="1242" t="s">
        <v>975</v>
      </c>
      <c r="H54" s="1241">
        <f>SUM(I54:J54)</f>
        <v>0</v>
      </c>
      <c r="I54" s="1241">
        <f>SUM(I55:I56)</f>
        <v>0</v>
      </c>
      <c r="J54" s="1230"/>
      <c r="K54" s="1239"/>
    </row>
    <row customHeight="1" ht="45">
      <c r="F55" s="1235" t="s">
        <v>643</v>
      </c>
      <c r="G55" s="1243" t="s">
        <v>976</v>
      </c>
      <c r="H55" s="1241">
        <f>SUM(I55:J55)</f>
        <v>0</v>
      </c>
      <c r="I55" s="1240"/>
      <c r="J55" s="1230"/>
      <c r="K55" s="1239"/>
    </row>
    <row customHeight="1" ht="11.25">
      <c r="F56" s="1235" t="s">
        <v>645</v>
      </c>
      <c r="G56" s="1243" t="s">
        <v>977</v>
      </c>
      <c r="H56" s="1241">
        <f>SUM(I56:J56)</f>
        <v>0</v>
      </c>
      <c r="I56" s="1240"/>
      <c r="J56" s="1230"/>
      <c r="K56" s="1239"/>
    </row>
    <row customHeight="1" ht="11.25">
      <c r="F57" s="1235" t="s">
        <v>322</v>
      </c>
      <c r="G57" s="1242" t="s">
        <v>993</v>
      </c>
      <c r="H57" s="1241">
        <f>SUM(I57:J57)</f>
        <v>0</v>
      </c>
      <c r="I57" s="1240"/>
      <c r="J57" s="1230"/>
      <c r="K57" s="1239"/>
    </row>
    <row customHeight="1" ht="11.25">
      <c r="F58" s="1235"/>
      <c r="G58" s="1244" t="s">
        <v>979</v>
      </c>
      <c r="H58" s="1241">
        <f>SUM(I58:J58)</f>
        <v>0</v>
      </c>
      <c r="I58" s="1241">
        <f>SUM(I38,I48)</f>
        <v>0</v>
      </c>
      <c r="J58" s="1230"/>
      <c r="K58" s="1239"/>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BC11CF-AC39-E086-1736-875788AB5BDD}"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1058" width="4.7109375" hidden="1" customWidth="1"/>
    <col min="2" max="2" style="930" width="4.7109375" hidden="1" customWidth="1"/>
    <col min="3" max="4" style="1058" width="4.7109375" hidden="1" customWidth="1"/>
    <col min="5" max="5" style="1058" width="3.57421875" customWidth="1"/>
    <col min="6" max="6" style="1058" width="6.7109375" customWidth="1"/>
    <col min="7" max="7" style="1058" width="18.7109375" customWidth="1"/>
    <col min="8" max="8" style="1058" width="27.28125" customWidth="1"/>
    <col min="9" max="9" style="1058" width="18.7109375" customWidth="1"/>
    <col min="10" max="14" style="1058" width="0.8515625" hidden="1" customWidth="1"/>
    <col min="15" max="28" style="1058" width="21.7109375" customWidth="1"/>
    <col min="29" max="71" style="1058" width="0.8515625" customWidth="1"/>
    <col min="72" max="79" style="1058" width="21.7109375" hidden="1" customWidth="1"/>
    <col min="80" max="81" style="1058" width="29.140625" hidden="1" customWidth="1"/>
    <col min="82" max="89" style="1058" width="21.7109375" hidden="1" customWidth="1"/>
    <col min="90" max="102" style="1058" width="0.7109375" hidden="1" customWidth="1"/>
    <col min="103" max="114" style="1058" width="21.7109375" hidden="1" customWidth="1"/>
    <col min="115" max="178" style="1058" width="0.7109375" hidden="1" customWidth="1"/>
    <col min="179" max="179" style="1058" width="0.140625" customWidth="1"/>
    <col min="180" max="184" style="1058" width="9.140625"/>
  </cols>
  <sheetData>
    <row s="919" customFormat="1" customHeight="1" ht="12" hidden="1">
      <c r="B1" s="917"/>
      <c r="C1" s="918"/>
      <c r="D1" s="918"/>
    </row>
    <row s="919" customFormat="1" customHeight="1" ht="12" hidden="1">
      <c r="B2" s="917"/>
      <c r="C2" s="918"/>
      <c r="D2" s="918"/>
      <c r="E2" s="918"/>
      <c r="F2" s="918"/>
      <c r="G2" s="918"/>
      <c r="H2" s="918"/>
      <c r="I2" s="918"/>
      <c r="J2" s="918"/>
      <c r="K2" s="918"/>
      <c r="L2" s="918"/>
      <c r="M2" s="918"/>
      <c r="N2" s="918"/>
      <c r="O2" s="918"/>
      <c r="P2" s="918"/>
      <c r="Q2" s="918"/>
      <c r="R2" s="918"/>
      <c r="S2" s="918"/>
      <c r="T2" s="918"/>
      <c r="U2" s="918"/>
      <c r="V2" s="918"/>
      <c r="W2" s="918"/>
      <c r="X2" s="918"/>
      <c r="Y2" s="918"/>
      <c r="Z2" s="918"/>
      <c r="AA2" s="918"/>
      <c r="AB2" s="919"/>
      <c r="AC2" s="918"/>
      <c r="AD2" s="918"/>
      <c r="AE2" s="918"/>
      <c r="AF2" s="918"/>
      <c r="AG2" s="918"/>
      <c r="AH2" s="918"/>
      <c r="AI2" s="918"/>
      <c r="AJ2" s="918"/>
      <c r="AK2" s="918"/>
      <c r="AL2" s="918"/>
      <c r="AM2" s="918"/>
      <c r="AN2" s="918"/>
      <c r="AO2" s="918"/>
      <c r="AP2" s="918"/>
      <c r="AQ2" s="918"/>
      <c r="AR2" s="918"/>
      <c r="AS2" s="918"/>
      <c r="AT2" s="918"/>
      <c r="AU2" s="918"/>
      <c r="AV2" s="918"/>
      <c r="AW2" s="918"/>
      <c r="AX2" s="918"/>
      <c r="AY2" s="918"/>
      <c r="AZ2" s="918"/>
      <c r="BA2" s="918"/>
      <c r="BB2" s="918"/>
      <c r="BC2" s="918"/>
      <c r="BD2" s="918"/>
      <c r="BE2" s="918"/>
      <c r="BF2" s="918"/>
      <c r="BG2" s="918"/>
      <c r="BH2" s="918"/>
      <c r="BI2" s="918"/>
      <c r="BJ2" s="918"/>
      <c r="BK2" s="918"/>
      <c r="BL2" s="918"/>
      <c r="BM2" s="918"/>
      <c r="BN2" s="918"/>
      <c r="BO2" s="918"/>
      <c r="BP2" s="918"/>
      <c r="BQ2" s="918"/>
      <c r="BR2" s="918"/>
      <c r="BS2" s="918"/>
      <c r="BT2" s="918"/>
      <c r="BU2" s="918"/>
      <c r="BV2" s="918"/>
      <c r="BW2" s="918"/>
      <c r="BX2" s="918"/>
      <c r="BY2" s="918"/>
      <c r="BZ2" s="918"/>
      <c r="CA2" s="918"/>
      <c r="CB2" s="918"/>
      <c r="CC2" s="918"/>
      <c r="CD2" s="918"/>
      <c r="CE2" s="918"/>
      <c r="CF2" s="918"/>
      <c r="CG2" s="918"/>
      <c r="CH2" s="918"/>
      <c r="CI2" s="918"/>
      <c r="CJ2" s="918"/>
      <c r="CK2" s="918"/>
      <c r="CL2" s="918"/>
      <c r="CM2" s="918"/>
      <c r="CN2" s="918"/>
      <c r="CO2" s="918"/>
      <c r="CP2" s="918"/>
      <c r="CQ2" s="918"/>
      <c r="CR2" s="918"/>
      <c r="CS2" s="918"/>
      <c r="CT2" s="918"/>
      <c r="CU2" s="918"/>
      <c r="CV2" s="918"/>
      <c r="CW2" s="918"/>
      <c r="CX2" s="918"/>
      <c r="CY2" s="918"/>
      <c r="CZ2" s="918"/>
      <c r="DA2" s="918"/>
      <c r="DB2" s="918"/>
      <c r="DC2" s="918"/>
      <c r="DD2" s="918"/>
      <c r="DE2" s="918"/>
      <c r="DF2" s="918"/>
      <c r="DG2" s="918"/>
      <c r="DH2" s="918"/>
      <c r="DI2" s="918"/>
      <c r="DJ2" s="918"/>
      <c r="DK2" s="918"/>
      <c r="DL2" s="918"/>
      <c r="DM2" s="918"/>
      <c r="DN2" s="918"/>
      <c r="DO2" s="918"/>
      <c r="DP2" s="918"/>
      <c r="DQ2" s="918"/>
      <c r="DR2" s="918"/>
      <c r="DS2" s="918"/>
      <c r="DT2" s="918"/>
      <c r="DU2" s="918"/>
      <c r="DV2" s="918"/>
      <c r="DW2" s="918"/>
      <c r="DX2" s="918"/>
      <c r="DY2" s="918"/>
      <c r="DZ2" s="918"/>
      <c r="EA2" s="918"/>
      <c r="EB2" s="918"/>
      <c r="EC2" s="918"/>
      <c r="ED2" s="918"/>
      <c r="EE2" s="918"/>
      <c r="EF2" s="918"/>
      <c r="EG2" s="918"/>
      <c r="EH2" s="918"/>
      <c r="EI2" s="918"/>
      <c r="EJ2" s="918"/>
      <c r="EK2" s="918"/>
      <c r="EL2" s="918"/>
      <c r="EM2" s="918"/>
      <c r="EN2" s="918"/>
      <c r="EO2" s="918"/>
      <c r="EP2" s="918"/>
      <c r="EQ2" s="918"/>
      <c r="ER2" s="918"/>
      <c r="ES2" s="918"/>
      <c r="ET2" s="918"/>
      <c r="EU2" s="918"/>
      <c r="EV2" s="918"/>
      <c r="EW2" s="918"/>
      <c r="EX2" s="918"/>
      <c r="EY2" s="918"/>
      <c r="EZ2" s="918"/>
      <c r="FA2" s="918"/>
      <c r="FB2" s="918"/>
      <c r="FC2" s="918"/>
      <c r="FD2" s="918"/>
      <c r="FE2" s="918"/>
      <c r="FF2" s="918"/>
      <c r="FG2" s="918"/>
      <c r="FH2" s="918"/>
      <c r="FI2" s="918"/>
      <c r="FJ2" s="918"/>
      <c r="FK2" s="918"/>
      <c r="FL2" s="918"/>
      <c r="FM2" s="918"/>
      <c r="FN2" s="918"/>
      <c r="FO2" s="918"/>
      <c r="FP2" s="918"/>
      <c r="FQ2" s="918"/>
      <c r="FR2" s="918"/>
      <c r="FS2" s="918"/>
      <c r="FT2" s="918"/>
      <c r="FU2" s="918"/>
      <c r="FV2" s="918"/>
      <c r="FW2" s="918"/>
    </row>
    <row s="919" customFormat="1" customHeight="1" ht="12" hidden="1">
      <c r="B3" s="917"/>
      <c r="C3" s="918"/>
      <c r="D3" s="918"/>
      <c r="E3" s="918"/>
      <c r="F3" s="918"/>
      <c r="G3" s="918"/>
      <c r="H3" s="918"/>
      <c r="I3" s="918"/>
      <c r="J3" s="918"/>
      <c r="K3" s="918"/>
      <c r="L3" s="918"/>
      <c r="M3" s="918"/>
      <c r="N3" s="918"/>
      <c r="O3" s="918"/>
      <c r="P3" s="918"/>
      <c r="Q3" s="918"/>
      <c r="R3" s="918"/>
      <c r="S3" s="918"/>
      <c r="T3" s="918"/>
      <c r="U3" s="918"/>
      <c r="V3" s="918"/>
      <c r="W3" s="918"/>
      <c r="X3" s="918"/>
      <c r="Y3" s="918"/>
      <c r="Z3" s="918"/>
      <c r="AA3" s="918"/>
      <c r="AB3" s="919"/>
      <c r="AC3" s="918"/>
      <c r="AD3" s="918"/>
      <c r="AE3" s="918"/>
      <c r="AF3" s="918"/>
      <c r="AG3" s="918"/>
      <c r="AH3" s="918"/>
      <c r="AI3" s="918"/>
      <c r="AJ3" s="918"/>
      <c r="AK3" s="918"/>
      <c r="AL3" s="918"/>
      <c r="AM3" s="918"/>
      <c r="AN3" s="918"/>
      <c r="AO3" s="918"/>
      <c r="AP3" s="918"/>
      <c r="AQ3" s="918"/>
      <c r="AR3" s="918"/>
      <c r="AS3" s="918"/>
      <c r="AT3" s="918"/>
      <c r="AU3" s="918"/>
      <c r="AV3" s="918"/>
      <c r="AW3" s="918"/>
      <c r="AX3" s="918"/>
      <c r="AY3" s="918"/>
      <c r="AZ3" s="918"/>
      <c r="BA3" s="918"/>
      <c r="BB3" s="918"/>
      <c r="BC3" s="918"/>
      <c r="BD3" s="918"/>
      <c r="BE3" s="918"/>
      <c r="BF3" s="918"/>
      <c r="BG3" s="918"/>
      <c r="BH3" s="918"/>
      <c r="BI3" s="918"/>
      <c r="BJ3" s="918"/>
      <c r="BK3" s="918"/>
      <c r="BL3" s="918"/>
      <c r="BM3" s="918"/>
      <c r="BN3" s="918"/>
      <c r="BO3" s="918"/>
      <c r="BP3" s="918"/>
      <c r="BQ3" s="918"/>
      <c r="BR3" s="918"/>
      <c r="BS3" s="918"/>
      <c r="BT3" s="918"/>
      <c r="BU3" s="918"/>
      <c r="BV3" s="918"/>
      <c r="BW3" s="918"/>
      <c r="BX3" s="918"/>
      <c r="BY3" s="918"/>
      <c r="BZ3" s="918"/>
      <c r="CA3" s="918"/>
      <c r="CB3" s="918"/>
      <c r="CC3" s="918"/>
      <c r="CD3" s="918"/>
      <c r="CE3" s="918"/>
      <c r="CF3" s="918"/>
      <c r="CG3" s="918"/>
      <c r="CH3" s="918"/>
      <c r="CI3" s="918"/>
      <c r="CJ3" s="918"/>
      <c r="CK3" s="918"/>
      <c r="CL3" s="918"/>
      <c r="CM3" s="918"/>
      <c r="CN3" s="918"/>
      <c r="CO3" s="918"/>
      <c r="CP3" s="918"/>
      <c r="CQ3" s="918"/>
      <c r="CR3" s="918"/>
      <c r="CS3" s="918"/>
      <c r="CT3" s="918"/>
      <c r="CU3" s="918"/>
      <c r="CV3" s="918"/>
      <c r="CW3" s="918"/>
      <c r="CX3" s="918"/>
      <c r="CY3" s="918"/>
      <c r="CZ3" s="918"/>
      <c r="DA3" s="918"/>
      <c r="DB3" s="918"/>
      <c r="DC3" s="918"/>
      <c r="DD3" s="918"/>
      <c r="DE3" s="918"/>
      <c r="DF3" s="918"/>
      <c r="DG3" s="918"/>
      <c r="DH3" s="918"/>
      <c r="DI3" s="918"/>
      <c r="DJ3" s="918"/>
      <c r="DK3" s="918"/>
      <c r="DL3" s="918"/>
      <c r="DM3" s="918"/>
      <c r="DN3" s="918"/>
      <c r="DO3" s="918"/>
      <c r="DP3" s="918"/>
      <c r="DQ3" s="918"/>
      <c r="DR3" s="918"/>
      <c r="DS3" s="918"/>
      <c r="DT3" s="918"/>
      <c r="DU3" s="918"/>
      <c r="DV3" s="918"/>
      <c r="DW3" s="918"/>
      <c r="DX3" s="918"/>
      <c r="DY3" s="918"/>
      <c r="DZ3" s="918"/>
      <c r="EA3" s="918"/>
      <c r="EB3" s="918"/>
      <c r="EC3" s="918"/>
      <c r="ED3" s="918"/>
      <c r="EE3" s="918"/>
      <c r="EF3" s="918"/>
      <c r="EG3" s="918"/>
      <c r="EH3" s="918"/>
      <c r="EI3" s="918"/>
      <c r="EJ3" s="918"/>
      <c r="EK3" s="918"/>
      <c r="EL3" s="918"/>
      <c r="EM3" s="918"/>
      <c r="EN3" s="918"/>
      <c r="EO3" s="918"/>
      <c r="EP3" s="918"/>
      <c r="EQ3" s="918"/>
      <c r="ER3" s="918"/>
      <c r="ES3" s="918"/>
      <c r="ET3" s="918"/>
      <c r="EU3" s="918"/>
      <c r="EV3" s="918"/>
      <c r="EW3" s="918"/>
      <c r="EX3" s="918"/>
      <c r="EY3" s="918"/>
      <c r="EZ3" s="918"/>
      <c r="FA3" s="918"/>
      <c r="FB3" s="918"/>
      <c r="FC3" s="918"/>
      <c r="FD3" s="918"/>
      <c r="FE3" s="918"/>
      <c r="FF3" s="918"/>
      <c r="FG3" s="918"/>
      <c r="FH3" s="918"/>
      <c r="FI3" s="918"/>
      <c r="FJ3" s="918"/>
      <c r="FK3" s="918"/>
      <c r="FL3" s="918"/>
      <c r="FM3" s="918"/>
      <c r="FN3" s="918"/>
      <c r="FO3" s="918"/>
      <c r="FP3" s="918"/>
      <c r="FQ3" s="918"/>
      <c r="FR3" s="918"/>
      <c r="FS3" s="918"/>
      <c r="FT3" s="918"/>
      <c r="FU3" s="918"/>
      <c r="FV3" s="918"/>
      <c r="FW3" s="918"/>
    </row>
    <row customHeight="1" ht="10.5">
      <c r="B4" s="921"/>
      <c r="C4" s="922"/>
      <c r="D4" s="922"/>
      <c r="E4" s="922"/>
      <c r="F4" s="922"/>
      <c r="G4" s="922"/>
      <c r="H4" s="923"/>
      <c r="I4" s="923"/>
      <c r="J4" s="923"/>
      <c r="K4" s="923"/>
      <c r="L4" s="923"/>
      <c r="M4" s="924"/>
      <c r="N4" s="924"/>
      <c r="O4" s="924"/>
      <c r="P4" s="924"/>
      <c r="Q4" s="924"/>
      <c r="R4" s="924"/>
      <c r="S4" s="924"/>
      <c r="T4" s="924"/>
      <c r="U4" s="924"/>
      <c r="V4" s="924"/>
      <c r="W4" s="924"/>
      <c r="X4" s="924"/>
      <c r="Y4" s="924"/>
      <c r="Z4" s="924"/>
      <c r="AA4" s="924"/>
      <c r="AB4" s="924"/>
      <c r="AC4" s="924"/>
      <c r="AD4" s="924"/>
      <c r="AE4" s="924"/>
      <c r="AF4" s="924"/>
      <c r="AG4" s="924"/>
      <c r="AH4" s="924"/>
      <c r="AI4" s="924"/>
      <c r="AJ4" s="924"/>
      <c r="AK4" s="924"/>
      <c r="AL4" s="924"/>
      <c r="AM4" s="924"/>
      <c r="AN4" s="924"/>
      <c r="AO4" s="924"/>
      <c r="AP4" s="924"/>
      <c r="AQ4" s="924"/>
      <c r="AR4" s="924"/>
      <c r="AS4" s="924"/>
      <c r="AT4" s="924"/>
      <c r="AU4" s="924"/>
      <c r="AV4" s="924"/>
      <c r="AW4" s="924"/>
      <c r="AX4" s="924"/>
      <c r="AY4" s="924"/>
      <c r="AZ4" s="924"/>
      <c r="BA4" s="924"/>
      <c r="BB4" s="924"/>
      <c r="BC4" s="924"/>
      <c r="BD4" s="924"/>
      <c r="BE4" s="924"/>
      <c r="BF4" s="924"/>
      <c r="BG4" s="924"/>
      <c r="BH4" s="924"/>
      <c r="BI4" s="924"/>
      <c r="BJ4" s="924"/>
      <c r="BK4" s="924"/>
      <c r="BL4" s="924"/>
      <c r="BM4" s="924"/>
      <c r="BN4" s="924"/>
      <c r="BO4" s="924"/>
      <c r="BP4" s="924"/>
      <c r="BQ4" s="924"/>
      <c r="BR4" s="924"/>
      <c r="BS4" s="924"/>
      <c r="BT4" s="924"/>
      <c r="BU4" s="924"/>
      <c r="BV4" s="924"/>
      <c r="BW4" s="924"/>
      <c r="BX4" s="924"/>
      <c r="BY4" s="924"/>
      <c r="BZ4" s="924"/>
      <c r="CA4" s="924"/>
      <c r="CB4" s="924"/>
      <c r="CC4" s="924"/>
      <c r="CD4" s="924"/>
      <c r="CE4" s="924"/>
      <c r="CF4" s="924"/>
      <c r="CG4" s="924"/>
      <c r="CH4" s="924"/>
      <c r="CI4" s="924"/>
      <c r="CJ4" s="924"/>
      <c r="CK4" s="924"/>
      <c r="CL4" s="924"/>
      <c r="CM4" s="924"/>
      <c r="CN4" s="924"/>
      <c r="CO4" s="924"/>
      <c r="CP4" s="924"/>
      <c r="CQ4" s="924"/>
      <c r="CR4" s="924"/>
      <c r="CS4" s="924"/>
      <c r="CT4" s="924"/>
      <c r="CU4" s="924"/>
      <c r="CV4" s="924"/>
      <c r="CW4" s="924"/>
      <c r="CX4" s="924"/>
      <c r="CY4" s="924"/>
      <c r="CZ4" s="924"/>
      <c r="DA4" s="924"/>
      <c r="DB4" s="924"/>
      <c r="DC4" s="924"/>
      <c r="DD4" s="924"/>
      <c r="DE4" s="924"/>
      <c r="DF4" s="924"/>
      <c r="DG4" s="924"/>
      <c r="DH4" s="924"/>
      <c r="DI4" s="924"/>
      <c r="DJ4" s="924"/>
      <c r="DK4" s="924"/>
      <c r="DL4" s="924"/>
      <c r="DM4" s="924"/>
      <c r="DN4" s="924"/>
      <c r="DO4" s="924"/>
      <c r="DP4" s="924"/>
      <c r="DQ4" s="924"/>
      <c r="DR4" s="924"/>
      <c r="DS4" s="924"/>
      <c r="DT4" s="924"/>
      <c r="DU4" s="924"/>
      <c r="DV4" s="924"/>
      <c r="DW4" s="924"/>
      <c r="DX4" s="924"/>
      <c r="DY4" s="924"/>
      <c r="DZ4" s="924"/>
      <c r="EA4" s="924"/>
      <c r="EB4" s="924"/>
      <c r="EC4" s="924"/>
      <c r="ED4" s="924"/>
      <c r="EE4" s="924"/>
      <c r="EF4" s="924"/>
      <c r="EG4" s="924"/>
      <c r="EH4" s="924"/>
      <c r="EI4" s="924"/>
      <c r="EJ4" s="924"/>
      <c r="EK4" s="924"/>
      <c r="EL4" s="924"/>
      <c r="EM4" s="924"/>
      <c r="EN4" s="924"/>
      <c r="EO4" s="924"/>
      <c r="EP4" s="924"/>
      <c r="EQ4" s="924"/>
      <c r="ER4" s="924"/>
      <c r="ES4" s="924"/>
      <c r="ET4" s="924"/>
      <c r="EU4" s="924"/>
      <c r="EV4" s="924"/>
      <c r="EW4" s="924"/>
      <c r="EX4" s="924"/>
      <c r="EY4" s="924"/>
      <c r="EZ4" s="924"/>
      <c r="FA4" s="924"/>
      <c r="FB4" s="924"/>
      <c r="FC4" s="924"/>
      <c r="FD4" s="924"/>
      <c r="FE4" s="924"/>
      <c r="FF4" s="924"/>
      <c r="FG4" s="924"/>
      <c r="FH4" s="924"/>
      <c r="FI4" s="924"/>
      <c r="FJ4" s="924"/>
      <c r="FK4" s="924"/>
      <c r="FL4" s="924"/>
      <c r="FM4" s="924"/>
      <c r="FN4" s="924"/>
      <c r="FO4" s="924"/>
      <c r="FP4" s="924"/>
      <c r="FQ4" s="924"/>
      <c r="FR4" s="924"/>
      <c r="FS4" s="924"/>
      <c r="FT4" s="924"/>
      <c r="FU4" s="924"/>
      <c r="FV4" s="924"/>
      <c r="FW4" s="924"/>
    </row>
    <row s="1898" customFormat="1" customHeight="1" ht="25.5">
      <c r="B5" s="1897"/>
      <c r="E5" s="1899"/>
      <c r="F5" s="2277"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1997"/>
      <c r="H5" s="1997"/>
      <c r="I5" s="1997"/>
      <c r="J5" s="1997"/>
      <c r="K5" s="1997"/>
      <c r="L5" s="1997"/>
      <c r="M5" s="1997"/>
      <c r="N5" s="1997"/>
      <c r="O5" s="1997"/>
      <c r="P5" s="1997"/>
      <c r="Q5" s="1997"/>
      <c r="R5" s="1997"/>
      <c r="S5" s="1997"/>
      <c r="T5" s="1997"/>
      <c r="U5" s="1997"/>
      <c r="V5" s="1997"/>
      <c r="W5" s="1997"/>
      <c r="X5" s="1997"/>
      <c r="Y5" s="1997"/>
      <c r="Z5" s="1997"/>
      <c r="AA5" s="1997"/>
      <c r="AB5" s="1997"/>
      <c r="AC5" s="1997"/>
      <c r="AD5" s="1997"/>
      <c r="AE5" s="1997"/>
      <c r="AF5" s="1997"/>
      <c r="AG5" s="1997"/>
      <c r="AH5" s="1997"/>
      <c r="AI5" s="1997"/>
      <c r="AJ5" s="1997"/>
      <c r="AK5" s="1997"/>
      <c r="AL5" s="1997"/>
      <c r="AM5" s="1997"/>
      <c r="AN5" s="1997"/>
      <c r="AO5" s="1997"/>
      <c r="AP5" s="1997"/>
      <c r="AQ5" s="1997"/>
      <c r="AR5" s="1997"/>
      <c r="AS5" s="1997"/>
      <c r="AT5" s="1997"/>
      <c r="AU5" s="1997"/>
      <c r="AV5" s="1997"/>
      <c r="AW5" s="1997"/>
      <c r="AX5" s="1997"/>
      <c r="AY5" s="1997"/>
      <c r="AZ5" s="1997"/>
      <c r="BA5" s="1997"/>
      <c r="BB5" s="1997"/>
      <c r="BC5" s="1997"/>
      <c r="BD5" s="1997"/>
      <c r="BE5" s="1997"/>
      <c r="BF5" s="1997"/>
      <c r="BG5" s="1997"/>
      <c r="BH5" s="1997"/>
      <c r="BI5" s="1997"/>
      <c r="BJ5" s="1997"/>
      <c r="BK5" s="1997"/>
      <c r="BL5" s="1997"/>
      <c r="BM5" s="1997"/>
      <c r="BN5" s="1997"/>
      <c r="BO5" s="1997"/>
      <c r="BP5" s="1997"/>
      <c r="BQ5" s="1997"/>
      <c r="BR5" s="1997"/>
      <c r="BS5" s="1997"/>
    </row>
    <row s="1972" customFormat="1" customHeight="1" ht="18">
      <c r="B6" s="938"/>
      <c r="E6" s="940"/>
      <c r="F6" s="2061" t="str">
        <f>IF(org=0,"Не определено",org)</f>
        <v>ПАО "ТГК-1" филиал "Невский"</v>
      </c>
      <c r="G6" s="2062"/>
      <c r="H6" s="2062"/>
      <c r="I6" s="2062"/>
      <c r="J6" s="2062"/>
      <c r="K6" s="2062"/>
      <c r="L6" s="2062"/>
      <c r="M6" s="2062"/>
      <c r="N6" s="2062"/>
      <c r="O6" s="2062"/>
      <c r="P6" s="2062"/>
      <c r="Q6" s="2062"/>
      <c r="R6" s="2062"/>
      <c r="S6" s="2062"/>
      <c r="T6" s="2062"/>
      <c r="U6" s="2062"/>
      <c r="V6" s="2062"/>
      <c r="W6" s="2062"/>
      <c r="X6" s="2062"/>
      <c r="Y6" s="2062"/>
      <c r="Z6" s="2062"/>
      <c r="AA6" s="2062"/>
      <c r="AB6" s="2062"/>
      <c r="AC6" s="2062"/>
      <c r="AD6" s="2062"/>
      <c r="AE6" s="2062"/>
      <c r="AF6" s="2062"/>
      <c r="AG6" s="2062"/>
      <c r="AH6" s="2062"/>
      <c r="AI6" s="2062"/>
      <c r="AJ6" s="2062"/>
      <c r="AK6" s="2062"/>
      <c r="AL6" s="2062"/>
      <c r="AM6" s="2062"/>
      <c r="AN6" s="2062"/>
      <c r="AO6" s="2062"/>
      <c r="AP6" s="2062"/>
      <c r="AQ6" s="2062"/>
      <c r="AR6" s="2062"/>
      <c r="AS6" s="2062"/>
      <c r="AT6" s="2062"/>
      <c r="AU6" s="2062"/>
      <c r="AV6" s="2062"/>
      <c r="AW6" s="2062"/>
      <c r="AX6" s="2062"/>
      <c r="AY6" s="2062"/>
      <c r="AZ6" s="2062"/>
      <c r="BA6" s="2062"/>
      <c r="BB6" s="2062"/>
      <c r="BC6" s="2062"/>
      <c r="BD6" s="2062"/>
      <c r="BE6" s="2062"/>
      <c r="BF6" s="2062"/>
      <c r="BG6" s="2062"/>
      <c r="BH6" s="2062"/>
      <c r="BI6" s="2062"/>
      <c r="BJ6" s="2062"/>
      <c r="BK6" s="2062"/>
      <c r="BL6" s="2062"/>
      <c r="BM6" s="2062"/>
      <c r="BN6" s="2062"/>
      <c r="BO6" s="2062"/>
      <c r="BP6" s="2062"/>
      <c r="BQ6" s="2062"/>
      <c r="BR6" s="2062"/>
      <c r="BS6" s="2062"/>
    </row>
    <row s="927" customFormat="1" customHeight="1" ht="10.5">
      <c r="B7" s="926"/>
      <c r="E7" s="927"/>
      <c r="F7" s="927"/>
      <c r="G7" s="929"/>
      <c r="H7" s="923"/>
      <c r="I7" s="923"/>
      <c r="J7" s="923"/>
      <c r="K7" s="923"/>
      <c r="L7" s="923"/>
      <c r="M7" s="927"/>
      <c r="N7" s="927"/>
      <c r="O7" s="927"/>
      <c r="P7" s="927"/>
      <c r="Q7" s="927"/>
      <c r="R7" s="927"/>
      <c r="S7" s="927"/>
      <c r="T7" s="927"/>
      <c r="U7" s="927"/>
      <c r="V7" s="927"/>
      <c r="W7" s="927"/>
      <c r="X7" s="927"/>
      <c r="Y7" s="927"/>
      <c r="Z7" s="927"/>
      <c r="AA7" s="927"/>
      <c r="AB7" s="927"/>
      <c r="AC7" s="927"/>
      <c r="AD7" s="927"/>
      <c r="AE7" s="927"/>
      <c r="AF7" s="927"/>
      <c r="AG7" s="927"/>
      <c r="AH7" s="927"/>
      <c r="AI7" s="927"/>
      <c r="AJ7" s="927"/>
      <c r="AK7" s="927"/>
      <c r="AL7" s="927"/>
      <c r="AM7" s="927"/>
      <c r="AN7" s="927"/>
      <c r="AO7" s="927"/>
      <c r="AP7" s="927"/>
      <c r="AQ7" s="927"/>
      <c r="AR7" s="927"/>
      <c r="AS7" s="927"/>
      <c r="AT7" s="927"/>
      <c r="AU7" s="927"/>
      <c r="AV7" s="927"/>
      <c r="AW7" s="927"/>
      <c r="AX7" s="927"/>
      <c r="AY7" s="927"/>
      <c r="AZ7" s="927"/>
      <c r="BA7" s="927"/>
      <c r="BB7" s="927"/>
      <c r="BC7" s="927"/>
      <c r="BD7" s="927"/>
      <c r="BE7" s="927"/>
      <c r="BF7" s="927"/>
      <c r="BG7" s="927"/>
      <c r="BH7" s="927"/>
      <c r="BI7" s="927"/>
      <c r="BJ7" s="927"/>
      <c r="BK7" s="927"/>
      <c r="BL7" s="927"/>
      <c r="BM7" s="927"/>
      <c r="BN7" s="927"/>
      <c r="BO7" s="927"/>
      <c r="BP7" s="927"/>
      <c r="BQ7" s="927"/>
      <c r="BR7" s="927"/>
      <c r="BS7" s="927"/>
      <c r="BT7" s="927"/>
      <c r="BU7" s="927"/>
      <c r="BV7" s="927"/>
      <c r="BW7" s="927"/>
      <c r="BX7" s="927"/>
      <c r="BY7" s="927"/>
      <c r="BZ7" s="927"/>
      <c r="CA7" s="927"/>
      <c r="CB7" s="927"/>
      <c r="CC7" s="927"/>
      <c r="CD7" s="927"/>
      <c r="CE7" s="927"/>
      <c r="CF7" s="927"/>
      <c r="CG7" s="927"/>
      <c r="CH7" s="927"/>
      <c r="CI7" s="927"/>
      <c r="CJ7" s="927"/>
      <c r="CK7" s="927"/>
      <c r="CL7" s="927"/>
      <c r="CM7" s="927"/>
      <c r="CN7" s="927"/>
      <c r="CO7" s="927"/>
      <c r="CP7" s="927"/>
      <c r="CQ7" s="927"/>
      <c r="CR7" s="927"/>
      <c r="CS7" s="927"/>
      <c r="CT7" s="927"/>
      <c r="CU7" s="927"/>
      <c r="CV7" s="927"/>
      <c r="CW7" s="927"/>
      <c r="CX7" s="927"/>
      <c r="CY7" s="927"/>
      <c r="CZ7" s="927"/>
      <c r="DA7" s="927"/>
      <c r="DB7" s="927"/>
      <c r="DC7" s="927"/>
      <c r="DD7" s="927"/>
      <c r="DE7" s="927"/>
      <c r="DF7" s="927"/>
      <c r="DG7" s="927"/>
      <c r="DH7" s="927"/>
      <c r="DI7" s="927"/>
      <c r="DJ7" s="927"/>
      <c r="DK7" s="927"/>
      <c r="DL7" s="927"/>
      <c r="DM7" s="927"/>
      <c r="DN7" s="927"/>
      <c r="DO7" s="927"/>
      <c r="DP7" s="927"/>
      <c r="DQ7" s="927"/>
      <c r="DR7" s="927"/>
      <c r="DS7" s="927"/>
      <c r="DT7" s="927"/>
      <c r="DU7" s="927"/>
      <c r="DV7" s="927"/>
      <c r="DW7" s="927"/>
      <c r="DX7" s="927"/>
      <c r="DY7" s="927"/>
      <c r="DZ7" s="927"/>
      <c r="EA7" s="927"/>
      <c r="EB7" s="927"/>
      <c r="EC7" s="927"/>
      <c r="ED7" s="927"/>
      <c r="EE7" s="927"/>
      <c r="EF7" s="927"/>
      <c r="EG7" s="927"/>
      <c r="EH7" s="927"/>
      <c r="EI7" s="927"/>
      <c r="EJ7" s="927"/>
      <c r="EK7" s="927"/>
      <c r="EL7" s="927"/>
      <c r="EM7" s="927"/>
      <c r="EN7" s="927"/>
      <c r="EO7" s="927"/>
      <c r="EP7" s="927"/>
      <c r="EQ7" s="927"/>
      <c r="ER7" s="927"/>
      <c r="ES7" s="927"/>
      <c r="ET7" s="927"/>
      <c r="EU7" s="927"/>
      <c r="EV7" s="927"/>
      <c r="EW7" s="927"/>
      <c r="EX7" s="927"/>
      <c r="EY7" s="927"/>
      <c r="EZ7" s="927"/>
      <c r="FA7" s="927"/>
      <c r="FB7" s="927"/>
      <c r="FC7" s="927"/>
      <c r="FD7" s="927"/>
      <c r="FE7" s="927"/>
      <c r="FF7" s="927"/>
      <c r="FG7" s="927"/>
      <c r="FH7" s="927"/>
      <c r="FI7" s="927"/>
      <c r="FJ7" s="927"/>
      <c r="FK7" s="927"/>
      <c r="FL7" s="927"/>
      <c r="FM7" s="927"/>
      <c r="FN7" s="927"/>
      <c r="FO7" s="927"/>
      <c r="FP7" s="927"/>
      <c r="FQ7" s="927"/>
      <c r="FR7" s="927"/>
      <c r="FS7" s="927"/>
      <c r="FT7" s="927"/>
      <c r="FU7" s="927"/>
      <c r="FV7" s="927"/>
      <c r="FW7" s="927"/>
    </row>
    <row s="927" customFormat="1" customHeight="1" ht="11.25" hidden="1">
      <c r="B8" s="928"/>
      <c r="F8" s="1051"/>
      <c r="G8" s="758"/>
      <c r="H8" s="348"/>
      <c r="I8" s="348"/>
      <c r="J8" s="348"/>
      <c r="K8" s="348"/>
      <c r="L8" s="348"/>
      <c r="M8" s="1051"/>
      <c r="N8" s="1051"/>
      <c r="O8" s="2263" t="s">
        <v>997</v>
      </c>
      <c r="P8" s="2264"/>
      <c r="Q8" s="2264"/>
      <c r="R8" s="2264"/>
      <c r="S8" s="2264"/>
      <c r="T8" s="2264"/>
      <c r="U8" s="2264"/>
      <c r="V8" s="2264"/>
      <c r="W8" s="2264"/>
      <c r="X8" s="2264"/>
      <c r="Y8" s="2264"/>
      <c r="Z8" s="2264"/>
      <c r="AA8" s="2264"/>
      <c r="AB8" s="2264"/>
      <c r="AC8" s="2264"/>
      <c r="AD8" s="2264"/>
      <c r="AE8" s="2264"/>
      <c r="AF8" s="2264"/>
      <c r="AG8" s="2264"/>
      <c r="AH8" s="2264"/>
      <c r="AI8" s="2264"/>
      <c r="AJ8" s="2264"/>
      <c r="AK8" s="2264"/>
      <c r="AL8" s="2264"/>
      <c r="AM8" s="2264"/>
      <c r="AN8" s="2264"/>
      <c r="AO8" s="2264"/>
      <c r="AP8" s="2264"/>
      <c r="AQ8" s="2264"/>
      <c r="AR8" s="2264"/>
      <c r="AS8" s="2264"/>
      <c r="AT8" s="2264"/>
      <c r="AU8" s="2264"/>
      <c r="AV8" s="2264"/>
      <c r="AW8" s="2264"/>
      <c r="AX8" s="2264"/>
      <c r="AY8" s="2264"/>
      <c r="AZ8" s="2264"/>
      <c r="BA8" s="2264"/>
      <c r="BB8" s="2264"/>
      <c r="BC8" s="2264"/>
      <c r="BD8" s="2264"/>
      <c r="BE8" s="2264"/>
      <c r="BF8" s="2264"/>
      <c r="BG8" s="2264"/>
      <c r="BH8" s="2264"/>
      <c r="BI8" s="2264"/>
      <c r="BJ8" s="2264"/>
      <c r="BK8" s="2264"/>
      <c r="BL8" s="2264"/>
      <c r="BM8" s="2264"/>
      <c r="BN8" s="2264"/>
      <c r="BO8" s="2264"/>
      <c r="BP8" s="2264"/>
      <c r="BQ8" s="2264"/>
      <c r="BR8" s="2264"/>
      <c r="BS8" s="2265"/>
      <c r="BT8" s="2266"/>
      <c r="BU8" s="2267"/>
      <c r="BV8" s="2267"/>
      <c r="BW8" s="2267"/>
      <c r="BX8" s="2267"/>
      <c r="BY8" s="2267"/>
      <c r="BZ8" s="2267"/>
      <c r="CA8" s="2267"/>
      <c r="CB8" s="2267"/>
      <c r="CC8" s="2267"/>
      <c r="CD8" s="2267"/>
      <c r="CE8" s="2267"/>
      <c r="CF8" s="2267"/>
      <c r="CG8" s="2267"/>
      <c r="CH8" s="2267"/>
      <c r="CI8" s="2267"/>
      <c r="CJ8" s="2267"/>
      <c r="CK8" s="2267"/>
      <c r="CL8" s="2267"/>
      <c r="CM8" s="2267"/>
      <c r="CN8" s="2267"/>
      <c r="CO8" s="2267"/>
      <c r="CP8" s="2267"/>
      <c r="CQ8" s="2267"/>
      <c r="CR8" s="2267"/>
      <c r="CS8" s="2267"/>
      <c r="CT8" s="2267"/>
      <c r="CU8" s="2267"/>
      <c r="CV8" s="2267"/>
      <c r="CW8" s="2267"/>
      <c r="CX8" s="2268"/>
      <c r="CY8" s="2269"/>
      <c r="CZ8" s="2270"/>
      <c r="DA8" s="2270"/>
      <c r="DB8" s="2270"/>
      <c r="DC8" s="2270"/>
      <c r="DD8" s="2270"/>
      <c r="DE8" s="2270"/>
      <c r="DF8" s="2270"/>
      <c r="DG8" s="2270"/>
      <c r="DH8" s="2270"/>
      <c r="DI8" s="2270"/>
      <c r="DJ8" s="2270"/>
      <c r="DK8" s="2270"/>
      <c r="DL8" s="2270"/>
      <c r="DM8" s="2270"/>
      <c r="DN8" s="2270"/>
      <c r="DO8" s="2270"/>
      <c r="DP8" s="2270"/>
      <c r="DQ8" s="2270"/>
      <c r="DR8" s="2270"/>
      <c r="DS8" s="2270"/>
      <c r="DT8" s="2270"/>
      <c r="DU8" s="2270"/>
      <c r="DV8" s="2270"/>
      <c r="DW8" s="2270"/>
      <c r="DX8" s="2271"/>
      <c r="DY8" s="2257" t="s">
        <v>998</v>
      </c>
      <c r="DZ8" s="2258"/>
      <c r="EA8" s="2258"/>
      <c r="EB8" s="2258"/>
      <c r="EC8" s="2258"/>
      <c r="ED8" s="2258"/>
      <c r="EE8" s="2258"/>
      <c r="EF8" s="2258"/>
      <c r="EG8" s="2258"/>
      <c r="EH8" s="2258"/>
      <c r="EI8" s="2258"/>
      <c r="EJ8" s="2258"/>
      <c r="EK8" s="2258"/>
      <c r="EL8" s="2258"/>
      <c r="EM8" s="2258"/>
      <c r="EN8" s="2258"/>
      <c r="EO8" s="2258"/>
      <c r="EP8" s="2258"/>
      <c r="EQ8" s="2258"/>
      <c r="ER8" s="2258"/>
      <c r="ES8" s="2258"/>
      <c r="ET8" s="2258"/>
      <c r="EU8" s="2258"/>
      <c r="EV8" s="2258"/>
      <c r="EW8" s="2258"/>
      <c r="EX8" s="2258"/>
      <c r="EY8" s="2258"/>
      <c r="EZ8" s="2258"/>
      <c r="FA8" s="2258"/>
      <c r="FB8" s="2258"/>
      <c r="FC8" s="2258"/>
      <c r="FD8" s="2258"/>
      <c r="FE8" s="2258"/>
      <c r="FF8" s="2258"/>
      <c r="FG8" s="2258"/>
      <c r="FH8" s="2258"/>
      <c r="FI8" s="2258"/>
      <c r="FJ8" s="2258"/>
      <c r="FK8" s="2258"/>
      <c r="FL8" s="2258"/>
      <c r="FM8" s="2258"/>
      <c r="FN8" s="2258"/>
      <c r="FO8" s="2258"/>
      <c r="FP8" s="2258"/>
      <c r="FQ8" s="2258"/>
      <c r="FR8" s="2258"/>
      <c r="FS8" s="2258"/>
      <c r="FT8" s="2258"/>
      <c r="FU8" s="2258"/>
      <c r="FV8" s="2258"/>
      <c r="FW8" s="2259"/>
      <c r="FX8" s="1051"/>
    </row>
    <row s="927" customFormat="1" customHeight="1" ht="11.25" hidden="1">
      <c r="B9" s="928"/>
      <c r="F9" s="1051"/>
      <c r="G9" s="758"/>
      <c r="H9" s="348"/>
      <c r="I9" s="348"/>
      <c r="J9" s="348"/>
      <c r="K9" s="348"/>
      <c r="L9" s="348"/>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051"/>
      <c r="BE9" s="1051"/>
      <c r="BF9" s="1051"/>
      <c r="BG9" s="1051"/>
      <c r="BH9" s="1051"/>
      <c r="BI9" s="1051"/>
      <c r="BJ9" s="1051"/>
      <c r="BK9" s="1051"/>
      <c r="BL9" s="1051"/>
      <c r="BM9" s="1051"/>
      <c r="BN9" s="1051"/>
      <c r="BO9" s="1051"/>
      <c r="BP9" s="1051"/>
      <c r="BQ9" s="1051"/>
      <c r="BR9" s="1051"/>
      <c r="BS9" s="1051"/>
      <c r="BT9" s="1051"/>
      <c r="BU9" s="1051"/>
      <c r="BV9" s="1051"/>
      <c r="BW9" s="1051"/>
      <c r="BX9" s="1051"/>
      <c r="BY9" s="1051"/>
      <c r="BZ9" s="1051"/>
      <c r="CA9" s="1051"/>
      <c r="CB9" s="1051"/>
      <c r="CC9" s="1051"/>
      <c r="CD9" s="1051"/>
      <c r="CE9" s="1051"/>
      <c r="CF9" s="1051"/>
      <c r="CG9" s="1051"/>
      <c r="CH9" s="1051"/>
      <c r="CI9" s="1051"/>
      <c r="CJ9" s="1051"/>
      <c r="CK9" s="1051"/>
      <c r="CL9" s="1051"/>
      <c r="CM9" s="1051"/>
      <c r="CN9" s="1051"/>
      <c r="CO9" s="1051"/>
      <c r="CP9" s="1051"/>
      <c r="CQ9" s="1051"/>
      <c r="CR9" s="1051"/>
      <c r="CS9" s="1051"/>
      <c r="CT9" s="1051"/>
      <c r="CU9" s="1051"/>
      <c r="CV9" s="1051"/>
      <c r="CW9" s="1051"/>
      <c r="CX9" s="1051"/>
      <c r="CY9" s="1051"/>
      <c r="CZ9" s="1051"/>
      <c r="DA9" s="1051"/>
      <c r="DB9" s="1051"/>
      <c r="DC9" s="1051"/>
      <c r="DD9" s="1051"/>
      <c r="DE9" s="1051"/>
      <c r="DF9" s="1051"/>
      <c r="DG9" s="1051"/>
      <c r="DH9" s="1051"/>
      <c r="DI9" s="1051"/>
      <c r="DJ9" s="1051"/>
      <c r="DK9" s="1051"/>
      <c r="DL9" s="1051"/>
      <c r="DM9" s="1051"/>
      <c r="DN9" s="1051"/>
      <c r="DO9" s="1051"/>
      <c r="DP9" s="1051"/>
      <c r="DQ9" s="1051"/>
      <c r="DR9" s="1051"/>
      <c r="DS9" s="1051"/>
      <c r="DT9" s="1051"/>
      <c r="DU9" s="1051"/>
      <c r="DV9" s="1051"/>
      <c r="DW9" s="1051"/>
      <c r="DX9" s="1051"/>
      <c r="DY9" s="1051"/>
      <c r="DZ9" s="1051"/>
      <c r="EA9" s="1051"/>
      <c r="EB9" s="1051"/>
      <c r="EC9" s="1051"/>
      <c r="ED9" s="1051"/>
      <c r="EE9" s="1051"/>
      <c r="EF9" s="1051"/>
      <c r="EG9" s="1051"/>
      <c r="EH9" s="1051"/>
      <c r="EI9" s="1051"/>
      <c r="EJ9" s="1051"/>
      <c r="EK9" s="1051"/>
      <c r="EL9" s="1051"/>
      <c r="EM9" s="1051"/>
      <c r="EN9" s="1051"/>
      <c r="EO9" s="1051"/>
      <c r="EP9" s="1051"/>
      <c r="EQ9" s="1051"/>
      <c r="ER9" s="1051"/>
      <c r="ES9" s="1051"/>
      <c r="ET9" s="1051"/>
      <c r="EU9" s="1051"/>
      <c r="EV9" s="1051"/>
      <c r="EW9" s="1051"/>
      <c r="EX9" s="1051"/>
      <c r="EY9" s="1051"/>
      <c r="EZ9" s="1051"/>
      <c r="FA9" s="1051"/>
      <c r="FB9" s="1051"/>
      <c r="FC9" s="1051"/>
      <c r="FD9" s="1051"/>
      <c r="FE9" s="1051"/>
      <c r="FF9" s="1051"/>
      <c r="FG9" s="1051"/>
      <c r="FH9" s="1051"/>
      <c r="FI9" s="1051"/>
      <c r="FJ9" s="1051"/>
      <c r="FK9" s="1051"/>
      <c r="FL9" s="1051"/>
      <c r="FM9" s="1051"/>
      <c r="FN9" s="1051"/>
      <c r="FO9" s="1051"/>
      <c r="FP9" s="1051"/>
      <c r="FQ9" s="1051"/>
      <c r="FR9" s="1051"/>
      <c r="FS9" s="1051"/>
      <c r="FT9" s="1051"/>
      <c r="FU9" s="1051"/>
      <c r="FV9" s="1051"/>
      <c r="FW9" s="2260"/>
      <c r="FX9" s="1051"/>
    </row>
    <row s="927" customFormat="1" customHeight="1" ht="11.25">
      <c r="B10" s="928"/>
      <c r="F10" s="2274" t="s">
        <v>312</v>
      </c>
      <c r="G10" s="2275"/>
      <c r="H10" s="2275"/>
      <c r="I10" s="2275"/>
      <c r="J10" s="2275"/>
      <c r="K10" s="2275"/>
      <c r="L10" s="2275"/>
      <c r="M10" s="2275"/>
      <c r="N10" s="2275"/>
      <c r="O10" s="2275"/>
      <c r="P10" s="2275"/>
      <c r="Q10" s="2275"/>
      <c r="R10" s="2275"/>
      <c r="S10" s="2275"/>
      <c r="T10" s="2275"/>
      <c r="U10" s="2275"/>
      <c r="V10" s="2275"/>
      <c r="W10" s="2275"/>
      <c r="X10" s="2275"/>
      <c r="Y10" s="2275"/>
      <c r="Z10" s="2275"/>
      <c r="AA10" s="2275"/>
      <c r="AB10" s="2275"/>
      <c r="AC10" s="2275"/>
      <c r="AD10" s="2275"/>
      <c r="AE10" s="2275"/>
      <c r="AF10" s="2275"/>
      <c r="AG10" s="2275"/>
      <c r="AH10" s="2275"/>
      <c r="AI10" s="2275"/>
      <c r="AJ10" s="2275"/>
      <c r="AK10" s="2275"/>
      <c r="AL10" s="2275"/>
      <c r="AM10" s="2275"/>
      <c r="AN10" s="2275"/>
      <c r="AO10" s="2275"/>
      <c r="AP10" s="2275"/>
      <c r="AQ10" s="2275"/>
      <c r="AR10" s="2275"/>
      <c r="AS10" s="2275"/>
      <c r="AT10" s="2275"/>
      <c r="AU10" s="2275"/>
      <c r="AV10" s="2275"/>
      <c r="AW10" s="2275"/>
      <c r="AX10" s="2275"/>
      <c r="AY10" s="2275"/>
      <c r="AZ10" s="2275"/>
      <c r="BA10" s="2275"/>
      <c r="BB10" s="2275"/>
      <c r="BC10" s="2275"/>
      <c r="BD10" s="2275"/>
      <c r="BE10" s="2275"/>
      <c r="BF10" s="2275"/>
      <c r="BG10" s="2275"/>
      <c r="BH10" s="2275"/>
      <c r="BI10" s="2275"/>
      <c r="BJ10" s="2275"/>
      <c r="BK10" s="2275"/>
      <c r="BL10" s="2275"/>
      <c r="BM10" s="2275"/>
      <c r="BN10" s="2275"/>
      <c r="BO10" s="2275"/>
      <c r="BP10" s="2275"/>
      <c r="BQ10" s="2275"/>
      <c r="BR10" s="2275"/>
      <c r="BS10" s="2275"/>
      <c r="BT10" s="2275"/>
      <c r="BU10" s="2275"/>
      <c r="BV10" s="2275"/>
      <c r="BW10" s="2275"/>
      <c r="BX10" s="2275"/>
      <c r="BY10" s="2275"/>
      <c r="BZ10" s="2275"/>
      <c r="CA10" s="2275"/>
      <c r="CB10" s="2275"/>
      <c r="CC10" s="2275"/>
      <c r="CD10" s="2275"/>
      <c r="CE10" s="2275"/>
      <c r="CF10" s="2275"/>
      <c r="CG10" s="2275"/>
      <c r="CH10" s="2275"/>
      <c r="CI10" s="2275"/>
      <c r="CJ10" s="2275"/>
      <c r="CK10" s="2275"/>
      <c r="CL10" s="2275"/>
      <c r="CM10" s="2275"/>
      <c r="CN10" s="2275"/>
      <c r="CO10" s="2275"/>
      <c r="CP10" s="2275"/>
      <c r="CQ10" s="2275"/>
      <c r="CR10" s="2275"/>
      <c r="CS10" s="2275"/>
      <c r="CT10" s="2275"/>
      <c r="CU10" s="2275"/>
      <c r="CV10" s="2275"/>
      <c r="CW10" s="2275"/>
      <c r="CX10" s="2275"/>
      <c r="CY10" s="2275"/>
      <c r="CZ10" s="2275"/>
      <c r="DA10" s="2275"/>
      <c r="DB10" s="2275"/>
      <c r="DC10" s="2275"/>
      <c r="DD10" s="2275"/>
      <c r="DE10" s="2275"/>
      <c r="DF10" s="2275"/>
      <c r="DG10" s="2275"/>
      <c r="DH10" s="2275"/>
      <c r="DI10" s="2275"/>
      <c r="DJ10" s="2275"/>
      <c r="DK10" s="2275"/>
      <c r="DL10" s="2275"/>
      <c r="DM10" s="2275"/>
      <c r="DN10" s="2275"/>
      <c r="DO10" s="2275"/>
      <c r="DP10" s="2275"/>
      <c r="DQ10" s="2275"/>
      <c r="DR10" s="2275"/>
      <c r="DS10" s="2275"/>
      <c r="DT10" s="2275"/>
      <c r="DU10" s="2275"/>
      <c r="DV10" s="2275"/>
      <c r="DW10" s="2275"/>
      <c r="DX10" s="2275"/>
      <c r="DY10" s="2275"/>
      <c r="DZ10" s="2275"/>
      <c r="EA10" s="2275"/>
      <c r="EB10" s="2275"/>
      <c r="EC10" s="2275"/>
      <c r="ED10" s="2275"/>
      <c r="EE10" s="2275"/>
      <c r="EF10" s="2275"/>
      <c r="EG10" s="2275"/>
      <c r="EH10" s="2275"/>
      <c r="EI10" s="2275"/>
      <c r="EJ10" s="2275"/>
      <c r="EK10" s="2275"/>
      <c r="EL10" s="2275"/>
      <c r="EM10" s="2275"/>
      <c r="EN10" s="2275"/>
      <c r="EO10" s="2275"/>
      <c r="EP10" s="2275"/>
      <c r="EQ10" s="2275"/>
      <c r="ER10" s="2275"/>
      <c r="ES10" s="2275"/>
      <c r="ET10" s="2275"/>
      <c r="EU10" s="2275"/>
      <c r="EV10" s="2275"/>
      <c r="EW10" s="2275"/>
      <c r="EX10" s="2275"/>
      <c r="EY10" s="2275"/>
      <c r="EZ10" s="2275"/>
      <c r="FA10" s="2275"/>
      <c r="FB10" s="2275"/>
      <c r="FC10" s="2275"/>
      <c r="FD10" s="2275"/>
      <c r="FE10" s="2275"/>
      <c r="FF10" s="2275"/>
      <c r="FG10" s="2275"/>
      <c r="FH10" s="2275"/>
      <c r="FI10" s="2275"/>
      <c r="FJ10" s="2275"/>
      <c r="FK10" s="2275"/>
      <c r="FL10" s="2275"/>
      <c r="FM10" s="2275"/>
      <c r="FN10" s="2275"/>
      <c r="FO10" s="2275"/>
      <c r="FP10" s="2275"/>
      <c r="FQ10" s="2275"/>
      <c r="FR10" s="2275"/>
      <c r="FS10" s="2275"/>
      <c r="FT10" s="2275"/>
      <c r="FU10" s="2275"/>
      <c r="FV10" s="2276"/>
      <c r="FW10" s="2260"/>
      <c r="FX10" s="1051"/>
    </row>
    <row customHeight="1" ht="12">
      <c r="E11" s="931"/>
      <c r="F11" s="2039" t="s">
        <v>87</v>
      </c>
      <c r="G11" s="2039" t="s">
        <v>999</v>
      </c>
      <c r="H11" s="2273" t="s">
        <v>1000</v>
      </c>
      <c r="I11" s="2273" t="s">
        <v>1001</v>
      </c>
      <c r="J11" s="2272"/>
      <c r="K11" s="2272"/>
      <c r="L11" s="2272"/>
      <c r="M11" s="2272"/>
      <c r="N11" s="2272"/>
      <c r="O11" s="2044" t="s">
        <v>1002</v>
      </c>
      <c r="P11" s="2044"/>
      <c r="Q11" s="2044"/>
      <c r="R11" s="2044"/>
      <c r="S11" s="2044"/>
      <c r="T11" s="2044"/>
      <c r="U11" s="2044"/>
      <c r="V11" s="2044"/>
      <c r="W11" s="2044"/>
      <c r="X11" s="2044"/>
      <c r="Y11" s="2044"/>
      <c r="Z11" s="2044"/>
      <c r="AA11" s="2044"/>
      <c r="AB11" s="2044"/>
      <c r="AC11" s="2254"/>
      <c r="AD11" s="2254"/>
      <c r="AE11" s="2254"/>
      <c r="AF11" s="2254"/>
      <c r="AG11" s="2254"/>
      <c r="AH11" s="2254"/>
      <c r="AI11" s="2254"/>
      <c r="AJ11" s="2254"/>
      <c r="AK11" s="2254"/>
      <c r="AL11" s="2254"/>
      <c r="AM11" s="2254"/>
      <c r="AN11" s="2254"/>
      <c r="AO11" s="2254"/>
      <c r="AP11" s="2254"/>
      <c r="AQ11" s="2254"/>
      <c r="AR11" s="2254"/>
      <c r="AS11" s="2254"/>
      <c r="AT11" s="2254"/>
      <c r="AU11" s="2254"/>
      <c r="AV11" s="2254"/>
      <c r="AW11" s="2254"/>
      <c r="AX11" s="2254"/>
      <c r="AY11" s="2254"/>
      <c r="AZ11" s="2254"/>
      <c r="BA11" s="2254"/>
      <c r="BB11" s="2254"/>
      <c r="BC11" s="2254"/>
      <c r="BD11" s="2254"/>
      <c r="BE11" s="2254"/>
      <c r="BF11" s="2254"/>
      <c r="BG11" s="2254"/>
      <c r="BH11" s="2254"/>
      <c r="BI11" s="2254"/>
      <c r="BJ11" s="2254"/>
      <c r="BK11" s="2254"/>
      <c r="BL11" s="2254"/>
      <c r="BM11" s="2254"/>
      <c r="BN11" s="2254"/>
      <c r="BO11" s="2254"/>
      <c r="BP11" s="2254"/>
      <c r="BQ11" s="2254"/>
      <c r="BR11" s="2254"/>
      <c r="BS11" s="2255"/>
      <c r="BT11" s="2252" t="s">
        <v>1002</v>
      </c>
      <c r="BU11" s="2256"/>
      <c r="BV11" s="2256"/>
      <c r="BW11" s="2256"/>
      <c r="BX11" s="2256"/>
      <c r="BY11" s="2256"/>
      <c r="BZ11" s="2256"/>
      <c r="CA11" s="2256"/>
      <c r="CB11" s="2256"/>
      <c r="CC11" s="2256"/>
      <c r="CD11" s="2256"/>
      <c r="CE11" s="2256"/>
      <c r="CF11" s="2256"/>
      <c r="CG11" s="2256"/>
      <c r="CH11" s="2256"/>
      <c r="CI11" s="2256"/>
      <c r="CJ11" s="2256"/>
      <c r="CK11" s="2253"/>
      <c r="CL11" s="2262"/>
      <c r="CM11" s="2254"/>
      <c r="CN11" s="2254"/>
      <c r="CO11" s="2254"/>
      <c r="CP11" s="2254"/>
      <c r="CQ11" s="2254"/>
      <c r="CR11" s="2254"/>
      <c r="CS11" s="2254"/>
      <c r="CT11" s="2254"/>
      <c r="CU11" s="2254"/>
      <c r="CV11" s="2254"/>
      <c r="CW11" s="2254"/>
      <c r="CX11" s="2255"/>
      <c r="CY11" s="2252" t="s">
        <v>1002</v>
      </c>
      <c r="CZ11" s="2256"/>
      <c r="DA11" s="2256"/>
      <c r="DB11" s="2256"/>
      <c r="DC11" s="2256"/>
      <c r="DD11" s="2256"/>
      <c r="DE11" s="2256"/>
      <c r="DF11" s="2256"/>
      <c r="DG11" s="2256"/>
      <c r="DH11" s="2256"/>
      <c r="DI11" s="2256"/>
      <c r="DJ11" s="2253"/>
      <c r="DK11" s="2262"/>
      <c r="DL11" s="2254"/>
      <c r="DM11" s="2254"/>
      <c r="DN11" s="2254"/>
      <c r="DO11" s="2254"/>
      <c r="DP11" s="2254"/>
      <c r="DQ11" s="2254"/>
      <c r="DR11" s="2254"/>
      <c r="DS11" s="2254"/>
      <c r="DT11" s="2254"/>
      <c r="DU11" s="2254"/>
      <c r="DV11" s="2254"/>
      <c r="DW11" s="2254"/>
      <c r="DX11" s="2254"/>
      <c r="DY11" s="2254"/>
      <c r="DZ11" s="2254"/>
      <c r="EA11" s="2254"/>
      <c r="EB11" s="2254"/>
      <c r="EC11" s="2254"/>
      <c r="ED11" s="2254"/>
      <c r="EE11" s="2254"/>
      <c r="EF11" s="2254"/>
      <c r="EG11" s="2254"/>
      <c r="EH11" s="2254"/>
      <c r="EI11" s="2254"/>
      <c r="EJ11" s="2254"/>
      <c r="EK11" s="2254"/>
      <c r="EL11" s="2254"/>
      <c r="EM11" s="2254"/>
      <c r="EN11" s="2254"/>
      <c r="EO11" s="2254"/>
      <c r="EP11" s="2254"/>
      <c r="EQ11" s="2254"/>
      <c r="ER11" s="2254"/>
      <c r="ES11" s="2254"/>
      <c r="ET11" s="2254"/>
      <c r="EU11" s="2254"/>
      <c r="EV11" s="2254"/>
      <c r="EW11" s="2254"/>
      <c r="EX11" s="2254"/>
      <c r="EY11" s="2254"/>
      <c r="EZ11" s="2254"/>
      <c r="FA11" s="2254"/>
      <c r="FB11" s="2254"/>
      <c r="FC11" s="2254"/>
      <c r="FD11" s="2254"/>
      <c r="FE11" s="2254"/>
      <c r="FF11" s="2254"/>
      <c r="FG11" s="2254"/>
      <c r="FH11" s="2254"/>
      <c r="FI11" s="2254"/>
      <c r="FJ11" s="2254"/>
      <c r="FK11" s="2254"/>
      <c r="FL11" s="2254"/>
      <c r="FM11" s="2254"/>
      <c r="FN11" s="2254"/>
      <c r="FO11" s="2254"/>
      <c r="FP11" s="2254"/>
      <c r="FQ11" s="2254"/>
      <c r="FR11" s="2254"/>
      <c r="FS11" s="2254"/>
      <c r="FT11" s="2254"/>
      <c r="FU11" s="2254"/>
      <c r="FV11" s="2254"/>
      <c r="FW11" s="2260"/>
      <c r="FX11" s="757"/>
    </row>
    <row customHeight="1" ht="12">
      <c r="D12" s="932"/>
      <c r="E12" s="931"/>
      <c r="F12" s="2039"/>
      <c r="G12" s="2039"/>
      <c r="H12" s="2273"/>
      <c r="I12" s="2273"/>
      <c r="J12" s="2272"/>
      <c r="K12" s="2272"/>
      <c r="L12" s="2272"/>
      <c r="M12" s="2272"/>
      <c r="N12" s="2272"/>
      <c r="O12" s="2044" t="s">
        <v>1003</v>
      </c>
      <c r="P12" s="2044"/>
      <c r="Q12" s="2044"/>
      <c r="R12" s="2044"/>
      <c r="S12" s="2044" t="s">
        <v>1004</v>
      </c>
      <c r="T12" s="2044"/>
      <c r="U12" s="2044"/>
      <c r="V12" s="2044"/>
      <c r="W12" s="2044"/>
      <c r="X12" s="2044"/>
      <c r="Y12" s="2044"/>
      <c r="Z12" s="2044"/>
      <c r="AA12" s="2044"/>
      <c r="AB12" s="2044"/>
      <c r="AC12" s="2254"/>
      <c r="AD12" s="2254"/>
      <c r="AE12" s="2254"/>
      <c r="AF12" s="2254"/>
      <c r="AG12" s="2254"/>
      <c r="AH12" s="2254"/>
      <c r="AI12" s="2254"/>
      <c r="AJ12" s="2254"/>
      <c r="AK12" s="2254"/>
      <c r="AL12" s="2254"/>
      <c r="AM12" s="2254"/>
      <c r="AN12" s="2254"/>
      <c r="AO12" s="2254"/>
      <c r="AP12" s="2254"/>
      <c r="AQ12" s="2254"/>
      <c r="AR12" s="2254"/>
      <c r="AS12" s="2254"/>
      <c r="AT12" s="2254"/>
      <c r="AU12" s="2254"/>
      <c r="AV12" s="2254"/>
      <c r="AW12" s="2254"/>
      <c r="AX12" s="2254"/>
      <c r="AY12" s="2254"/>
      <c r="AZ12" s="2254"/>
      <c r="BA12" s="2254"/>
      <c r="BB12" s="2254"/>
      <c r="BC12" s="2254"/>
      <c r="BD12" s="2254"/>
      <c r="BE12" s="2254"/>
      <c r="BF12" s="2254"/>
      <c r="BG12" s="2254"/>
      <c r="BH12" s="2254"/>
      <c r="BI12" s="2254"/>
      <c r="BJ12" s="2254"/>
      <c r="BK12" s="2254"/>
      <c r="BL12" s="2254"/>
      <c r="BM12" s="2254"/>
      <c r="BN12" s="2254"/>
      <c r="BO12" s="2254"/>
      <c r="BP12" s="2254"/>
      <c r="BQ12" s="2254"/>
      <c r="BR12" s="2254"/>
      <c r="BS12" s="2255"/>
      <c r="BT12" s="2252" t="s">
        <v>1005</v>
      </c>
      <c r="BU12" s="2256"/>
      <c r="BV12" s="2256"/>
      <c r="BW12" s="2253"/>
      <c r="BX12" s="2252" t="s">
        <v>1006</v>
      </c>
      <c r="BY12" s="2256"/>
      <c r="BZ12" s="2256"/>
      <c r="CA12" s="2253"/>
      <c r="CB12" s="2252" t="s">
        <v>1007</v>
      </c>
      <c r="CC12" s="2253"/>
      <c r="CD12" s="2252" t="s">
        <v>1008</v>
      </c>
      <c r="CE12" s="2256"/>
      <c r="CF12" s="2256"/>
      <c r="CG12" s="2256"/>
      <c r="CH12" s="2256"/>
      <c r="CI12" s="2256"/>
      <c r="CJ12" s="2256"/>
      <c r="CK12" s="2253"/>
      <c r="CL12" s="2262"/>
      <c r="CM12" s="2254"/>
      <c r="CN12" s="2254"/>
      <c r="CO12" s="2254"/>
      <c r="CP12" s="2254"/>
      <c r="CQ12" s="2254"/>
      <c r="CR12" s="2254"/>
      <c r="CS12" s="2254"/>
      <c r="CT12" s="2254"/>
      <c r="CU12" s="2254"/>
      <c r="CV12" s="2254"/>
      <c r="CW12" s="2254"/>
      <c r="CX12" s="2255"/>
      <c r="CY12" s="2252" t="s">
        <v>1009</v>
      </c>
      <c r="CZ12" s="2256"/>
      <c r="DA12" s="2256"/>
      <c r="DB12" s="2256"/>
      <c r="DC12" s="2256"/>
      <c r="DD12" s="2253"/>
      <c r="DE12" s="2252" t="s">
        <v>1010</v>
      </c>
      <c r="DF12" s="2253"/>
      <c r="DG12" s="2252" t="s">
        <v>1008</v>
      </c>
      <c r="DH12" s="2256"/>
      <c r="DI12" s="2256"/>
      <c r="DJ12" s="2253"/>
      <c r="DK12" s="2262"/>
      <c r="DL12" s="2254"/>
      <c r="DM12" s="2254"/>
      <c r="DN12" s="2254"/>
      <c r="DO12" s="2254"/>
      <c r="DP12" s="2254"/>
      <c r="DQ12" s="2254"/>
      <c r="DR12" s="2254"/>
      <c r="DS12" s="2254"/>
      <c r="DT12" s="2254"/>
      <c r="DU12" s="2254"/>
      <c r="DV12" s="2254"/>
      <c r="DW12" s="2254"/>
      <c r="DX12" s="2254"/>
      <c r="DY12" s="2254"/>
      <c r="DZ12" s="2254"/>
      <c r="EA12" s="2254"/>
      <c r="EB12" s="2254"/>
      <c r="EC12" s="2254"/>
      <c r="ED12" s="2254"/>
      <c r="EE12" s="2254"/>
      <c r="EF12" s="2254"/>
      <c r="EG12" s="2254"/>
      <c r="EH12" s="2254"/>
      <c r="EI12" s="2254"/>
      <c r="EJ12" s="2254"/>
      <c r="EK12" s="2254"/>
      <c r="EL12" s="2254"/>
      <c r="EM12" s="2254"/>
      <c r="EN12" s="2254"/>
      <c r="EO12" s="2254"/>
      <c r="EP12" s="2254"/>
      <c r="EQ12" s="2254"/>
      <c r="ER12" s="2254"/>
      <c r="ES12" s="2254"/>
      <c r="ET12" s="2254"/>
      <c r="EU12" s="2254"/>
      <c r="EV12" s="2254"/>
      <c r="EW12" s="2254"/>
      <c r="EX12" s="2254"/>
      <c r="EY12" s="2254"/>
      <c r="EZ12" s="2254"/>
      <c r="FA12" s="2254"/>
      <c r="FB12" s="2254"/>
      <c r="FC12" s="2254"/>
      <c r="FD12" s="2254"/>
      <c r="FE12" s="2254"/>
      <c r="FF12" s="2254"/>
      <c r="FG12" s="2254"/>
      <c r="FH12" s="2254"/>
      <c r="FI12" s="2254"/>
      <c r="FJ12" s="2254"/>
      <c r="FK12" s="2254"/>
      <c r="FL12" s="2254"/>
      <c r="FM12" s="2254"/>
      <c r="FN12" s="2254"/>
      <c r="FO12" s="2254"/>
      <c r="FP12" s="2254"/>
      <c r="FQ12" s="2254"/>
      <c r="FR12" s="2254"/>
      <c r="FS12" s="2254"/>
      <c r="FT12" s="2254"/>
      <c r="FU12" s="2254"/>
      <c r="FV12" s="2254"/>
      <c r="FW12" s="2260"/>
      <c r="FX12" s="757"/>
    </row>
    <row customHeight="1" ht="36">
      <c r="D13" s="932"/>
      <c r="E13" s="931"/>
      <c r="F13" s="2039"/>
      <c r="G13" s="2039"/>
      <c r="H13" s="2273"/>
      <c r="I13" s="2273"/>
      <c r="J13" s="2272"/>
      <c r="K13" s="2272"/>
      <c r="L13" s="2272"/>
      <c r="M13" s="2272"/>
      <c r="N13" s="2272"/>
      <c r="O13" s="2044" t="s">
        <v>1011</v>
      </c>
      <c r="P13" s="2044"/>
      <c r="Q13" s="2044"/>
      <c r="R13" s="2044"/>
      <c r="S13" s="2171" t="s">
        <v>1012</v>
      </c>
      <c r="T13" s="2250"/>
      <c r="U13" s="1953" t="s">
        <v>1013</v>
      </c>
      <c r="V13" s="1953"/>
      <c r="W13" s="1953"/>
      <c r="X13" s="1953"/>
      <c r="Y13" s="1953" t="s">
        <v>1014</v>
      </c>
      <c r="Z13" s="1953"/>
      <c r="AA13" s="1953"/>
      <c r="AB13" s="1953"/>
      <c r="AC13" s="2254"/>
      <c r="AD13" s="2254"/>
      <c r="AE13" s="2254"/>
      <c r="AF13" s="2254"/>
      <c r="AG13" s="2254"/>
      <c r="AH13" s="2254"/>
      <c r="AI13" s="2254"/>
      <c r="AJ13" s="2254"/>
      <c r="AK13" s="2254"/>
      <c r="AL13" s="2254"/>
      <c r="AM13" s="2254"/>
      <c r="AN13" s="2254"/>
      <c r="AO13" s="2254"/>
      <c r="AP13" s="2254"/>
      <c r="AQ13" s="2254"/>
      <c r="AR13" s="2254"/>
      <c r="AS13" s="2254"/>
      <c r="AT13" s="2254"/>
      <c r="AU13" s="2254"/>
      <c r="AV13" s="2254"/>
      <c r="AW13" s="2254"/>
      <c r="AX13" s="2254"/>
      <c r="AY13" s="2254"/>
      <c r="AZ13" s="2254"/>
      <c r="BA13" s="2254"/>
      <c r="BB13" s="2254"/>
      <c r="BC13" s="2254"/>
      <c r="BD13" s="2254"/>
      <c r="BE13" s="2254"/>
      <c r="BF13" s="2254"/>
      <c r="BG13" s="2254"/>
      <c r="BH13" s="2254"/>
      <c r="BI13" s="2254"/>
      <c r="BJ13" s="2254"/>
      <c r="BK13" s="2254"/>
      <c r="BL13" s="2254"/>
      <c r="BM13" s="2254"/>
      <c r="BN13" s="2254"/>
      <c r="BO13" s="2254"/>
      <c r="BP13" s="2254"/>
      <c r="BQ13" s="2254"/>
      <c r="BR13" s="2254"/>
      <c r="BS13" s="2255"/>
      <c r="BT13" s="2171" t="s">
        <v>1015</v>
      </c>
      <c r="BU13" s="2250"/>
      <c r="BV13" s="2171" t="s">
        <v>1016</v>
      </c>
      <c r="BW13" s="2250"/>
      <c r="BX13" s="2171" t="s">
        <v>1017</v>
      </c>
      <c r="BY13" s="2250"/>
      <c r="BZ13" s="2171" t="s">
        <v>1018</v>
      </c>
      <c r="CA13" s="2250"/>
      <c r="CB13" s="2171" t="s">
        <v>1019</v>
      </c>
      <c r="CC13" s="2250"/>
      <c r="CD13" s="2171" t="s">
        <v>1020</v>
      </c>
      <c r="CE13" s="2250"/>
      <c r="CF13" s="2171" t="s">
        <v>1021</v>
      </c>
      <c r="CG13" s="2250"/>
      <c r="CH13" s="2252" t="s">
        <v>1022</v>
      </c>
      <c r="CI13" s="2256"/>
      <c r="CJ13" s="2256"/>
      <c r="CK13" s="2253"/>
      <c r="CL13" s="2262"/>
      <c r="CM13" s="2254"/>
      <c r="CN13" s="2254"/>
      <c r="CO13" s="2254"/>
      <c r="CP13" s="2254"/>
      <c r="CQ13" s="2254"/>
      <c r="CR13" s="2254"/>
      <c r="CS13" s="2254"/>
      <c r="CT13" s="2254"/>
      <c r="CU13" s="2254"/>
      <c r="CV13" s="2254"/>
      <c r="CW13" s="2254"/>
      <c r="CX13" s="2255"/>
      <c r="CY13" s="2171" t="s">
        <v>1023</v>
      </c>
      <c r="CZ13" s="2250"/>
      <c r="DA13" s="2171" t="s">
        <v>1024</v>
      </c>
      <c r="DB13" s="2250"/>
      <c r="DC13" s="2171" t="s">
        <v>1025</v>
      </c>
      <c r="DD13" s="2250"/>
      <c r="DE13" s="2171" t="s">
        <v>1026</v>
      </c>
      <c r="DF13" s="2250"/>
      <c r="DG13" s="2252" t="s">
        <v>1027</v>
      </c>
      <c r="DH13" s="2256"/>
      <c r="DI13" s="2256"/>
      <c r="DJ13" s="2253"/>
      <c r="DK13" s="2262"/>
      <c r="DL13" s="2254"/>
      <c r="DM13" s="2254"/>
      <c r="DN13" s="2254"/>
      <c r="DO13" s="2254"/>
      <c r="DP13" s="2254"/>
      <c r="DQ13" s="2254"/>
      <c r="DR13" s="2254"/>
      <c r="DS13" s="2254"/>
      <c r="DT13" s="2254"/>
      <c r="DU13" s="2254"/>
      <c r="DV13" s="2254"/>
      <c r="DW13" s="2254"/>
      <c r="DX13" s="2254"/>
      <c r="DY13" s="2254"/>
      <c r="DZ13" s="2254"/>
      <c r="EA13" s="2254"/>
      <c r="EB13" s="2254"/>
      <c r="EC13" s="2254"/>
      <c r="ED13" s="2254"/>
      <c r="EE13" s="2254"/>
      <c r="EF13" s="2254"/>
      <c r="EG13" s="2254"/>
      <c r="EH13" s="2254"/>
      <c r="EI13" s="2254"/>
      <c r="EJ13" s="2254"/>
      <c r="EK13" s="2254"/>
      <c r="EL13" s="2254"/>
      <c r="EM13" s="2254"/>
      <c r="EN13" s="2254"/>
      <c r="EO13" s="2254"/>
      <c r="EP13" s="2254"/>
      <c r="EQ13" s="2254"/>
      <c r="ER13" s="2254"/>
      <c r="ES13" s="2254"/>
      <c r="ET13" s="2254"/>
      <c r="EU13" s="2254"/>
      <c r="EV13" s="2254"/>
      <c r="EW13" s="2254"/>
      <c r="EX13" s="2254"/>
      <c r="EY13" s="2254"/>
      <c r="EZ13" s="2254"/>
      <c r="FA13" s="2254"/>
      <c r="FB13" s="2254"/>
      <c r="FC13" s="2254"/>
      <c r="FD13" s="2254"/>
      <c r="FE13" s="2254"/>
      <c r="FF13" s="2254"/>
      <c r="FG13" s="2254"/>
      <c r="FH13" s="2254"/>
      <c r="FI13" s="2254"/>
      <c r="FJ13" s="2254"/>
      <c r="FK13" s="2254"/>
      <c r="FL13" s="2254"/>
      <c r="FM13" s="2254"/>
      <c r="FN13" s="2254"/>
      <c r="FO13" s="2254"/>
      <c r="FP13" s="2254"/>
      <c r="FQ13" s="2254"/>
      <c r="FR13" s="2254"/>
      <c r="FS13" s="2254"/>
      <c r="FT13" s="2254"/>
      <c r="FU13" s="2254"/>
      <c r="FV13" s="2254"/>
      <c r="FW13" s="2260"/>
      <c r="FX13" s="757"/>
    </row>
    <row customHeight="1" ht="36">
      <c r="D14" s="932"/>
      <c r="E14" s="931"/>
      <c r="F14" s="2039"/>
      <c r="G14" s="2039"/>
      <c r="H14" s="2273"/>
      <c r="I14" s="2273"/>
      <c r="J14" s="2272"/>
      <c r="K14" s="2272"/>
      <c r="L14" s="2272"/>
      <c r="M14" s="2272"/>
      <c r="N14" s="2272"/>
      <c r="O14" s="2171" t="s">
        <v>1028</v>
      </c>
      <c r="P14" s="2250"/>
      <c r="Q14" s="2171" t="s">
        <v>1029</v>
      </c>
      <c r="R14" s="2250"/>
      <c r="S14" s="2172"/>
      <c r="T14" s="2045"/>
      <c r="U14" s="2171" t="s">
        <v>761</v>
      </c>
      <c r="V14" s="2250"/>
      <c r="W14" s="2171" t="s">
        <v>764</v>
      </c>
      <c r="X14" s="2250"/>
      <c r="Y14" s="2171" t="s">
        <v>761</v>
      </c>
      <c r="Z14" s="2250"/>
      <c r="AA14" s="2171" t="s">
        <v>771</v>
      </c>
      <c r="AB14" s="2250"/>
      <c r="AC14" s="2254"/>
      <c r="AD14" s="2254"/>
      <c r="AE14" s="2254"/>
      <c r="AF14" s="2254"/>
      <c r="AG14" s="2254"/>
      <c r="AH14" s="2254"/>
      <c r="AI14" s="2254"/>
      <c r="AJ14" s="2254"/>
      <c r="AK14" s="2254"/>
      <c r="AL14" s="2254"/>
      <c r="AM14" s="2254"/>
      <c r="AN14" s="2254"/>
      <c r="AO14" s="2254"/>
      <c r="AP14" s="2254"/>
      <c r="AQ14" s="2254"/>
      <c r="AR14" s="2254"/>
      <c r="AS14" s="2254"/>
      <c r="AT14" s="2254"/>
      <c r="AU14" s="2254"/>
      <c r="AV14" s="2254"/>
      <c r="AW14" s="2254"/>
      <c r="AX14" s="2254"/>
      <c r="AY14" s="2254"/>
      <c r="AZ14" s="2254"/>
      <c r="BA14" s="2254"/>
      <c r="BB14" s="2254"/>
      <c r="BC14" s="2254"/>
      <c r="BD14" s="2254"/>
      <c r="BE14" s="2254"/>
      <c r="BF14" s="2254"/>
      <c r="BG14" s="2254"/>
      <c r="BH14" s="2254"/>
      <c r="BI14" s="2254"/>
      <c r="BJ14" s="2254"/>
      <c r="BK14" s="2254"/>
      <c r="BL14" s="2254"/>
      <c r="BM14" s="2254"/>
      <c r="BN14" s="2254"/>
      <c r="BO14" s="2254"/>
      <c r="BP14" s="2254"/>
      <c r="BQ14" s="2254"/>
      <c r="BR14" s="2254"/>
      <c r="BS14" s="2255"/>
      <c r="BT14" s="2172"/>
      <c r="BU14" s="2045"/>
      <c r="BV14" s="2172"/>
      <c r="BW14" s="2045"/>
      <c r="BX14" s="2172"/>
      <c r="BY14" s="2045"/>
      <c r="BZ14" s="2172"/>
      <c r="CA14" s="2045"/>
      <c r="CB14" s="2172"/>
      <c r="CC14" s="2045"/>
      <c r="CD14" s="2172"/>
      <c r="CE14" s="2045"/>
      <c r="CF14" s="2172"/>
      <c r="CG14" s="2045"/>
      <c r="CH14" s="2171" t="s">
        <v>1030</v>
      </c>
      <c r="CI14" s="2250"/>
      <c r="CJ14" s="2171" t="s">
        <v>1031</v>
      </c>
      <c r="CK14" s="2250"/>
      <c r="CL14" s="2262"/>
      <c r="CM14" s="2254"/>
      <c r="CN14" s="2254"/>
      <c r="CO14" s="2254"/>
      <c r="CP14" s="2254"/>
      <c r="CQ14" s="2254"/>
      <c r="CR14" s="2254"/>
      <c r="CS14" s="2254"/>
      <c r="CT14" s="2254"/>
      <c r="CU14" s="2254"/>
      <c r="CV14" s="2254"/>
      <c r="CW14" s="2254"/>
      <c r="CX14" s="2255"/>
      <c r="CY14" s="2172"/>
      <c r="CZ14" s="2045"/>
      <c r="DA14" s="2172"/>
      <c r="DB14" s="2045"/>
      <c r="DC14" s="2172"/>
      <c r="DD14" s="2045"/>
      <c r="DE14" s="2172"/>
      <c r="DF14" s="2045"/>
      <c r="DG14" s="2171" t="s">
        <v>1032</v>
      </c>
      <c r="DH14" s="2250"/>
      <c r="DI14" s="2171" t="s">
        <v>1033</v>
      </c>
      <c r="DJ14" s="2250"/>
      <c r="DK14" s="2262"/>
      <c r="DL14" s="2254"/>
      <c r="DM14" s="2254"/>
      <c r="DN14" s="2254"/>
      <c r="DO14" s="2254"/>
      <c r="DP14" s="2254"/>
      <c r="DQ14" s="2254"/>
      <c r="DR14" s="2254"/>
      <c r="DS14" s="2254"/>
      <c r="DT14" s="2254"/>
      <c r="DU14" s="2254"/>
      <c r="DV14" s="2254"/>
      <c r="DW14" s="2254"/>
      <c r="DX14" s="2254"/>
      <c r="DY14" s="2254"/>
      <c r="DZ14" s="2254"/>
      <c r="EA14" s="2254"/>
      <c r="EB14" s="2254"/>
      <c r="EC14" s="2254"/>
      <c r="ED14" s="2254"/>
      <c r="EE14" s="2254"/>
      <c r="EF14" s="2254"/>
      <c r="EG14" s="2254"/>
      <c r="EH14" s="2254"/>
      <c r="EI14" s="2254"/>
      <c r="EJ14" s="2254"/>
      <c r="EK14" s="2254"/>
      <c r="EL14" s="2254"/>
      <c r="EM14" s="2254"/>
      <c r="EN14" s="2254"/>
      <c r="EO14" s="2254"/>
      <c r="EP14" s="2254"/>
      <c r="EQ14" s="2254"/>
      <c r="ER14" s="2254"/>
      <c r="ES14" s="2254"/>
      <c r="ET14" s="2254"/>
      <c r="EU14" s="2254"/>
      <c r="EV14" s="2254"/>
      <c r="EW14" s="2254"/>
      <c r="EX14" s="2254"/>
      <c r="EY14" s="2254"/>
      <c r="EZ14" s="2254"/>
      <c r="FA14" s="2254"/>
      <c r="FB14" s="2254"/>
      <c r="FC14" s="2254"/>
      <c r="FD14" s="2254"/>
      <c r="FE14" s="2254"/>
      <c r="FF14" s="2254"/>
      <c r="FG14" s="2254"/>
      <c r="FH14" s="2254"/>
      <c r="FI14" s="2254"/>
      <c r="FJ14" s="2254"/>
      <c r="FK14" s="2254"/>
      <c r="FL14" s="2254"/>
      <c r="FM14" s="2254"/>
      <c r="FN14" s="2254"/>
      <c r="FO14" s="2254"/>
      <c r="FP14" s="2254"/>
      <c r="FQ14" s="2254"/>
      <c r="FR14" s="2254"/>
      <c r="FS14" s="2254"/>
      <c r="FT14" s="2254"/>
      <c r="FU14" s="2254"/>
      <c r="FV14" s="2254"/>
      <c r="FW14" s="2260"/>
      <c r="FX14" s="757"/>
    </row>
    <row customHeight="1" ht="36">
      <c r="D15" s="932"/>
      <c r="E15" s="931"/>
      <c r="F15" s="2039"/>
      <c r="G15" s="2039"/>
      <c r="H15" s="2273"/>
      <c r="I15" s="2273"/>
      <c r="J15" s="2272"/>
      <c r="K15" s="2272"/>
      <c r="L15" s="2272"/>
      <c r="M15" s="2272"/>
      <c r="N15" s="2272"/>
      <c r="O15" s="2173"/>
      <c r="P15" s="2251"/>
      <c r="Q15" s="2173"/>
      <c r="R15" s="2251"/>
      <c r="S15" s="2173"/>
      <c r="T15" s="2251"/>
      <c r="U15" s="2173"/>
      <c r="V15" s="2251"/>
      <c r="W15" s="2173"/>
      <c r="X15" s="2251"/>
      <c r="Y15" s="2173"/>
      <c r="Z15" s="2251"/>
      <c r="AA15" s="2173"/>
      <c r="AB15" s="2251"/>
      <c r="AC15" s="2254"/>
      <c r="AD15" s="2254"/>
      <c r="AE15" s="2254"/>
      <c r="AF15" s="2254"/>
      <c r="AG15" s="2254"/>
      <c r="AH15" s="2254"/>
      <c r="AI15" s="2254"/>
      <c r="AJ15" s="2254"/>
      <c r="AK15" s="2254"/>
      <c r="AL15" s="2254"/>
      <c r="AM15" s="2254"/>
      <c r="AN15" s="2254"/>
      <c r="AO15" s="2254"/>
      <c r="AP15" s="2254"/>
      <c r="AQ15" s="2254"/>
      <c r="AR15" s="2254"/>
      <c r="AS15" s="2254"/>
      <c r="AT15" s="2254"/>
      <c r="AU15" s="2254"/>
      <c r="AV15" s="2254"/>
      <c r="AW15" s="2254"/>
      <c r="AX15" s="2254"/>
      <c r="AY15" s="2254"/>
      <c r="AZ15" s="2254"/>
      <c r="BA15" s="2254"/>
      <c r="BB15" s="2254"/>
      <c r="BC15" s="2254"/>
      <c r="BD15" s="2254"/>
      <c r="BE15" s="2254"/>
      <c r="BF15" s="2254"/>
      <c r="BG15" s="2254"/>
      <c r="BH15" s="2254"/>
      <c r="BI15" s="2254"/>
      <c r="BJ15" s="2254"/>
      <c r="BK15" s="2254"/>
      <c r="BL15" s="2254"/>
      <c r="BM15" s="2254"/>
      <c r="BN15" s="2254"/>
      <c r="BO15" s="2254"/>
      <c r="BP15" s="2254"/>
      <c r="BQ15" s="2254"/>
      <c r="BR15" s="2254"/>
      <c r="BS15" s="2255"/>
      <c r="BT15" s="2173"/>
      <c r="BU15" s="2251"/>
      <c r="BV15" s="2173"/>
      <c r="BW15" s="2251"/>
      <c r="BX15" s="2173"/>
      <c r="BY15" s="2251"/>
      <c r="BZ15" s="2173"/>
      <c r="CA15" s="2251"/>
      <c r="CB15" s="2173"/>
      <c r="CC15" s="2251"/>
      <c r="CD15" s="2173"/>
      <c r="CE15" s="2251"/>
      <c r="CF15" s="2173"/>
      <c r="CG15" s="2251"/>
      <c r="CH15" s="2173"/>
      <c r="CI15" s="2251"/>
      <c r="CJ15" s="2173"/>
      <c r="CK15" s="2251"/>
      <c r="CL15" s="2262"/>
      <c r="CM15" s="2254"/>
      <c r="CN15" s="2254"/>
      <c r="CO15" s="2254"/>
      <c r="CP15" s="2254"/>
      <c r="CQ15" s="2254"/>
      <c r="CR15" s="2254"/>
      <c r="CS15" s="2254"/>
      <c r="CT15" s="2254"/>
      <c r="CU15" s="2254"/>
      <c r="CV15" s="2254"/>
      <c r="CW15" s="2254"/>
      <c r="CX15" s="2255"/>
      <c r="CY15" s="2173"/>
      <c r="CZ15" s="2251"/>
      <c r="DA15" s="2173"/>
      <c r="DB15" s="2251"/>
      <c r="DC15" s="2173"/>
      <c r="DD15" s="2251"/>
      <c r="DE15" s="2173"/>
      <c r="DF15" s="2251"/>
      <c r="DG15" s="2173"/>
      <c r="DH15" s="2251"/>
      <c r="DI15" s="2173"/>
      <c r="DJ15" s="2251"/>
      <c r="DK15" s="2262"/>
      <c r="DL15" s="2254"/>
      <c r="DM15" s="2254"/>
      <c r="DN15" s="2254"/>
      <c r="DO15" s="2254"/>
      <c r="DP15" s="2254"/>
      <c r="DQ15" s="2254"/>
      <c r="DR15" s="2254"/>
      <c r="DS15" s="2254"/>
      <c r="DT15" s="2254"/>
      <c r="DU15" s="2254"/>
      <c r="DV15" s="2254"/>
      <c r="DW15" s="2254"/>
      <c r="DX15" s="2254"/>
      <c r="DY15" s="2254"/>
      <c r="DZ15" s="2254"/>
      <c r="EA15" s="2254"/>
      <c r="EB15" s="2254"/>
      <c r="EC15" s="2254"/>
      <c r="ED15" s="2254"/>
      <c r="EE15" s="2254"/>
      <c r="EF15" s="2254"/>
      <c r="EG15" s="2254"/>
      <c r="EH15" s="2254"/>
      <c r="EI15" s="2254"/>
      <c r="EJ15" s="2254"/>
      <c r="EK15" s="2254"/>
      <c r="EL15" s="2254"/>
      <c r="EM15" s="2254"/>
      <c r="EN15" s="2254"/>
      <c r="EO15" s="2254"/>
      <c r="EP15" s="2254"/>
      <c r="EQ15" s="2254"/>
      <c r="ER15" s="2254"/>
      <c r="ES15" s="2254"/>
      <c r="ET15" s="2254"/>
      <c r="EU15" s="2254"/>
      <c r="EV15" s="2254"/>
      <c r="EW15" s="2254"/>
      <c r="EX15" s="2254"/>
      <c r="EY15" s="2254"/>
      <c r="EZ15" s="2254"/>
      <c r="FA15" s="2254"/>
      <c r="FB15" s="2254"/>
      <c r="FC15" s="2254"/>
      <c r="FD15" s="2254"/>
      <c r="FE15" s="2254"/>
      <c r="FF15" s="2254"/>
      <c r="FG15" s="2254"/>
      <c r="FH15" s="2254"/>
      <c r="FI15" s="2254"/>
      <c r="FJ15" s="2254"/>
      <c r="FK15" s="2254"/>
      <c r="FL15" s="2254"/>
      <c r="FM15" s="2254"/>
      <c r="FN15" s="2254"/>
      <c r="FO15" s="2254"/>
      <c r="FP15" s="2254"/>
      <c r="FQ15" s="2254"/>
      <c r="FR15" s="2254"/>
      <c r="FS15" s="2254"/>
      <c r="FT15" s="2254"/>
      <c r="FU15" s="2254"/>
      <c r="FV15" s="2254"/>
      <c r="FW15" s="2260"/>
      <c r="FX15" s="757"/>
    </row>
    <row customHeight="1" ht="12">
      <c r="D16" s="932"/>
      <c r="E16" s="931"/>
      <c r="F16" s="2039"/>
      <c r="G16" s="2039"/>
      <c r="H16" s="2273"/>
      <c r="I16" s="2273"/>
      <c r="J16" s="2272"/>
      <c r="K16" s="2272"/>
      <c r="L16" s="2272"/>
      <c r="M16" s="2272"/>
      <c r="N16" s="2272"/>
      <c r="O16" s="2252" t="s">
        <v>751</v>
      </c>
      <c r="P16" s="2253"/>
      <c r="Q16" s="2252" t="s">
        <v>753</v>
      </c>
      <c r="R16" s="2253"/>
      <c r="S16" s="2252" t="s">
        <v>757</v>
      </c>
      <c r="T16" s="2253"/>
      <c r="U16" s="2252" t="s">
        <v>762</v>
      </c>
      <c r="V16" s="2253"/>
      <c r="W16" s="2252" t="s">
        <v>765</v>
      </c>
      <c r="X16" s="2253"/>
      <c r="Y16" s="2252" t="s">
        <v>769</v>
      </c>
      <c r="Z16" s="2253"/>
      <c r="AA16" s="2252" t="s">
        <v>772</v>
      </c>
      <c r="AB16" s="2253"/>
      <c r="AC16" s="2254"/>
      <c r="AD16" s="2254"/>
      <c r="AE16" s="2254"/>
      <c r="AF16" s="2254"/>
      <c r="AG16" s="2254"/>
      <c r="AH16" s="2254"/>
      <c r="AI16" s="2254"/>
      <c r="AJ16" s="2254"/>
      <c r="AK16" s="2254"/>
      <c r="AL16" s="2254"/>
      <c r="AM16" s="2254"/>
      <c r="AN16" s="2254"/>
      <c r="AO16" s="2254"/>
      <c r="AP16" s="2254"/>
      <c r="AQ16" s="2254"/>
      <c r="AR16" s="2254"/>
      <c r="AS16" s="2254"/>
      <c r="AT16" s="2254"/>
      <c r="AU16" s="2254"/>
      <c r="AV16" s="2254"/>
      <c r="AW16" s="2254"/>
      <c r="AX16" s="2254"/>
      <c r="AY16" s="2254"/>
      <c r="AZ16" s="2254"/>
      <c r="BA16" s="2254"/>
      <c r="BB16" s="2254"/>
      <c r="BC16" s="2254"/>
      <c r="BD16" s="2254"/>
      <c r="BE16" s="2254"/>
      <c r="BF16" s="2254"/>
      <c r="BG16" s="2254"/>
      <c r="BH16" s="2254"/>
      <c r="BI16" s="2254"/>
      <c r="BJ16" s="2254"/>
      <c r="BK16" s="2254"/>
      <c r="BL16" s="2254"/>
      <c r="BM16" s="2254"/>
      <c r="BN16" s="2254"/>
      <c r="BO16" s="2254"/>
      <c r="BP16" s="2254"/>
      <c r="BQ16" s="2254"/>
      <c r="BR16" s="2254"/>
      <c r="BS16" s="2255"/>
      <c r="BT16" s="2252" t="s">
        <v>569</v>
      </c>
      <c r="BU16" s="2253"/>
      <c r="BV16" s="2252" t="s">
        <v>569</v>
      </c>
      <c r="BW16" s="2253"/>
      <c r="BX16" s="2252" t="s">
        <v>569</v>
      </c>
      <c r="BY16" s="2253"/>
      <c r="BZ16" s="2252" t="s">
        <v>569</v>
      </c>
      <c r="CA16" s="2253"/>
      <c r="CB16" s="2252" t="s">
        <v>1034</v>
      </c>
      <c r="CC16" s="2253"/>
      <c r="CD16" s="2252" t="s">
        <v>569</v>
      </c>
      <c r="CE16" s="2253"/>
      <c r="CF16" s="2252" t="s">
        <v>1035</v>
      </c>
      <c r="CG16" s="2253"/>
      <c r="CH16" s="2252" t="s">
        <v>1036</v>
      </c>
      <c r="CI16" s="2253"/>
      <c r="CJ16" s="2252" t="s">
        <v>1036</v>
      </c>
      <c r="CK16" s="2253"/>
      <c r="CL16" s="2262"/>
      <c r="CM16" s="2254"/>
      <c r="CN16" s="2254"/>
      <c r="CO16" s="2254"/>
      <c r="CP16" s="2254"/>
      <c r="CQ16" s="2254"/>
      <c r="CR16" s="2254"/>
      <c r="CS16" s="2254"/>
      <c r="CT16" s="2254"/>
      <c r="CU16" s="2254"/>
      <c r="CV16" s="2254"/>
      <c r="CW16" s="2254"/>
      <c r="CX16" s="2255"/>
      <c r="CY16" s="2171" t="s">
        <v>569</v>
      </c>
      <c r="CZ16" s="2250"/>
      <c r="DA16" s="2171" t="s">
        <v>569</v>
      </c>
      <c r="DB16" s="2250"/>
      <c r="DC16" s="2171" t="s">
        <v>569</v>
      </c>
      <c r="DD16" s="2250"/>
      <c r="DE16" s="2252" t="s">
        <v>1034</v>
      </c>
      <c r="DF16" s="2253"/>
      <c r="DG16" s="2252" t="s">
        <v>1037</v>
      </c>
      <c r="DH16" s="2253"/>
      <c r="DI16" s="2252" t="s">
        <v>1037</v>
      </c>
      <c r="DJ16" s="2253"/>
      <c r="DK16" s="2262"/>
      <c r="DL16" s="2254"/>
      <c r="DM16" s="2254"/>
      <c r="DN16" s="2254"/>
      <c r="DO16" s="2254"/>
      <c r="DP16" s="2254"/>
      <c r="DQ16" s="2254"/>
      <c r="DR16" s="2254"/>
      <c r="DS16" s="2254"/>
      <c r="DT16" s="2254"/>
      <c r="DU16" s="2254"/>
      <c r="DV16" s="2254"/>
      <c r="DW16" s="2254"/>
      <c r="DX16" s="2254"/>
      <c r="DY16" s="2254"/>
      <c r="DZ16" s="2254"/>
      <c r="EA16" s="2254"/>
      <c r="EB16" s="2254"/>
      <c r="EC16" s="2254"/>
      <c r="ED16" s="2254"/>
      <c r="EE16" s="2254"/>
      <c r="EF16" s="2254"/>
      <c r="EG16" s="2254"/>
      <c r="EH16" s="2254"/>
      <c r="EI16" s="2254"/>
      <c r="EJ16" s="2254"/>
      <c r="EK16" s="2254"/>
      <c r="EL16" s="2254"/>
      <c r="EM16" s="2254"/>
      <c r="EN16" s="2254"/>
      <c r="EO16" s="2254"/>
      <c r="EP16" s="2254"/>
      <c r="EQ16" s="2254"/>
      <c r="ER16" s="2254"/>
      <c r="ES16" s="2254"/>
      <c r="ET16" s="2254"/>
      <c r="EU16" s="2254"/>
      <c r="EV16" s="2254"/>
      <c r="EW16" s="2254"/>
      <c r="EX16" s="2254"/>
      <c r="EY16" s="2254"/>
      <c r="EZ16" s="2254"/>
      <c r="FA16" s="2254"/>
      <c r="FB16" s="2254"/>
      <c r="FC16" s="2254"/>
      <c r="FD16" s="2254"/>
      <c r="FE16" s="2254"/>
      <c r="FF16" s="2254"/>
      <c r="FG16" s="2254"/>
      <c r="FH16" s="2254"/>
      <c r="FI16" s="2254"/>
      <c r="FJ16" s="2254"/>
      <c r="FK16" s="2254"/>
      <c r="FL16" s="2254"/>
      <c r="FM16" s="2254"/>
      <c r="FN16" s="2254"/>
      <c r="FO16" s="2254"/>
      <c r="FP16" s="2254"/>
      <c r="FQ16" s="2254"/>
      <c r="FR16" s="2254"/>
      <c r="FS16" s="2254"/>
      <c r="FT16" s="2254"/>
      <c r="FU16" s="2254"/>
      <c r="FV16" s="2254"/>
      <c r="FW16" s="2260"/>
      <c r="FX16" s="757"/>
    </row>
    <row customHeight="1" ht="15">
      <c r="E17" s="931"/>
      <c r="F17" s="2039"/>
      <c r="G17" s="2039"/>
      <c r="H17" s="2273"/>
      <c r="I17" s="2273"/>
      <c r="J17" s="2272"/>
      <c r="K17" s="2272"/>
      <c r="L17" s="2272"/>
      <c r="M17" s="2272"/>
      <c r="N17" s="2272"/>
      <c r="O17" s="1188" t="s">
        <v>1038</v>
      </c>
      <c r="P17" s="1188" t="s">
        <v>1039</v>
      </c>
      <c r="Q17" s="1188" t="s">
        <v>1038</v>
      </c>
      <c r="R17" s="1188" t="s">
        <v>1039</v>
      </c>
      <c r="S17" s="1188" t="s">
        <v>1038</v>
      </c>
      <c r="T17" s="1188" t="s">
        <v>1039</v>
      </c>
      <c r="U17" s="1188" t="s">
        <v>1038</v>
      </c>
      <c r="V17" s="1188" t="s">
        <v>1039</v>
      </c>
      <c r="W17" s="1188" t="s">
        <v>1038</v>
      </c>
      <c r="X17" s="1188" t="s">
        <v>1039</v>
      </c>
      <c r="Y17" s="1188" t="s">
        <v>1038</v>
      </c>
      <c r="Z17" s="1188" t="s">
        <v>1039</v>
      </c>
      <c r="AA17" s="1188" t="s">
        <v>1038</v>
      </c>
      <c r="AB17" s="1188" t="s">
        <v>1039</v>
      </c>
      <c r="AC17" s="2254"/>
      <c r="AD17" s="2254"/>
      <c r="AE17" s="2254"/>
      <c r="AF17" s="2254"/>
      <c r="AG17" s="2254"/>
      <c r="AH17" s="2254"/>
      <c r="AI17" s="2254"/>
      <c r="AJ17" s="2254"/>
      <c r="AK17" s="2254"/>
      <c r="AL17" s="2254"/>
      <c r="AM17" s="2254"/>
      <c r="AN17" s="2254"/>
      <c r="AO17" s="2254"/>
      <c r="AP17" s="2254"/>
      <c r="AQ17" s="2254"/>
      <c r="AR17" s="2254"/>
      <c r="AS17" s="2254"/>
      <c r="AT17" s="2254"/>
      <c r="AU17" s="2254"/>
      <c r="AV17" s="2254"/>
      <c r="AW17" s="2254"/>
      <c r="AX17" s="2254"/>
      <c r="AY17" s="2254"/>
      <c r="AZ17" s="2254"/>
      <c r="BA17" s="2254"/>
      <c r="BB17" s="2254"/>
      <c r="BC17" s="2254"/>
      <c r="BD17" s="2254"/>
      <c r="BE17" s="2254"/>
      <c r="BF17" s="2254"/>
      <c r="BG17" s="2254"/>
      <c r="BH17" s="2254"/>
      <c r="BI17" s="2254"/>
      <c r="BJ17" s="2254"/>
      <c r="BK17" s="2254"/>
      <c r="BL17" s="2254"/>
      <c r="BM17" s="2254"/>
      <c r="BN17" s="2254"/>
      <c r="BO17" s="2254"/>
      <c r="BP17" s="2254"/>
      <c r="BQ17" s="2254"/>
      <c r="BR17" s="2254"/>
      <c r="BS17" s="2255"/>
      <c r="BT17" s="1188" t="s">
        <v>1038</v>
      </c>
      <c r="BU17" s="1188" t="s">
        <v>1039</v>
      </c>
      <c r="BV17" s="1188" t="s">
        <v>1038</v>
      </c>
      <c r="BW17" s="1188" t="s">
        <v>1039</v>
      </c>
      <c r="BX17" s="1188" t="s">
        <v>1038</v>
      </c>
      <c r="BY17" s="1188" t="s">
        <v>1039</v>
      </c>
      <c r="BZ17" s="1188" t="s">
        <v>1038</v>
      </c>
      <c r="CA17" s="1188" t="s">
        <v>1039</v>
      </c>
      <c r="CB17" s="1188" t="s">
        <v>1038</v>
      </c>
      <c r="CC17" s="1188" t="s">
        <v>1039</v>
      </c>
      <c r="CD17" s="1188" t="s">
        <v>1038</v>
      </c>
      <c r="CE17" s="1188" t="s">
        <v>1039</v>
      </c>
      <c r="CF17" s="1188" t="s">
        <v>1038</v>
      </c>
      <c r="CG17" s="1188" t="s">
        <v>1039</v>
      </c>
      <c r="CH17" s="1188" t="s">
        <v>1038</v>
      </c>
      <c r="CI17" s="1188" t="s">
        <v>1039</v>
      </c>
      <c r="CJ17" s="1188" t="s">
        <v>1038</v>
      </c>
      <c r="CK17" s="1188" t="s">
        <v>1039</v>
      </c>
      <c r="CL17" s="2262"/>
      <c r="CM17" s="2254"/>
      <c r="CN17" s="2254"/>
      <c r="CO17" s="2254"/>
      <c r="CP17" s="2254"/>
      <c r="CQ17" s="2254"/>
      <c r="CR17" s="2254"/>
      <c r="CS17" s="2254"/>
      <c r="CT17" s="2254"/>
      <c r="CU17" s="2254"/>
      <c r="CV17" s="2254"/>
      <c r="CW17" s="2254"/>
      <c r="CX17" s="2255"/>
      <c r="CY17" s="1188" t="s">
        <v>1038</v>
      </c>
      <c r="CZ17" s="1188" t="s">
        <v>1039</v>
      </c>
      <c r="DA17" s="1188" t="s">
        <v>1038</v>
      </c>
      <c r="DB17" s="1188" t="s">
        <v>1039</v>
      </c>
      <c r="DC17" s="1188" t="s">
        <v>1038</v>
      </c>
      <c r="DD17" s="1188" t="s">
        <v>1039</v>
      </c>
      <c r="DE17" s="1188" t="s">
        <v>1038</v>
      </c>
      <c r="DF17" s="1188" t="s">
        <v>1039</v>
      </c>
      <c r="DG17" s="1188" t="s">
        <v>1038</v>
      </c>
      <c r="DH17" s="1188" t="s">
        <v>1039</v>
      </c>
      <c r="DI17" s="1188" t="s">
        <v>1038</v>
      </c>
      <c r="DJ17" s="1188" t="s">
        <v>1039</v>
      </c>
      <c r="DK17" s="2262"/>
      <c r="DL17" s="2254"/>
      <c r="DM17" s="2254"/>
      <c r="DN17" s="2254"/>
      <c r="DO17" s="2254"/>
      <c r="DP17" s="2254"/>
      <c r="DQ17" s="2254"/>
      <c r="DR17" s="2254"/>
      <c r="DS17" s="2254"/>
      <c r="DT17" s="2254"/>
      <c r="DU17" s="2254"/>
      <c r="DV17" s="2254"/>
      <c r="DW17" s="2254"/>
      <c r="DX17" s="2254"/>
      <c r="DY17" s="2254"/>
      <c r="DZ17" s="2254"/>
      <c r="EA17" s="2254"/>
      <c r="EB17" s="2254"/>
      <c r="EC17" s="2254"/>
      <c r="ED17" s="2254"/>
      <c r="EE17" s="2254"/>
      <c r="EF17" s="2254"/>
      <c r="EG17" s="2254"/>
      <c r="EH17" s="2254"/>
      <c r="EI17" s="2254"/>
      <c r="EJ17" s="2254"/>
      <c r="EK17" s="2254"/>
      <c r="EL17" s="2254"/>
      <c r="EM17" s="2254"/>
      <c r="EN17" s="2254"/>
      <c r="EO17" s="2254"/>
      <c r="EP17" s="2254"/>
      <c r="EQ17" s="2254"/>
      <c r="ER17" s="2254"/>
      <c r="ES17" s="2254"/>
      <c r="ET17" s="2254"/>
      <c r="EU17" s="2254"/>
      <c r="EV17" s="2254"/>
      <c r="EW17" s="2254"/>
      <c r="EX17" s="2254"/>
      <c r="EY17" s="2254"/>
      <c r="EZ17" s="2254"/>
      <c r="FA17" s="2254"/>
      <c r="FB17" s="2254"/>
      <c r="FC17" s="2254"/>
      <c r="FD17" s="2254"/>
      <c r="FE17" s="2254"/>
      <c r="FF17" s="2254"/>
      <c r="FG17" s="2254"/>
      <c r="FH17" s="2254"/>
      <c r="FI17" s="2254"/>
      <c r="FJ17" s="2254"/>
      <c r="FK17" s="2254"/>
      <c r="FL17" s="2254"/>
      <c r="FM17" s="2254"/>
      <c r="FN17" s="2254"/>
      <c r="FO17" s="2254"/>
      <c r="FP17" s="2254"/>
      <c r="FQ17" s="2254"/>
      <c r="FR17" s="2254"/>
      <c r="FS17" s="2254"/>
      <c r="FT17" s="2254"/>
      <c r="FU17" s="2254"/>
      <c r="FV17" s="2254"/>
      <c r="FW17" s="2261"/>
      <c r="FX17" s="757"/>
    </row>
    <row s="919" customFormat="1" customHeight="1" ht="12" hidden="1">
      <c r="B18" s="917"/>
      <c r="E18" s="933"/>
      <c r="F18" s="1189"/>
      <c r="G18" s="1189"/>
      <c r="H18" s="1189"/>
      <c r="I18" s="1189"/>
      <c r="J18" s="1190"/>
      <c r="K18" s="1190"/>
      <c r="L18" s="1190"/>
      <c r="M18" s="1190"/>
      <c r="N18" s="1190"/>
      <c r="O18" s="1189"/>
      <c r="P18" s="1189"/>
      <c r="Q18" s="1189"/>
      <c r="R18" s="1189"/>
      <c r="S18" s="1189"/>
      <c r="T18" s="1189"/>
      <c r="U18" s="1191"/>
      <c r="V18" s="1191"/>
      <c r="W18" s="1191"/>
      <c r="X18" s="1191"/>
      <c r="Y18" s="1191"/>
      <c r="Z18" s="1191"/>
      <c r="AA18" s="1191"/>
      <c r="AB18" s="1189"/>
      <c r="AC18" s="1190"/>
      <c r="AD18" s="1190"/>
      <c r="AE18" s="1190"/>
      <c r="AF18" s="1190"/>
      <c r="AG18" s="1190"/>
      <c r="AH18" s="1190"/>
      <c r="AI18" s="1190"/>
      <c r="AJ18" s="1190"/>
      <c r="AK18" s="1190"/>
      <c r="AL18" s="1190"/>
      <c r="AM18" s="1190"/>
      <c r="AN18" s="1190"/>
      <c r="AO18" s="1190"/>
      <c r="AP18" s="1190"/>
      <c r="AQ18" s="1190"/>
      <c r="AR18" s="1190"/>
      <c r="AS18" s="1190"/>
      <c r="AT18" s="1190"/>
      <c r="AU18" s="1190"/>
      <c r="AV18" s="1190"/>
      <c r="AW18" s="1190"/>
      <c r="AX18" s="1190"/>
      <c r="AY18" s="1190"/>
      <c r="AZ18" s="1190"/>
      <c r="BA18" s="1190"/>
      <c r="BB18" s="1190"/>
      <c r="BC18" s="1190"/>
      <c r="BD18" s="1190"/>
      <c r="BE18" s="1190"/>
      <c r="BF18" s="1190"/>
      <c r="BG18" s="1190"/>
      <c r="BH18" s="1190"/>
      <c r="BI18" s="1190"/>
      <c r="BJ18" s="1190"/>
      <c r="BK18" s="1190"/>
      <c r="BL18" s="1190"/>
      <c r="BM18" s="1190"/>
      <c r="BN18" s="1190"/>
      <c r="BO18" s="1190"/>
      <c r="BP18" s="1190"/>
      <c r="BQ18" s="1190"/>
      <c r="BR18" s="1190"/>
      <c r="BS18" s="1190"/>
      <c r="BT18" s="1192"/>
      <c r="BU18" s="1192"/>
      <c r="BV18" s="1192"/>
      <c r="BW18" s="1192"/>
      <c r="BX18" s="1192"/>
      <c r="BY18" s="1192"/>
      <c r="BZ18" s="1192"/>
      <c r="CA18" s="1192"/>
      <c r="CB18" s="1192"/>
      <c r="CC18" s="1192"/>
      <c r="CD18" s="1192"/>
      <c r="CE18" s="1192"/>
      <c r="CF18" s="1192"/>
      <c r="CG18" s="1192"/>
      <c r="CH18" s="1192"/>
      <c r="CI18" s="1192"/>
      <c r="CJ18" s="1192"/>
      <c r="CK18" s="1192"/>
      <c r="CL18" s="1190"/>
      <c r="CM18" s="1190"/>
      <c r="CN18" s="1190"/>
      <c r="CO18" s="1190"/>
      <c r="CP18" s="1190"/>
      <c r="CQ18" s="1190"/>
      <c r="CR18" s="1190"/>
      <c r="CS18" s="1190"/>
      <c r="CT18" s="1190"/>
      <c r="CU18" s="1190"/>
      <c r="CV18" s="1190"/>
      <c r="CW18" s="1190"/>
      <c r="CX18" s="1190"/>
      <c r="CY18" s="1192"/>
      <c r="CZ18" s="1192"/>
      <c r="DA18" s="1192"/>
      <c r="DB18" s="1192"/>
      <c r="DC18" s="1192"/>
      <c r="DD18" s="1192"/>
      <c r="DE18" s="1192"/>
      <c r="DF18" s="1192"/>
      <c r="DG18" s="1192"/>
      <c r="DH18" s="1192"/>
      <c r="DI18" s="1192"/>
      <c r="DJ18" s="1192"/>
      <c r="DK18" s="1190"/>
      <c r="DL18" s="1190"/>
      <c r="DM18" s="1190"/>
      <c r="DN18" s="1190"/>
      <c r="DO18" s="1190"/>
      <c r="DP18" s="1190"/>
      <c r="DQ18" s="1190"/>
      <c r="DR18" s="1190"/>
      <c r="DS18" s="1190"/>
      <c r="DT18" s="1190"/>
      <c r="DU18" s="1190"/>
      <c r="DV18" s="1190"/>
      <c r="DW18" s="1190"/>
      <c r="DX18" s="1190"/>
      <c r="DY18" s="1190"/>
      <c r="DZ18" s="1190"/>
      <c r="EA18" s="1190"/>
      <c r="EB18" s="1190"/>
      <c r="EC18" s="1190"/>
      <c r="ED18" s="1190"/>
      <c r="EE18" s="1190"/>
      <c r="EF18" s="1190"/>
      <c r="EG18" s="1190"/>
      <c r="EH18" s="1190"/>
      <c r="EI18" s="1190"/>
      <c r="EJ18" s="1190"/>
      <c r="EK18" s="1190"/>
      <c r="EL18" s="1190"/>
      <c r="EM18" s="1190"/>
      <c r="EN18" s="1190"/>
      <c r="EO18" s="1190"/>
      <c r="EP18" s="1190"/>
      <c r="EQ18" s="1190"/>
      <c r="ER18" s="1190"/>
      <c r="ES18" s="1190"/>
      <c r="ET18" s="1190"/>
      <c r="EU18" s="1190"/>
      <c r="EV18" s="1190"/>
      <c r="EW18" s="1190"/>
      <c r="EX18" s="1190"/>
      <c r="EY18" s="1190"/>
      <c r="EZ18" s="1190"/>
      <c r="FA18" s="1190"/>
      <c r="FB18" s="1190"/>
      <c r="FC18" s="1190"/>
      <c r="FD18" s="1190"/>
      <c r="FE18" s="1190"/>
      <c r="FF18" s="1190"/>
      <c r="FG18" s="1190"/>
      <c r="FH18" s="1190"/>
      <c r="FI18" s="1190"/>
      <c r="FJ18" s="1190"/>
      <c r="FK18" s="1190"/>
      <c r="FL18" s="1190"/>
      <c r="FM18" s="1190"/>
      <c r="FN18" s="1190"/>
      <c r="FO18" s="1190"/>
      <c r="FP18" s="1190"/>
      <c r="FQ18" s="1190"/>
      <c r="FR18" s="1190"/>
      <c r="FS18" s="1190"/>
      <c r="FT18" s="1190"/>
      <c r="FU18" s="1190"/>
      <c r="FV18" s="1190"/>
      <c r="FW18" s="1189"/>
      <c r="FX18" s="1193"/>
    </row>
    <row s="919" customFormat="1" customHeight="1" ht="11.25" hidden="1">
      <c r="B19" s="917"/>
      <c r="E19" s="933"/>
      <c r="F19" s="1189"/>
      <c r="G19" s="1189"/>
      <c r="H19" s="1189"/>
      <c r="I19" s="1189"/>
      <c r="J19" s="1189"/>
      <c r="K19" s="1189"/>
      <c r="L19" s="1189"/>
      <c r="M19" s="1189"/>
      <c r="N19" s="1189"/>
      <c r="O19" s="1189"/>
      <c r="P19" s="1189"/>
      <c r="Q19" s="1189"/>
      <c r="R19" s="1189"/>
      <c r="S19" s="1189"/>
      <c r="T19" s="1189"/>
      <c r="U19" s="1191"/>
      <c r="V19" s="1191"/>
      <c r="W19" s="1191"/>
      <c r="X19" s="1191"/>
      <c r="Y19" s="1191"/>
      <c r="Z19" s="1191"/>
      <c r="AA19" s="1191"/>
      <c r="AB19" s="1189"/>
      <c r="AC19" s="1189"/>
      <c r="AD19" s="1189"/>
      <c r="AE19" s="1189"/>
      <c r="AF19" s="1189"/>
      <c r="AG19" s="1189"/>
      <c r="AH19" s="1189"/>
      <c r="AI19" s="1189"/>
      <c r="AJ19" s="1189"/>
      <c r="AK19" s="1189"/>
      <c r="AL19" s="1189"/>
      <c r="AM19" s="1189"/>
      <c r="AN19" s="1189"/>
      <c r="AO19" s="1189"/>
      <c r="AP19" s="1189"/>
      <c r="AQ19" s="1189"/>
      <c r="AR19" s="1189"/>
      <c r="AS19" s="1189"/>
      <c r="AT19" s="1189"/>
      <c r="AU19" s="1189"/>
      <c r="AV19" s="1189"/>
      <c r="AW19" s="1189"/>
      <c r="AX19" s="1189"/>
      <c r="AY19" s="1189"/>
      <c r="AZ19" s="1189"/>
      <c r="BA19" s="1189"/>
      <c r="BB19" s="1189"/>
      <c r="BC19" s="1189"/>
      <c r="BD19" s="1189"/>
      <c r="BE19" s="1189"/>
      <c r="BF19" s="1189"/>
      <c r="BG19" s="1189"/>
      <c r="BH19" s="1189"/>
      <c r="BI19" s="1189"/>
      <c r="BJ19" s="1189"/>
      <c r="BK19" s="1189"/>
      <c r="BL19" s="1189"/>
      <c r="BM19" s="1189"/>
      <c r="BN19" s="1189"/>
      <c r="BO19" s="1189"/>
      <c r="BP19" s="1189"/>
      <c r="BQ19" s="1189"/>
      <c r="BR19" s="1189"/>
      <c r="BS19" s="1189"/>
      <c r="BT19" s="1189"/>
      <c r="BU19" s="1189"/>
      <c r="BV19" s="1189"/>
      <c r="BW19" s="1189"/>
      <c r="BX19" s="1189"/>
      <c r="BY19" s="1189"/>
      <c r="BZ19" s="1189"/>
      <c r="CA19" s="1189"/>
      <c r="CB19" s="1189"/>
      <c r="CC19" s="1189"/>
      <c r="CD19" s="1189"/>
      <c r="CE19" s="1189"/>
      <c r="CF19" s="1189"/>
      <c r="CG19" s="1189"/>
      <c r="CH19" s="1189"/>
      <c r="CI19" s="1189"/>
      <c r="CJ19" s="1189"/>
      <c r="CK19" s="1189"/>
      <c r="CL19" s="1189"/>
      <c r="CM19" s="1189"/>
      <c r="CN19" s="1189"/>
      <c r="CO19" s="1189"/>
      <c r="CP19" s="1189"/>
      <c r="CQ19" s="1189"/>
      <c r="CR19" s="1189"/>
      <c r="CS19" s="1189"/>
      <c r="CT19" s="1189"/>
      <c r="CU19" s="1189"/>
      <c r="CV19" s="1189"/>
      <c r="CW19" s="1189"/>
      <c r="CX19" s="1189"/>
      <c r="CY19" s="1189"/>
      <c r="CZ19" s="1189"/>
      <c r="DA19" s="1189"/>
      <c r="DB19" s="1189"/>
      <c r="DC19" s="1189"/>
      <c r="DD19" s="1189"/>
      <c r="DE19" s="1189"/>
      <c r="DF19" s="1189"/>
      <c r="DG19" s="1189"/>
      <c r="DH19" s="1189"/>
      <c r="DI19" s="1189"/>
      <c r="DJ19" s="1189"/>
      <c r="DK19" s="1189"/>
      <c r="DL19" s="1189"/>
      <c r="DM19" s="1189"/>
      <c r="DN19" s="1189"/>
      <c r="DO19" s="1189"/>
      <c r="DP19" s="1189"/>
      <c r="DQ19" s="1189"/>
      <c r="DR19" s="1189"/>
      <c r="DS19" s="1189"/>
      <c r="DT19" s="1189"/>
      <c r="DU19" s="1189"/>
      <c r="DV19" s="1189"/>
      <c r="DW19" s="1189"/>
      <c r="DX19" s="1189"/>
      <c r="DY19" s="1189"/>
      <c r="DZ19" s="1189"/>
      <c r="EA19" s="1189"/>
      <c r="EB19" s="1189"/>
      <c r="EC19" s="1189"/>
      <c r="ED19" s="1189"/>
      <c r="EE19" s="1189"/>
      <c r="EF19" s="1189"/>
      <c r="EG19" s="1189"/>
      <c r="EH19" s="1189"/>
      <c r="EI19" s="1189"/>
      <c r="EJ19" s="1189"/>
      <c r="EK19" s="1189"/>
      <c r="EL19" s="1189"/>
      <c r="EM19" s="1189"/>
      <c r="EN19" s="1189"/>
      <c r="EO19" s="1189"/>
      <c r="EP19" s="1189"/>
      <c r="EQ19" s="1189"/>
      <c r="ER19" s="1189"/>
      <c r="ES19" s="1189"/>
      <c r="ET19" s="1189"/>
      <c r="EU19" s="1189"/>
      <c r="EV19" s="1189"/>
      <c r="EW19" s="1189"/>
      <c r="EX19" s="1189"/>
      <c r="EY19" s="1189"/>
      <c r="EZ19" s="1189"/>
      <c r="FA19" s="1189"/>
      <c r="FB19" s="1189"/>
      <c r="FC19" s="1189"/>
      <c r="FD19" s="1189"/>
      <c r="FE19" s="1189"/>
      <c r="FF19" s="1189"/>
      <c r="FG19" s="1189"/>
      <c r="FH19" s="1189"/>
      <c r="FI19" s="1189"/>
      <c r="FJ19" s="1189"/>
      <c r="FK19" s="1189"/>
      <c r="FL19" s="1189"/>
      <c r="FM19" s="1189"/>
      <c r="FN19" s="1189"/>
      <c r="FO19" s="1189"/>
      <c r="FP19" s="1189"/>
      <c r="FQ19" s="1189"/>
      <c r="FR19" s="1189"/>
      <c r="FS19" s="1189"/>
      <c r="FT19" s="1189"/>
      <c r="FU19" s="1189"/>
      <c r="FV19" s="1189"/>
      <c r="FW19" s="1189"/>
      <c r="FX19" s="1193"/>
    </row>
    <row s="919" customFormat="1" customHeight="1" ht="11.25" hidden="1">
      <c r="B20" s="934"/>
      <c r="D20" s="918"/>
      <c r="E20" s="933"/>
      <c r="F20" s="1194" t="s">
        <v>390</v>
      </c>
      <c r="G20" s="1195"/>
      <c r="H20" s="1196"/>
      <c r="I20" s="1196"/>
      <c r="J20" s="1196"/>
      <c r="K20" s="1196"/>
      <c r="L20" s="1196"/>
      <c r="M20" s="1196"/>
      <c r="N20" s="1196"/>
      <c r="O20" s="1195"/>
      <c r="P20" s="1195"/>
      <c r="Q20" s="1195"/>
      <c r="R20" s="1195"/>
      <c r="S20" s="1195"/>
      <c r="T20" s="1195"/>
      <c r="U20" s="1197"/>
      <c r="V20" s="1197"/>
      <c r="W20" s="1197"/>
      <c r="X20" s="1197"/>
      <c r="Y20" s="1197"/>
      <c r="Z20" s="1197"/>
      <c r="AA20" s="1197"/>
      <c r="AB20" s="1195"/>
      <c r="AC20" s="1196"/>
      <c r="AD20" s="1196"/>
      <c r="AE20" s="1196"/>
      <c r="AF20" s="1196"/>
      <c r="AG20" s="1196"/>
      <c r="AH20" s="1196"/>
      <c r="AI20" s="1196"/>
      <c r="AJ20" s="1196"/>
      <c r="AK20" s="1196"/>
      <c r="AL20" s="1196"/>
      <c r="AM20" s="1196"/>
      <c r="AN20" s="1196"/>
      <c r="AO20" s="1196"/>
      <c r="AP20" s="1196"/>
      <c r="AQ20" s="1196"/>
      <c r="AR20" s="1196"/>
      <c r="AS20" s="1196"/>
      <c r="AT20" s="1196"/>
      <c r="AU20" s="1196"/>
      <c r="AV20" s="1196"/>
      <c r="AW20" s="1196"/>
      <c r="AX20" s="1196"/>
      <c r="AY20" s="1196"/>
      <c r="AZ20" s="1196"/>
      <c r="BA20" s="1196"/>
      <c r="BB20" s="1196"/>
      <c r="BC20" s="1196"/>
      <c r="BD20" s="1196"/>
      <c r="BE20" s="1196"/>
      <c r="BF20" s="1196"/>
      <c r="BG20" s="1196"/>
      <c r="BH20" s="1196"/>
      <c r="BI20" s="1196"/>
      <c r="BJ20" s="1196"/>
      <c r="BK20" s="1196"/>
      <c r="BL20" s="1196"/>
      <c r="BM20" s="1196"/>
      <c r="BN20" s="1196"/>
      <c r="BO20" s="1196"/>
      <c r="BP20" s="1196"/>
      <c r="BQ20" s="1196"/>
      <c r="BR20" s="1196"/>
      <c r="BS20" s="1196"/>
      <c r="BT20" s="1196"/>
      <c r="BU20" s="1196"/>
      <c r="BV20" s="1196"/>
      <c r="BW20" s="1196"/>
      <c r="BX20" s="1196"/>
      <c r="BY20" s="1196"/>
      <c r="BZ20" s="1196"/>
      <c r="CA20" s="1196"/>
      <c r="CB20" s="1196"/>
      <c r="CC20" s="1196"/>
      <c r="CD20" s="1196"/>
      <c r="CE20" s="1196"/>
      <c r="CF20" s="1196"/>
      <c r="CG20" s="1196"/>
      <c r="CH20" s="1196"/>
      <c r="CI20" s="1196"/>
      <c r="CJ20" s="1196"/>
      <c r="CK20" s="1196"/>
      <c r="CL20" s="1198"/>
      <c r="CM20" s="1198"/>
      <c r="CN20" s="1198"/>
      <c r="CO20" s="1198"/>
      <c r="CP20" s="1198"/>
      <c r="CQ20" s="1198"/>
      <c r="CR20" s="1198"/>
      <c r="CS20" s="1198"/>
      <c r="CT20" s="1198"/>
      <c r="CU20" s="1198"/>
      <c r="CV20" s="1198"/>
      <c r="CW20" s="1198"/>
      <c r="CX20" s="1198"/>
      <c r="CY20" s="1198"/>
      <c r="CZ20" s="1198"/>
      <c r="DA20" s="1198"/>
      <c r="DB20" s="1198"/>
      <c r="DC20" s="1198"/>
      <c r="DD20" s="1198"/>
      <c r="DE20" s="1198"/>
      <c r="DF20" s="1198"/>
      <c r="DG20" s="1198"/>
      <c r="DH20" s="1198"/>
      <c r="DI20" s="1198"/>
      <c r="DJ20" s="1198"/>
      <c r="DK20" s="1198"/>
      <c r="DL20" s="1198"/>
      <c r="DM20" s="1198"/>
      <c r="DN20" s="1198"/>
      <c r="DO20" s="1198"/>
      <c r="DP20" s="1198"/>
      <c r="DQ20" s="1198"/>
      <c r="DR20" s="1198"/>
      <c r="DS20" s="1198"/>
      <c r="DT20" s="1198"/>
      <c r="DU20" s="1198"/>
      <c r="DV20" s="1198"/>
      <c r="DW20" s="1198"/>
      <c r="DX20" s="1198"/>
      <c r="DY20" s="1198"/>
      <c r="DZ20" s="1198"/>
      <c r="EA20" s="1198"/>
      <c r="EB20" s="1198"/>
      <c r="EC20" s="1198"/>
      <c r="ED20" s="1198"/>
      <c r="EE20" s="1198"/>
      <c r="EF20" s="1198"/>
      <c r="EG20" s="1198"/>
      <c r="EH20" s="1198"/>
      <c r="EI20" s="1198"/>
      <c r="EJ20" s="1198"/>
      <c r="EK20" s="1198"/>
      <c r="EL20" s="1198"/>
      <c r="EM20" s="1198"/>
      <c r="EN20" s="1198"/>
      <c r="EO20" s="1198"/>
      <c r="EP20" s="1198"/>
      <c r="EQ20" s="1198"/>
      <c r="ER20" s="1198"/>
      <c r="ES20" s="1198"/>
      <c r="ET20" s="1198"/>
      <c r="EU20" s="1198"/>
      <c r="EV20" s="1198"/>
      <c r="EW20" s="1198"/>
      <c r="EX20" s="1198"/>
      <c r="EY20" s="1198"/>
      <c r="EZ20" s="1198"/>
      <c r="FA20" s="1198"/>
      <c r="FB20" s="1198"/>
      <c r="FC20" s="1198"/>
      <c r="FD20" s="1198"/>
      <c r="FE20" s="1198"/>
      <c r="FF20" s="1198"/>
      <c r="FG20" s="1198"/>
      <c r="FH20" s="1198"/>
      <c r="FI20" s="1198"/>
      <c r="FJ20" s="1198"/>
      <c r="FK20" s="1198"/>
      <c r="FL20" s="1198"/>
      <c r="FM20" s="1198"/>
      <c r="FN20" s="1198"/>
      <c r="FO20" s="1198"/>
      <c r="FP20" s="1198"/>
      <c r="FQ20" s="1198"/>
      <c r="FR20" s="1198"/>
      <c r="FS20" s="1198"/>
      <c r="FT20" s="1198"/>
      <c r="FU20" s="1198"/>
      <c r="FV20" s="1198"/>
      <c r="FW20" s="1198"/>
      <c r="FX20" s="1199"/>
    </row>
    <row s="919" customFormat="1" customHeight="1" ht="12">
      <c r="A21" s="935"/>
      <c r="B21" s="935"/>
      <c r="C21" s="935"/>
      <c r="D21" s="935"/>
      <c r="E21" s="935"/>
      <c r="F21" s="933"/>
      <c r="G21" s="933"/>
      <c r="H21" s="933"/>
      <c r="I21" s="933"/>
      <c r="J21" s="933"/>
      <c r="K21" s="933"/>
      <c r="L21" s="933"/>
      <c r="M21" s="933"/>
      <c r="N21" s="933"/>
      <c r="O21" s="933"/>
      <c r="P21" s="933"/>
      <c r="Q21" s="933"/>
      <c r="R21" s="933"/>
      <c r="S21" s="936"/>
      <c r="T21" s="936"/>
      <c r="U21" s="933"/>
      <c r="V21" s="933"/>
      <c r="W21" s="933"/>
      <c r="X21" s="933"/>
      <c r="Y21" s="933"/>
      <c r="Z21" s="933"/>
      <c r="AA21" s="933"/>
      <c r="AB21" s="933"/>
      <c r="AC21" s="933"/>
      <c r="AD21" s="933"/>
      <c r="AE21" s="933"/>
      <c r="AF21" s="933"/>
      <c r="AG21" s="933"/>
      <c r="AH21" s="933"/>
      <c r="AI21" s="933"/>
      <c r="AJ21" s="933"/>
      <c r="AK21" s="933"/>
      <c r="AL21" s="933"/>
      <c r="AM21" s="933"/>
      <c r="AN21" s="933"/>
      <c r="AO21" s="933"/>
      <c r="AP21" s="933"/>
      <c r="AQ21" s="933"/>
      <c r="AR21" s="933"/>
      <c r="AS21" s="933"/>
      <c r="AT21" s="933"/>
      <c r="AU21" s="933"/>
      <c r="AV21" s="933"/>
      <c r="AW21" s="933"/>
      <c r="AX21" s="933"/>
      <c r="AY21" s="933"/>
      <c r="AZ21" s="933"/>
      <c r="BA21" s="933"/>
      <c r="BB21" s="933"/>
      <c r="BC21" s="933"/>
      <c r="BD21" s="933"/>
      <c r="BE21" s="933"/>
      <c r="BF21" s="933"/>
      <c r="BG21" s="933"/>
      <c r="BH21" s="933"/>
      <c r="BI21" s="933"/>
      <c r="BJ21" s="933"/>
      <c r="BK21" s="933"/>
      <c r="BL21" s="933"/>
      <c r="BM21" s="933"/>
      <c r="BN21" s="933"/>
      <c r="BO21" s="933"/>
      <c r="BP21" s="933"/>
      <c r="BQ21" s="933"/>
      <c r="BR21" s="933"/>
      <c r="BS21" s="933"/>
      <c r="BT21" s="933"/>
      <c r="BU21" s="933"/>
      <c r="BV21" s="933"/>
      <c r="BW21" s="933"/>
      <c r="BX21" s="933"/>
      <c r="BY21" s="933"/>
      <c r="BZ21" s="933"/>
      <c r="CA21" s="933"/>
      <c r="CB21" s="933"/>
      <c r="CC21" s="933"/>
      <c r="CD21" s="933"/>
      <c r="CE21" s="933"/>
      <c r="CF21" s="933"/>
      <c r="CG21" s="933"/>
      <c r="CH21" s="933"/>
      <c r="CI21" s="933"/>
      <c r="CJ21" s="933"/>
      <c r="CK21" s="933"/>
      <c r="CL21" s="933"/>
      <c r="CM21" s="933"/>
      <c r="CN21" s="933"/>
      <c r="CO21" s="933"/>
      <c r="CP21" s="933"/>
      <c r="CQ21" s="933"/>
      <c r="CR21" s="933"/>
      <c r="CS21" s="933"/>
      <c r="CT21" s="933"/>
      <c r="CU21" s="933"/>
      <c r="CV21" s="933"/>
      <c r="CW21" s="933"/>
      <c r="CX21" s="933"/>
      <c r="CY21" s="933"/>
      <c r="CZ21" s="933"/>
      <c r="DA21" s="933"/>
      <c r="DB21" s="933"/>
      <c r="DC21" s="933"/>
      <c r="DD21" s="933"/>
      <c r="DE21" s="933"/>
      <c r="DF21" s="933"/>
      <c r="DG21" s="933"/>
      <c r="DH21" s="933"/>
      <c r="DI21" s="933"/>
      <c r="DJ21" s="933"/>
      <c r="DK21" s="933"/>
      <c r="DL21" s="933"/>
      <c r="DM21" s="933"/>
      <c r="DN21" s="933"/>
      <c r="DO21" s="933"/>
      <c r="DP21" s="933"/>
      <c r="DQ21" s="933"/>
      <c r="DR21" s="933"/>
      <c r="DS21" s="933"/>
      <c r="DT21" s="933"/>
      <c r="DU21" s="933"/>
      <c r="DV21" s="933"/>
      <c r="DW21" s="933"/>
      <c r="DX21" s="933"/>
      <c r="DY21" s="933"/>
      <c r="DZ21" s="933"/>
      <c r="EA21" s="933"/>
      <c r="EB21" s="933"/>
      <c r="EC21" s="933"/>
      <c r="ED21" s="933"/>
      <c r="EE21" s="933"/>
      <c r="EF21" s="933"/>
      <c r="EG21" s="933"/>
      <c r="EH21" s="933"/>
      <c r="EI21" s="933"/>
      <c r="EJ21" s="933"/>
      <c r="EK21" s="933"/>
      <c r="EL21" s="933"/>
      <c r="EM21" s="933"/>
      <c r="EN21" s="933"/>
      <c r="EO21" s="933"/>
      <c r="EP21" s="933"/>
      <c r="EQ21" s="933"/>
      <c r="ER21" s="933"/>
      <c r="ES21" s="933"/>
      <c r="ET21" s="933"/>
      <c r="EU21" s="933"/>
      <c r="EV21" s="933"/>
      <c r="EW21" s="933"/>
      <c r="EX21" s="933"/>
      <c r="EY21" s="933"/>
      <c r="EZ21" s="933"/>
      <c r="FA21" s="933"/>
      <c r="FB21" s="933"/>
      <c r="FC21" s="933"/>
      <c r="FD21" s="933"/>
      <c r="FE21" s="933"/>
      <c r="FF21" s="933"/>
      <c r="FG21" s="933"/>
      <c r="FH21" s="933"/>
      <c r="FI21" s="933"/>
      <c r="FJ21" s="933"/>
      <c r="FK21" s="933"/>
      <c r="FL21" s="933"/>
      <c r="FM21" s="933"/>
      <c r="FN21" s="933"/>
      <c r="FO21" s="933"/>
      <c r="FP21" s="933"/>
      <c r="FQ21" s="933"/>
      <c r="FR21" s="933"/>
      <c r="FS21" s="933"/>
      <c r="FT21" s="933"/>
      <c r="FU21" s="933"/>
      <c r="FV21" s="933"/>
      <c r="FW21" s="933"/>
      <c r="FX21" s="935"/>
      <c r="FY21" s="935"/>
      <c r="FZ21" s="935"/>
      <c r="GA21" s="935"/>
      <c r="GB21" s="935"/>
    </row>
    <row s="919" customFormat="1" customHeight="1" ht="12">
      <c r="A22" s="935"/>
      <c r="B22" s="935"/>
      <c r="C22" s="935"/>
      <c r="D22" s="935"/>
      <c r="E22" s="935"/>
      <c r="FX22" s="935"/>
      <c r="FY22" s="935"/>
      <c r="FZ22" s="935"/>
      <c r="GA22" s="935"/>
      <c r="GB22" s="935"/>
    </row>
    <row s="1058" customFormat="1" customHeight="1" ht="12">
      <c r="A23" s="1057"/>
      <c r="B23" s="1057"/>
      <c r="C23" s="1057"/>
      <c r="D23" s="1057"/>
      <c r="E23" s="1057"/>
      <c r="O23" s="1059"/>
      <c r="P23" s="1059"/>
      <c r="Q23" s="1059"/>
      <c r="R23" s="1059"/>
      <c r="S23" s="1059"/>
      <c r="T23" s="1059"/>
      <c r="U23" s="1059"/>
      <c r="V23" s="1059"/>
      <c r="W23" s="1059"/>
      <c r="X23" s="1059"/>
      <c r="Y23" s="1059"/>
      <c r="Z23" s="1059"/>
      <c r="AA23" s="1059"/>
      <c r="AB23" s="1059"/>
      <c r="AC23" s="1059"/>
      <c r="AD23" s="1059"/>
      <c r="AE23" s="1059"/>
      <c r="AF23" s="1059"/>
      <c r="AG23" s="1059"/>
      <c r="AH23" s="1059"/>
      <c r="AI23" s="1059"/>
      <c r="AJ23" s="1059"/>
      <c r="AK23" s="1059"/>
      <c r="AL23" s="1059"/>
      <c r="AM23" s="1059"/>
      <c r="AN23" s="1059"/>
      <c r="AO23" s="1059"/>
      <c r="AP23" s="1059"/>
      <c r="AQ23" s="1059"/>
      <c r="AR23" s="1059"/>
      <c r="AS23" s="1059"/>
      <c r="AT23" s="1059"/>
      <c r="AU23" s="1059"/>
      <c r="AV23" s="1059"/>
      <c r="AW23" s="1059"/>
      <c r="AX23" s="1059"/>
      <c r="AY23" s="1059"/>
      <c r="AZ23" s="1059"/>
      <c r="BA23" s="1059"/>
      <c r="BB23" s="1059"/>
      <c r="BC23" s="1059"/>
      <c r="BD23" s="1059"/>
      <c r="BE23" s="1059"/>
      <c r="BF23" s="1059"/>
      <c r="BG23" s="1059"/>
      <c r="BH23" s="1059"/>
      <c r="BI23" s="1059"/>
      <c r="BJ23" s="1059"/>
      <c r="BK23" s="1059"/>
      <c r="BL23" s="1059"/>
      <c r="BM23" s="1059"/>
      <c r="BN23" s="1059"/>
      <c r="BO23" s="1059"/>
      <c r="BP23" s="1059"/>
      <c r="BQ23" s="1059"/>
      <c r="BR23" s="1059"/>
      <c r="BS23" s="1059"/>
      <c r="BT23" s="1060"/>
      <c r="BU23" s="1060"/>
      <c r="BV23" s="1060"/>
      <c r="BW23" s="1060"/>
      <c r="BX23" s="1060"/>
      <c r="BY23" s="1060"/>
      <c r="BZ23" s="1060"/>
      <c r="CA23" s="1060"/>
      <c r="CB23" s="1060"/>
      <c r="CC23" s="1060"/>
      <c r="CD23" s="1060"/>
      <c r="CE23" s="1060"/>
      <c r="CF23" s="1060"/>
      <c r="CG23" s="1060"/>
      <c r="CH23" s="1060"/>
      <c r="CI23" s="1060"/>
      <c r="CJ23" s="1060"/>
      <c r="CK23" s="1060"/>
      <c r="CL23" s="1060"/>
      <c r="CM23" s="1060"/>
      <c r="CN23" s="1060"/>
      <c r="CO23" s="1060"/>
      <c r="CP23" s="1060"/>
      <c r="CQ23" s="1060"/>
      <c r="CR23" s="1060"/>
      <c r="CS23" s="1060"/>
      <c r="CT23" s="1060"/>
      <c r="CU23" s="1060"/>
      <c r="CV23" s="1060"/>
      <c r="CW23" s="1060"/>
      <c r="CX23" s="1060"/>
      <c r="CY23" s="1060"/>
      <c r="CZ23" s="1060"/>
      <c r="DA23" s="1060"/>
      <c r="DB23" s="1060"/>
      <c r="DC23" s="1060"/>
      <c r="DD23" s="1060"/>
      <c r="DE23" s="1060"/>
      <c r="DF23" s="1060"/>
      <c r="DG23" s="1060"/>
      <c r="DH23" s="1060"/>
      <c r="DI23" s="1060"/>
      <c r="DJ23" s="1060"/>
      <c r="DK23" s="1060"/>
      <c r="DL23" s="1060"/>
      <c r="DM23" s="1060"/>
      <c r="DN23" s="1060"/>
      <c r="DO23" s="1060"/>
      <c r="DP23" s="1060"/>
      <c r="DQ23" s="1060"/>
      <c r="DR23" s="1060"/>
      <c r="DS23" s="1060"/>
      <c r="DT23" s="1060"/>
      <c r="DU23" s="1060"/>
      <c r="DV23" s="1060"/>
      <c r="DW23" s="1060"/>
      <c r="DX23" s="1060"/>
      <c r="FX23" s="1057"/>
      <c r="FY23" s="1057"/>
      <c r="FZ23" s="1057"/>
      <c r="GA23" s="1057"/>
      <c r="GB23" s="1057"/>
    </row>
    <row customHeight="1" ht="12">
      <c r="S24" s="932"/>
      <c r="T24" s="932"/>
      <c r="U24" s="932"/>
      <c r="V24" s="932"/>
      <c r="W24" s="932"/>
      <c r="X24" s="932"/>
      <c r="Y24" s="932"/>
      <c r="Z24" s="932"/>
      <c r="AA24" s="932"/>
      <c r="AB24" s="932"/>
      <c r="FX24" s="932"/>
      <c r="FY24" s="932"/>
      <c r="FZ24" s="932"/>
      <c r="GA24" s="932"/>
      <c r="GB24" s="932"/>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EEF6C6-DB66-C5F5-279B-212D8621A923}"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36.7109375" customWidth="1"/>
    <col min="6" max="6" style="1660" width="9.57421875" customWidth="1"/>
    <col min="7" max="7" style="1660" width="42.421875" hidden="1" customWidth="1"/>
    <col min="8" max="8" style="1660" width="40.7109375" customWidth="1"/>
    <col min="9" max="9" style="1383" width="93.421875" customWidth="1"/>
    <col min="10" max="17" style="1660" width="10.57421875"/>
    <col min="18" max="18" style="670" width="10.57421875"/>
  </cols>
  <sheetData>
    <row s="1383" customFormat="1" customHeight="1" ht="15" hidden="1">
      <c r="C1" s="667"/>
      <c r="H1" s="414">
        <v>4</v>
      </c>
      <c r="R1" s="417"/>
    </row>
    <row customHeight="1" ht="22.5" hidden="1">
      <c r="D2" s="535"/>
      <c r="E2" s="658"/>
      <c r="F2" s="1785" t="str">
        <f>IF(TEMPLATE_SPHERE="HEAT","Гкал/час","тыс. куб. м/сутки")</f>
        <v>Гкал/час</v>
      </c>
      <c r="G2" s="675"/>
      <c r="H2" s="675"/>
      <c r="I2" s="270"/>
    </row>
    <row s="1383" customFormat="1" customHeight="1" ht="15" hidden="1">
      <c r="C3" s="667"/>
      <c r="R3" s="417"/>
    </row>
    <row customHeight="1" ht="15">
      <c r="C4" s="156"/>
      <c r="D4" s="505"/>
      <c r="E4" s="505"/>
      <c r="F4" s="505"/>
      <c r="G4" s="505"/>
      <c r="H4" s="505"/>
    </row>
    <row customHeight="1" ht="37.5">
      <c r="C5" s="156"/>
      <c r="D5" s="2067"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67"/>
      <c r="F5" s="2067"/>
      <c r="G5" s="2067"/>
      <c r="H5" s="2067"/>
      <c r="I5" s="533"/>
    </row>
    <row customHeight="1" ht="15">
      <c r="C6" s="156"/>
      <c r="D6" s="2035" t="str">
        <f>IF(org=0,"Не определено",org)</f>
        <v>ПАО "ТГК-1" филиал "Невский"</v>
      </c>
      <c r="E6" s="2035"/>
      <c r="F6" s="2035"/>
      <c r="G6" s="2035"/>
      <c r="H6" s="2035"/>
      <c r="I6" s="533"/>
    </row>
    <row s="1660" customFormat="1" customHeight="1" ht="15">
      <c r="A7" s="754"/>
      <c r="C7" s="156"/>
      <c r="D7" s="671"/>
      <c r="E7" s="671"/>
      <c r="F7" s="671"/>
      <c r="G7" s="671"/>
      <c r="H7" s="747"/>
      <c r="I7" s="533"/>
      <c r="R7" s="670"/>
    </row>
    <row customHeight="1" ht="0.75">
      <c r="C8" s="156"/>
      <c r="D8" s="505"/>
      <c r="E8" s="505"/>
      <c r="F8" s="505"/>
      <c r="G8" s="505"/>
      <c r="H8" s="533" t="s">
        <v>116</v>
      </c>
    </row>
    <row customHeight="1" ht="15">
      <c r="C9" s="156"/>
      <c r="D9" s="706"/>
      <c r="E9" s="2195" t="s">
        <v>104</v>
      </c>
      <c r="F9" s="2196"/>
      <c r="G9" s="810" t="str">
        <f>IF(G8="","",INDEX(DIFFERENTIATION_UNMERGE_VD,MATCH(G8,DIFFERENTIATION_ID_DIFF,0)))</f>
        <v/>
      </c>
      <c r="H9" s="810">
        <f>IF(H8="","",INDEX(DIFFERENTIATION_UNMERGE_VD,MATCH(H8,DIFFERENTIATION_ID_DIFF,0)))</f>
        <v>0</v>
      </c>
      <c r="I9" s="1953" t="s">
        <v>313</v>
      </c>
    </row>
    <row s="1660" customFormat="1" customHeight="1" ht="15">
      <c r="A10" s="754"/>
      <c r="C10" s="156"/>
      <c r="D10" s="706"/>
      <c r="E10" s="2195" t="s">
        <v>575</v>
      </c>
      <c r="F10" s="2196"/>
      <c r="G10" s="810" t="str">
        <f>IF(G8="","",INDEX(DIFFERENTIATION_UNMERGE_AREA,MATCH(G8,DIFFERENTIATION_ID_DIFF,0)))</f>
        <v/>
      </c>
      <c r="H10" s="810" t="str">
        <f>IF(H8="","",INDEX(DIFFERENTIATION_UNMERGE_AREA,MATCH(H8,DIFFERENTIATION_ID_DIFF,0)))</f>
        <v/>
      </c>
      <c r="I10" s="1953"/>
      <c r="R10" s="670"/>
    </row>
    <row s="1660" customFormat="1" customHeight="1" ht="15">
      <c r="A11" s="754"/>
      <c r="C11" s="156"/>
      <c r="D11" s="706"/>
      <c r="E11" s="2195" t="s">
        <v>576</v>
      </c>
      <c r="F11" s="2196"/>
      <c r="G11" s="810" t="str">
        <f>IF(G8="","",INDEX(DIFFERENTIATION_UNMERGE_SYSTEM,MATCH(G8,DIFFERENTIATION_ID_DIFF,0)))</f>
        <v/>
      </c>
      <c r="H11" s="810" t="str">
        <f>IF(H8="","",INDEX(DIFFERENTIATION_UNMERGE_SYSTEM,MATCH(H8,DIFFERENTIATION_ID_DIFF,0)))</f>
        <v>без дифференциации</v>
      </c>
      <c r="I11" s="1953"/>
      <c r="R11" s="670"/>
    </row>
    <row s="1660" customFormat="1" customHeight="1" ht="15">
      <c r="A12" s="754"/>
      <c r="C12" s="156"/>
      <c r="D12" s="2197" t="s">
        <v>312</v>
      </c>
      <c r="E12" s="2198"/>
      <c r="F12" s="2198"/>
      <c r="G12" s="881"/>
      <c r="H12" s="881"/>
      <c r="I12" s="1953"/>
      <c r="R12" s="670"/>
    </row>
    <row customHeight="1" ht="33.75">
      <c r="C13" s="156"/>
      <c r="D13" s="756" t="s">
        <v>87</v>
      </c>
      <c r="E13" s="755" t="s">
        <v>314</v>
      </c>
      <c r="F13" s="755" t="s">
        <v>577</v>
      </c>
      <c r="G13" s="802" t="s">
        <v>315</v>
      </c>
      <c r="H13" s="749" t="s">
        <v>315</v>
      </c>
      <c r="I13" s="1953"/>
    </row>
    <row customHeight="1" ht="15" hidden="1">
      <c r="C14" s="156"/>
      <c r="D14" s="589" t="s">
        <v>108</v>
      </c>
      <c r="E14" s="589" t="s">
        <v>109</v>
      </c>
      <c r="F14" s="589" t="s">
        <v>89</v>
      </c>
      <c r="G14" s="654" t="str">
        <f>G1&amp;".1"</f>
        <v>.1</v>
      </c>
      <c r="H14" s="654" t="str">
        <f>H1&amp;".1"</f>
        <v>4.1</v>
      </c>
      <c r="I14" s="270"/>
    </row>
    <row customHeight="1" ht="15">
      <c r="A15" s="501"/>
      <c r="C15" s="522"/>
      <c r="D15" s="517">
        <v>1</v>
      </c>
      <c r="E15" s="672" t="str">
        <f>TP_P_A</f>
        <v>Количество поданных заявок</v>
      </c>
      <c r="F15" s="517" t="s">
        <v>1040</v>
      </c>
      <c r="G15" s="680"/>
      <c r="H15" s="680"/>
      <c r="I15" s="187"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01"/>
      <c r="C16" s="522"/>
      <c r="D16" s="517">
        <v>2</v>
      </c>
      <c r="E16" s="260" t="str">
        <f>TP_P_B</f>
        <v>Количество рассмотренных заявок</v>
      </c>
      <c r="F16" s="517" t="s">
        <v>1040</v>
      </c>
      <c r="G16" s="680"/>
      <c r="H16" s="680"/>
      <c r="I16" s="187"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01"/>
      <c r="C17" s="522"/>
      <c r="D17" s="517">
        <v>3</v>
      </c>
      <c r="E17" s="260"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17" t="s">
        <v>1040</v>
      </c>
      <c r="G17" s="680"/>
      <c r="H17" s="680"/>
      <c r="I17" s="187" t="str">
        <f>TP_P_NOTE_V</f>
        <v>Указывается количество заявок с решением об отказе в течение отчетного квартала.</v>
      </c>
    </row>
    <row customHeight="1" ht="36">
      <c r="A18" s="501"/>
      <c r="C18" s="522"/>
      <c r="D18" s="517">
        <v>4</v>
      </c>
      <c r="E18" s="260" t="str">
        <f>TP_P_V_1</f>
        <v>Причины отказа в заключении договора о подключении (технологическом присоединении) к системе теплоснабжения</v>
      </c>
      <c r="F18" s="517" t="s">
        <v>318</v>
      </c>
      <c r="G18" s="681"/>
      <c r="H18" s="681"/>
      <c r="I18" s="832"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01"/>
      <c r="C19" s="522"/>
      <c r="D19" s="517">
        <v>5</v>
      </c>
      <c r="E19" s="260" t="str">
        <f>TP_P_G</f>
        <v>Резерв мощности источников тепловой энергии, входящих в систему теплоснабжения, в течение одного квартала, в том числе:</v>
      </c>
      <c r="F19" s="517" t="str">
        <f>IF(TEMPLATE_SPHERE="HEAT","Гкал/час","тыс. куб. м/сутки")</f>
        <v>Гкал/час</v>
      </c>
      <c r="G19" s="682">
        <f>SUM(G20:G22)</f>
        <v>0</v>
      </c>
      <c r="H19" s="682">
        <f>SUM(H20:H22)</f>
        <v>0</v>
      </c>
      <c r="I19" s="187"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05" t="s">
        <v>1041</v>
      </c>
      <c r="E20" s="683"/>
      <c r="F20" s="505"/>
      <c r="G20" s="505"/>
      <c r="H20" s="505"/>
      <c r="I20" s="1787"/>
    </row>
    <row customHeight="1" ht="27.75">
      <c r="C21" s="447"/>
      <c r="D21" s="535" t="s">
        <v>327</v>
      </c>
      <c r="E21" s="665"/>
      <c r="F21" s="1785" t="str">
        <f>IF(TEMPLATE_SPHERE="HEAT","Гкал/час","тыс. куб. м/сутки")</f>
        <v>Гкал/час</v>
      </c>
      <c r="G21" s="675"/>
      <c r="H21" s="675"/>
      <c r="I21" s="1997"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01"/>
      <c r="C22" s="501"/>
      <c r="D22" s="335"/>
      <c r="E22" s="576" t="s">
        <v>1042</v>
      </c>
      <c r="F22" s="568"/>
      <c r="G22" s="568"/>
      <c r="H22" s="568"/>
      <c r="I22" s="1999"/>
      <c r="R22" s="50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4EDF07-23F5-7123-2A09-B0236D17CE83}"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6" style="1660" width="64.140625" customWidth="1"/>
    <col min="7" max="7" style="1660" width="141.140625" customWidth="1"/>
    <col min="8" max="8" style="1660" width="10.57421875"/>
    <col min="9" max="10" style="1649" width="10.57421875"/>
    <col min="11" max="16" style="1660" width="10.57421875"/>
  </cols>
  <sheetData>
    <row customHeight="1" ht="14.25" hidden="1">
      <c r="M1" s="234"/>
      <c r="N1" s="234"/>
      <c r="P1" s="234"/>
    </row>
    <row customHeight="1" ht="14.25" hidden="1"/>
    <row customHeight="1" ht="14.25" hidden="1"/>
    <row customHeight="1" ht="3">
      <c r="C4" s="76"/>
      <c r="D4" s="65"/>
      <c r="E4" s="65"/>
      <c r="F4" s="66"/>
      <c r="G4" s="66"/>
    </row>
    <row customHeight="1" ht="27.75">
      <c r="C5" s="76"/>
      <c r="D5" s="2278"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79"/>
      <c r="F5" s="2279"/>
      <c r="G5" s="2280"/>
    </row>
    <row s="1660" customFormat="1" customHeight="1" ht="18">
      <c r="A6" s="876"/>
      <c r="B6" s="414"/>
      <c r="C6" s="368"/>
      <c r="D6" s="2281" t="str">
        <f>IF(org=0,"Не определено",org)</f>
        <v>ПАО "ТГК-1" филиал "Невский"</v>
      </c>
      <c r="E6" s="2282"/>
      <c r="F6" s="2282"/>
      <c r="G6" s="2283"/>
      <c r="I6" s="496"/>
      <c r="J6" s="496"/>
    </row>
    <row customHeight="1" ht="14.25">
      <c r="C7" s="76"/>
      <c r="D7" s="65"/>
      <c r="E7" s="75"/>
      <c r="F7" s="747"/>
      <c r="G7" s="172"/>
    </row>
    <row s="1660" customFormat="1" customHeight="1" ht="0.75">
      <c r="A8" s="1694"/>
      <c r="B8" s="1155"/>
      <c r="C8" s="368"/>
      <c r="D8" s="353"/>
      <c r="E8" s="386"/>
      <c r="F8" s="747"/>
      <c r="G8" s="172"/>
      <c r="I8" s="1649"/>
      <c r="J8" s="1649"/>
    </row>
    <row customHeight="1" ht="14.25">
      <c r="C9" s="76"/>
      <c r="D9" s="2044" t="s">
        <v>312</v>
      </c>
      <c r="E9" s="2044"/>
      <c r="F9" s="2044"/>
      <c r="G9" s="2284" t="s">
        <v>313</v>
      </c>
    </row>
    <row customHeight="1" ht="14.25">
      <c r="C10" s="76"/>
      <c r="D10" s="85" t="s">
        <v>87</v>
      </c>
      <c r="E10" s="88" t="s">
        <v>314</v>
      </c>
      <c r="F10" s="88" t="s">
        <v>404</v>
      </c>
      <c r="G10" s="2284"/>
    </row>
    <row customHeight="1" ht="12" hidden="1">
      <c r="C11" s="76"/>
      <c r="D11" s="68"/>
      <c r="E11" s="68"/>
      <c r="F11" s="68"/>
      <c r="G11" s="68"/>
    </row>
    <row customHeight="1" ht="62.25">
      <c r="A12" s="171"/>
      <c r="C12" s="76"/>
      <c r="D12" s="127">
        <v>1</v>
      </c>
      <c r="E12" s="176"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77" t="s">
        <v>318</v>
      </c>
      <c r="G12" s="131"/>
    </row>
    <row customHeight="1" ht="22.5">
      <c r="A13" s="171"/>
      <c r="C13" s="76"/>
      <c r="D13" s="127" t="s">
        <v>947</v>
      </c>
      <c r="E13" s="173"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77" t="s">
        <v>318</v>
      </c>
      <c r="G13" s="131"/>
    </row>
    <row customHeight="1" ht="14.25">
      <c r="A14" s="171"/>
      <c r="C14" s="76"/>
      <c r="D14" s="127" t="s">
        <v>983</v>
      </c>
      <c r="E14" s="174"/>
      <c r="F14" s="192"/>
      <c r="G14" s="19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1"/>
      <c r="C15" s="76"/>
      <c r="D15" s="89"/>
      <c r="E15" s="337" t="s">
        <v>1043</v>
      </c>
      <c r="F15" s="180"/>
      <c r="G15" s="1999"/>
    </row>
    <row customHeight="1" ht="14.25">
      <c r="A16" s="171"/>
      <c r="C16" s="76"/>
      <c r="D16" s="127" t="s">
        <v>949</v>
      </c>
      <c r="E16" s="173"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77" t="s">
        <v>318</v>
      </c>
      <c r="G16" s="325"/>
    </row>
    <row customHeight="1" ht="14.25">
      <c r="A17" s="171"/>
      <c r="C17" s="76"/>
      <c r="D17" s="127" t="s">
        <v>991</v>
      </c>
      <c r="E17" s="174"/>
      <c r="F17" s="382"/>
      <c r="G17" s="19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1660" customFormat="1" customHeight="1" ht="21">
      <c r="A18" s="331"/>
      <c r="B18" s="126"/>
      <c r="C18" s="288"/>
      <c r="D18" s="335"/>
      <c r="E18" s="337" t="s">
        <v>1044</v>
      </c>
      <c r="F18" s="326"/>
      <c r="G18" s="1999"/>
      <c r="I18" s="338"/>
      <c r="J18" s="338"/>
    </row>
    <row s="1660" customFormat="1" customHeight="1" ht="256.5" hidden="1">
      <c r="A19" s="331"/>
      <c r="B19" s="414"/>
      <c r="C19" s="368"/>
      <c r="D19" s="878" t="s">
        <v>951</v>
      </c>
      <c r="E19" s="877" t="s">
        <v>1045</v>
      </c>
      <c r="F19" s="382"/>
      <c r="G19" s="325" t="s">
        <v>1046</v>
      </c>
      <c r="I19" s="496"/>
      <c r="J19" s="496"/>
    </row>
    <row s="1660" customFormat="1" customHeight="1" ht="14.25">
      <c r="A20" s="331"/>
      <c r="B20" s="126"/>
      <c r="C20" s="288"/>
      <c r="D20" s="879">
        <v>2</v>
      </c>
      <c r="E20" s="318" t="s">
        <v>1047</v>
      </c>
      <c r="F20" s="177" t="s">
        <v>318</v>
      </c>
      <c r="G20" s="325"/>
      <c r="I20" s="338"/>
      <c r="J20" s="338"/>
    </row>
    <row s="1660" customFormat="1" customHeight="1" ht="18.75" hidden="1">
      <c r="A21" s="331"/>
      <c r="B21" s="126"/>
      <c r="C21" s="288"/>
      <c r="D21" s="321" t="s">
        <v>877</v>
      </c>
      <c r="E21" s="320"/>
      <c r="F21" s="319"/>
      <c r="G21" s="329"/>
      <c r="H21" s="322"/>
      <c r="I21" s="338"/>
      <c r="J21" s="338"/>
    </row>
    <row customHeight="1" ht="15">
      <c r="A22" s="171"/>
      <c r="C22" s="76"/>
      <c r="D22" s="89"/>
      <c r="E22" s="182" t="s">
        <v>1048</v>
      </c>
      <c r="F22" s="326"/>
      <c r="G22" s="327"/>
    </row>
    <row s="1660" customFormat="1" customHeight="1" ht="22.5" hidden="1">
      <c r="A23" s="331"/>
      <c r="B23" s="1155"/>
      <c r="C23" s="368"/>
      <c r="D23" s="1698" t="s">
        <v>109</v>
      </c>
      <c r="E23" s="176" t="s">
        <v>1049</v>
      </c>
      <c r="F23" s="1695" t="s">
        <v>318</v>
      </c>
      <c r="G23" s="333"/>
      <c r="I23" s="1649"/>
      <c r="J23" s="1649"/>
    </row>
    <row s="1660" customFormat="1" customHeight="1" ht="14.25" hidden="1">
      <c r="A24" s="331"/>
      <c r="B24" s="1155"/>
      <c r="C24" s="368"/>
      <c r="D24" s="1698" t="s">
        <v>633</v>
      </c>
      <c r="E24" s="1697" t="s">
        <v>1050</v>
      </c>
      <c r="F24" s="1695" t="s">
        <v>318</v>
      </c>
      <c r="G24" s="325"/>
      <c r="I24" s="1649"/>
      <c r="J24" s="1649"/>
    </row>
    <row s="1660" customFormat="1" customHeight="1" ht="14.25" hidden="1">
      <c r="A25" s="331"/>
      <c r="B25" s="1155"/>
      <c r="C25" s="368"/>
      <c r="D25" s="1698" t="s">
        <v>636</v>
      </c>
      <c r="E25" s="174"/>
      <c r="F25" s="382"/>
      <c r="G25" s="1997" t="s">
        <v>1051</v>
      </c>
      <c r="I25" s="1649"/>
      <c r="J25" s="1649"/>
    </row>
    <row s="1660" customFormat="1" customHeight="1" ht="22.5" hidden="1">
      <c r="A26" s="331"/>
      <c r="B26" s="1155"/>
      <c r="C26" s="368"/>
      <c r="D26" s="335"/>
      <c r="E26" s="337" t="s">
        <v>1052</v>
      </c>
      <c r="F26" s="326"/>
      <c r="G26" s="1999"/>
      <c r="I26" s="1649"/>
      <c r="J26" s="1649"/>
    </row>
    <row customHeight="1" ht="3"/>
    <row customHeight="1" ht="14.25">
      <c r="D28" s="324"/>
      <c r="E28" s="323"/>
      <c r="F28" s="299"/>
      <c r="G28" s="299"/>
      <c r="H28" s="299"/>
      <c r="I28" s="299"/>
      <c r="J28" s="299"/>
      <c r="K28" s="299"/>
      <c r="L28" s="299"/>
      <c r="M28" s="299"/>
      <c r="N28" s="299"/>
      <c r="O28" s="299"/>
      <c r="P28" s="299"/>
    </row>
    <row customHeight="1" ht="14.25">
      <c r="D29" s="324"/>
      <c r="E29" s="578"/>
    </row>
    <row r="31" customHeight="1" ht="14.25">
      <c r="E31" s="753"/>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A23961-377E-C4C8-B4A5-6A3882E6A5F8}" mc:Ignorable="x14ac xr xr2 xr3">
  <sheetPr>
    <tabColor theme="6" tint="0.4"/>
  </sheetPr>
  <dimension ref="A1:L43"/>
  <sheetViews>
    <sheetView topLeftCell="C28" showGridLines="0" zoomScale="90" workbookViewId="0">
      <selection activeCell="G40" sqref="G40"/>
    </sheetView>
  </sheetViews>
  <sheetFormatPr defaultColWidth="10.57421875" customHeight="1" defaultRowHeight="14.25"/>
  <cols>
    <col min="1" max="1" style="1801" width="9.140625" hidden="1" customWidth="1"/>
    <col min="2" max="2" style="1383" width="9.140625" hidden="1" customWidth="1"/>
    <col min="3" max="3" style="332" width="3.7109375" customWidth="1"/>
    <col min="4" max="4" style="1660" width="6.28125" customWidth="1"/>
    <col min="5" max="5" style="1660" width="63.421875" customWidth="1"/>
    <col min="6" max="6" style="1660" width="1.7109375" hidden="1" customWidth="1"/>
    <col min="7" max="8" style="1660" width="35.7109375" customWidth="1"/>
    <col min="9" max="9" style="1660" width="91.57421875" customWidth="1"/>
    <col min="10" max="10" style="1660" width="68.8515625" customWidth="1"/>
    <col min="11" max="12" style="1649" width="10.57421875"/>
  </cols>
  <sheetData>
    <row customHeight="1" ht="14.25" hidden="1"/>
    <row s="1660" customFormat="1" customHeight="1" ht="18.75" hidden="1">
      <c r="A2" s="1708"/>
      <c r="B2" s="1155"/>
      <c r="C2" s="1754" t="s">
        <v>163</v>
      </c>
      <c r="D2" s="1698"/>
      <c r="E2" s="178"/>
      <c r="F2" s="1695"/>
      <c r="G2" s="1695" t="s">
        <v>318</v>
      </c>
      <c r="H2" s="1156"/>
      <c r="K2" s="1649"/>
      <c r="L2" s="1649"/>
    </row>
    <row s="1660" customFormat="1" customHeight="1" ht="14.25" hidden="1">
      <c r="A3" s="1379"/>
      <c r="B3" s="1155"/>
      <c r="C3" s="332"/>
      <c r="K3" s="1649"/>
      <c r="L3" s="1649"/>
    </row>
    <row s="1660" customFormat="1" customHeight="1" ht="18.75" hidden="1">
      <c r="A4" s="1708"/>
      <c r="B4" s="1155"/>
      <c r="C4" s="1754" t="s">
        <v>163</v>
      </c>
      <c r="D4" s="1698"/>
      <c r="E4" s="184" t="s">
        <v>1053</v>
      </c>
      <c r="F4" s="1695"/>
      <c r="G4" s="236"/>
      <c r="H4" s="1695" t="s">
        <v>318</v>
      </c>
      <c r="K4" s="1649"/>
      <c r="L4" s="1649"/>
    </row>
    <row s="1660" customFormat="1" customHeight="1" ht="14.25" hidden="1">
      <c r="A5" s="1379"/>
      <c r="B5" s="1155"/>
      <c r="C5" s="332"/>
      <c r="K5" s="1649"/>
      <c r="L5" s="1649"/>
    </row>
    <row s="1660" customFormat="1" customHeight="1" ht="18.75" hidden="1">
      <c r="A6" s="1708"/>
      <c r="B6" s="1155"/>
      <c r="C6" s="1754" t="s">
        <v>163</v>
      </c>
      <c r="D6" s="1698"/>
      <c r="E6" s="185" t="s">
        <v>1054</v>
      </c>
      <c r="F6" s="1695"/>
      <c r="G6" s="236"/>
      <c r="H6" s="1695" t="s">
        <v>318</v>
      </c>
      <c r="K6" s="1649"/>
      <c r="L6" s="1649"/>
    </row>
    <row s="1660" customFormat="1" customHeight="1" ht="14.25" hidden="1">
      <c r="A7" s="1379"/>
      <c r="B7" s="1155"/>
      <c r="C7" s="332"/>
      <c r="K7" s="1649"/>
      <c r="L7" s="1649"/>
    </row>
    <row s="1660" customFormat="1" customHeight="1" ht="18.75" hidden="1">
      <c r="A8" s="1708"/>
      <c r="B8" s="1155"/>
      <c r="C8" s="1754" t="s">
        <v>163</v>
      </c>
      <c r="D8" s="1698"/>
      <c r="E8" s="185" t="s">
        <v>1055</v>
      </c>
      <c r="F8" s="1695"/>
      <c r="G8" s="236"/>
      <c r="H8" s="1695" t="s">
        <v>318</v>
      </c>
      <c r="K8" s="1649"/>
      <c r="L8" s="1649"/>
    </row>
    <row s="1660" customFormat="1" customHeight="1" ht="14.25" hidden="1">
      <c r="A9" s="1379"/>
      <c r="B9" s="1155"/>
      <c r="C9" s="332"/>
      <c r="K9" s="1649"/>
      <c r="L9" s="1649"/>
    </row>
    <row s="1660" customFormat="1" customHeight="1" ht="18.75" hidden="1">
      <c r="A10" s="1708"/>
      <c r="B10" s="1155"/>
      <c r="C10" s="1754" t="s">
        <v>163</v>
      </c>
      <c r="D10" s="1698"/>
      <c r="E10" s="185" t="s">
        <v>1056</v>
      </c>
      <c r="F10" s="1695"/>
      <c r="G10" s="1699"/>
      <c r="H10" s="1695" t="s">
        <v>318</v>
      </c>
      <c r="K10" s="1649"/>
      <c r="L10" s="1649" t="s">
        <v>1057</v>
      </c>
    </row>
    <row customHeight="1" ht="14.25" hidden="1"/>
    <row customHeight="1" ht="14.25" hidden="1"/>
    <row customHeight="1" ht="14.25">
      <c r="C13" s="76"/>
      <c r="D13" s="65"/>
      <c r="E13" s="65"/>
      <c r="F13" s="65"/>
      <c r="G13" s="65"/>
      <c r="H13" s="66"/>
      <c r="I13" s="66"/>
    </row>
    <row customHeight="1" ht="27.75">
      <c r="C14" s="76"/>
      <c r="D14" s="2278"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79"/>
      <c r="F14" s="2279"/>
      <c r="G14" s="2279"/>
      <c r="H14" s="2280"/>
      <c r="J14" s="1656"/>
    </row>
    <row s="1660" customFormat="1" customHeight="1" ht="14.25">
      <c r="A15" s="1379"/>
      <c r="B15" s="1155"/>
      <c r="C15" s="368"/>
      <c r="D15" s="2281" t="str">
        <f>IF(org=0,"Не определено",org)</f>
        <v>ПАО "ТГК-1" филиал "Невский"</v>
      </c>
      <c r="E15" s="2282"/>
      <c r="F15" s="2282"/>
      <c r="G15" s="2282"/>
      <c r="H15" s="2283"/>
      <c r="J15" s="846"/>
      <c r="K15" s="1649"/>
      <c r="L15" s="1649"/>
    </row>
    <row customHeight="1" ht="14.25">
      <c r="C16" s="76"/>
      <c r="D16" s="65"/>
      <c r="E16" s="75"/>
      <c r="F16" s="75"/>
      <c r="G16" s="75"/>
      <c r="H16" s="747"/>
      <c r="I16" s="172"/>
    </row>
    <row s="1660" customFormat="1" customHeight="1" ht="14.25" hidden="1">
      <c r="A17" s="1379"/>
      <c r="B17" s="1155"/>
      <c r="C17" s="368"/>
      <c r="D17" s="353"/>
      <c r="E17" s="386"/>
      <c r="F17" s="386"/>
      <c r="G17" s="386"/>
      <c r="H17" s="747"/>
      <c r="I17" s="172"/>
      <c r="K17" s="1649"/>
      <c r="L17" s="1649"/>
    </row>
    <row customHeight="1" ht="21">
      <c r="C18" s="76"/>
      <c r="D18" s="2044" t="s">
        <v>312</v>
      </c>
      <c r="E18" s="2044"/>
      <c r="F18" s="2044"/>
      <c r="G18" s="2044"/>
      <c r="H18" s="2044"/>
      <c r="I18" s="2284" t="s">
        <v>313</v>
      </c>
    </row>
    <row customHeight="1" ht="21">
      <c r="C19" s="76"/>
      <c r="D19" s="85" t="s">
        <v>87</v>
      </c>
      <c r="E19" s="88" t="s">
        <v>314</v>
      </c>
      <c r="F19" s="88"/>
      <c r="G19" s="88" t="s">
        <v>315</v>
      </c>
      <c r="H19" s="88" t="s">
        <v>404</v>
      </c>
      <c r="I19" s="2284"/>
    </row>
    <row customHeight="1" ht="12" hidden="1">
      <c r="C20" s="76"/>
      <c r="D20" s="68"/>
      <c r="E20" s="68"/>
      <c r="F20" s="68"/>
      <c r="G20" s="68"/>
      <c r="H20" s="68"/>
      <c r="I20" s="68"/>
    </row>
    <row customHeight="1" ht="14.25">
      <c r="A21" s="1708"/>
      <c r="C21" s="76"/>
      <c r="D21" s="127">
        <v>1</v>
      </c>
      <c r="E21" s="2286" t="s">
        <v>1058</v>
      </c>
      <c r="F21" s="2286"/>
      <c r="G21" s="2286"/>
      <c r="H21" s="2286"/>
      <c r="I21" s="187"/>
    </row>
    <row customHeight="1" ht="20.25">
      <c r="A22" s="1708"/>
      <c r="C22" s="76"/>
      <c r="D22" s="127" t="s">
        <v>947</v>
      </c>
      <c r="E22" s="173" t="s">
        <v>1059</v>
      </c>
      <c r="F22" s="177"/>
      <c r="G22" s="1761">
        <v>45288.374456018515</v>
      </c>
      <c r="H22" s="177" t="s">
        <v>318</v>
      </c>
      <c r="I22" s="131" t="s">
        <v>1060</v>
      </c>
    </row>
    <row customHeight="1" ht="45">
      <c r="A23" s="1708"/>
      <c r="C23" s="76"/>
      <c r="D23" s="127" t="s">
        <v>949</v>
      </c>
      <c r="E23" s="173" t="s">
        <v>1061</v>
      </c>
      <c r="F23" s="177"/>
      <c r="G23" s="5525" t="s">
        <v>1062</v>
      </c>
      <c r="H23" s="5526" t="s">
        <v>1063</v>
      </c>
      <c r="I23" s="237" t="s">
        <v>1064</v>
      </c>
    </row>
    <row customHeight="1" ht="34.166666666666664">
      <c r="A24" s="1708"/>
      <c r="B24" s="126">
        <v>3</v>
      </c>
      <c r="C24" s="76"/>
      <c r="D24" s="127">
        <v>2</v>
      </c>
      <c r="E24" s="201"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77"/>
      <c r="G24" s="177" t="s">
        <v>318</v>
      </c>
      <c r="H24" s="5526" t="s">
        <v>1065</v>
      </c>
      <c r="I24" s="238" t="s">
        <v>814</v>
      </c>
    </row>
    <row customHeight="1" ht="46.5">
      <c r="A25" s="1708"/>
      <c r="C25" s="76"/>
      <c r="D25" s="127">
        <v>3</v>
      </c>
      <c r="E25" s="2285"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285"/>
      <c r="G25" s="2285"/>
      <c r="H25" s="2285"/>
      <c r="I25" s="235"/>
    </row>
    <row customHeight="1" ht="112.5">
      <c r="A26" s="1708"/>
      <c r="C26" s="76"/>
      <c r="D26" s="127" t="s">
        <v>338</v>
      </c>
      <c r="E26" s="178" t="s">
        <v>1066</v>
      </c>
      <c r="F26" s="177"/>
      <c r="G26" s="177" t="s">
        <v>318</v>
      </c>
      <c r="H26" s="5526" t="s">
        <v>1067</v>
      </c>
      <c r="I26" s="1997" t="s">
        <v>1068</v>
      </c>
    </row>
    <row customHeight="1" ht="15">
      <c r="A27" s="1708" t="s">
        <v>108</v>
      </c>
      <c r="C27" s="76"/>
      <c r="D27" s="89"/>
      <c r="E27" s="182" t="s">
        <v>1048</v>
      </c>
      <c r="F27" s="183"/>
      <c r="G27" s="183"/>
      <c r="H27" s="180"/>
      <c r="I27" s="1999"/>
    </row>
    <row customHeight="1" ht="38.25">
      <c r="A28" s="1708"/>
      <c r="B28" s="126">
        <v>3</v>
      </c>
      <c r="C28" s="76"/>
      <c r="D28" s="127">
        <v>4</v>
      </c>
      <c r="E28" s="2285"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285"/>
      <c r="G28" s="2285"/>
      <c r="H28" s="2285"/>
      <c r="I28" s="235"/>
    </row>
    <row customHeight="1" ht="167.49999999999997">
      <c r="A29" s="1708"/>
      <c r="C29" s="76"/>
      <c r="D29" s="127" t="s">
        <v>678</v>
      </c>
      <c r="E29" s="184" t="s">
        <v>1053</v>
      </c>
      <c r="F29" s="177"/>
      <c r="G29" s="236" t="s">
        <v>1069</v>
      </c>
      <c r="H29" s="177" t="s">
        <v>318</v>
      </c>
      <c r="I29" s="1997" t="s">
        <v>1070</v>
      </c>
    </row>
    <row customHeight="1" ht="15">
      <c r="A30" s="1708" t="s">
        <v>109</v>
      </c>
      <c r="C30" s="76"/>
      <c r="D30" s="89"/>
      <c r="E30" s="182" t="s">
        <v>1048</v>
      </c>
      <c r="F30" s="183"/>
      <c r="G30" s="183"/>
      <c r="H30" s="180"/>
      <c r="I30" s="1999"/>
    </row>
    <row customHeight="1" ht="30">
      <c r="A31" s="1708"/>
      <c r="B31" s="126">
        <v>3</v>
      </c>
      <c r="C31" s="76"/>
      <c r="D31" s="127">
        <v>5</v>
      </c>
      <c r="E31" s="2285"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285"/>
      <c r="G31" s="2285"/>
      <c r="H31" s="2285"/>
      <c r="I31" s="235"/>
    </row>
    <row customHeight="1" ht="26.25">
      <c r="A32" s="1708"/>
      <c r="C32" s="76"/>
      <c r="D32" s="127" t="s">
        <v>327</v>
      </c>
      <c r="E32" s="2227"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227"/>
      <c r="G32" s="2227"/>
      <c r="H32" s="2227"/>
      <c r="I32" s="235"/>
    </row>
    <row customHeight="1" ht="14.25">
      <c r="A33" s="1708"/>
      <c r="C33" s="76"/>
      <c r="D33" s="127" t="s">
        <v>1071</v>
      </c>
      <c r="E33" s="185" t="s">
        <v>1054</v>
      </c>
      <c r="F33" s="177"/>
      <c r="G33" s="236" t="s">
        <v>1072</v>
      </c>
      <c r="H33" s="177" t="s">
        <v>318</v>
      </c>
      <c r="I33" s="1997" t="s">
        <v>1073</v>
      </c>
    </row>
    <row customHeight="1" ht="15">
      <c r="A34" s="1708" t="s">
        <v>89</v>
      </c>
      <c r="C34" s="76"/>
      <c r="D34" s="89"/>
      <c r="E34" s="183" t="s">
        <v>1048</v>
      </c>
      <c r="F34" s="179"/>
      <c r="G34" s="179"/>
      <c r="H34" s="180"/>
      <c r="I34" s="1999"/>
    </row>
    <row customHeight="1" ht="24">
      <c r="A35" s="1708"/>
      <c r="C35" s="76"/>
      <c r="D35" s="127" t="s">
        <v>329</v>
      </c>
      <c r="E35" s="2227"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227"/>
      <c r="G35" s="2227"/>
      <c r="H35" s="2227"/>
      <c r="I35" s="235"/>
    </row>
    <row customHeight="1" ht="40.833333333333336">
      <c r="A36" s="1708"/>
      <c r="C36" s="76"/>
      <c r="D36" s="127" t="s">
        <v>1074</v>
      </c>
      <c r="E36" s="185" t="s">
        <v>1055</v>
      </c>
      <c r="F36" s="177"/>
      <c r="G36" s="236" t="s">
        <v>1075</v>
      </c>
      <c r="H36" s="177" t="s">
        <v>318</v>
      </c>
      <c r="I36" s="1975" t="s">
        <v>1076</v>
      </c>
    </row>
    <row customHeight="1" ht="15">
      <c r="A37" s="1708" t="s">
        <v>90</v>
      </c>
      <c r="C37" s="76"/>
      <c r="D37" s="89"/>
      <c r="E37" s="183" t="s">
        <v>1048</v>
      </c>
      <c r="F37" s="179"/>
      <c r="G37" s="179"/>
      <c r="H37" s="180"/>
      <c r="I37" s="1975"/>
    </row>
    <row customHeight="1" ht="26.25">
      <c r="A38" s="1708"/>
      <c r="C38" s="76"/>
      <c r="D38" s="127" t="s">
        <v>332</v>
      </c>
      <c r="E38" s="2227"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227"/>
      <c r="G38" s="2227"/>
      <c r="H38" s="2227"/>
      <c r="I38" s="235"/>
    </row>
    <row customHeight="1" ht="14.25">
      <c r="A39" s="1708"/>
      <c r="C39" s="76"/>
      <c r="D39" s="127" t="s">
        <v>807</v>
      </c>
      <c r="E39" s="185" t="s">
        <v>1056</v>
      </c>
      <c r="F39" s="177"/>
      <c r="G39" s="186" t="s">
        <v>1077</v>
      </c>
      <c r="H39" s="177" t="s">
        <v>318</v>
      </c>
      <c r="I39" s="1997" t="s">
        <v>1078</v>
      </c>
      <c r="L39" s="135" t="s">
        <v>1057</v>
      </c>
    </row>
    <row s="1660" customFormat="1" customHeight="1" ht="18.75">
      <c r="A40" s="1708"/>
      <c r="B40" s="1383"/>
      <c r="C40" s="1754" t="s">
        <v>163</v>
      </c>
      <c r="D40" s="2038" t="s">
        <v>808</v>
      </c>
      <c r="E40" s="185" t="s">
        <v>1056</v>
      </c>
      <c r="F40" s="2360"/>
      <c r="G40" s="2316" t="s">
        <v>1079</v>
      </c>
      <c r="H40" s="2360" t="s">
        <v>318</v>
      </c>
      <c r="I40" s="1660"/>
      <c r="J40" s="1660"/>
      <c r="K40" s="1649"/>
      <c r="L40" s="1649" t="s">
        <v>1057</v>
      </c>
    </row>
    <row customHeight="1" ht="15">
      <c r="A41" s="1708" t="s">
        <v>110</v>
      </c>
      <c r="C41" s="76"/>
      <c r="D41" s="89"/>
      <c r="E41" s="183" t="s">
        <v>1048</v>
      </c>
      <c r="F41" s="179"/>
      <c r="G41" s="179"/>
      <c r="H41" s="180"/>
      <c r="I41" s="1999"/>
    </row>
    <row s="1848" customFormat="1" customHeight="1" ht="3">
      <c r="A42" s="1708"/>
      <c r="K42" s="175"/>
      <c r="L42" s="175"/>
    </row>
    <row customHeight="1" ht="24.75">
      <c r="D43" s="1706" t="s">
        <v>729</v>
      </c>
      <c r="E43" s="20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3" s="2088"/>
      <c r="G43" s="2088"/>
      <c r="H43" s="2088"/>
      <c r="I43" s="2088"/>
    </row>
  </sheetData>
  <sheetProtection formatColumns="0" formatRows="0" autoFilter="0" sort="0" insertRows="0" insertColumns="1" deleteRows="0" deleteColumns="0"/>
  <mergeCells count="17">
    <mergeCell ref="E43:I43"/>
    <mergeCell ref="E32:H32"/>
    <mergeCell ref="E35:H35"/>
    <mergeCell ref="E38:H38"/>
    <mergeCell ref="I33:I34"/>
    <mergeCell ref="I36:I37"/>
    <mergeCell ref="I39:I41"/>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G40">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I40 I26 E29 G33 E36 I29 E33 I36 G23 E26 I10 E23 G29 E10 G8 E2 I2 I4 G4 E4 E6 I6 G6 E8 I8 E39:E40">
      <formula1>900</formula1>
    </dataValidation>
  </dataValidations>
  <hyperlinks>
    <hyperlink ref="G23" r:id="rId2" xr:uid="{6A6377AE-99ED-C4DD-195F-2AF3184FFAB7}"/>
    <hyperlink ref="H23" r:id="rId3" xr:uid="{0F991862-1275-2966-E9CC-E4AE085ACD82}"/>
    <hyperlink ref="H24" r:id="rId4" xr:uid="{62A6346B-9089-9465-16B3-37804497F8D4}"/>
    <hyperlink ref="H26" r:id="rId5" xr:uid="{368E12FF-0B0D-551E-FBD7-1ADC5D49FC33}"/>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64A4498-D431-AF97-52B8-7FD4E02A09C2}" mc:Ignorable="x14ac xr xr2 xr3">
  <sheetPr>
    <tabColor theme="6" tint="0.4"/>
  </sheetPr>
  <dimension ref="A1:AG347"/>
  <sheetViews>
    <sheetView topLeftCell="D13" showGridLines="0" zoomScale="90" workbookViewId="0">
      <selection activeCell="A288" sqref="A288:XFD289"/>
    </sheetView>
  </sheetViews>
  <sheetFormatPr defaultColWidth="10.57421875" customHeight="1" defaultRowHeight="14.25"/>
  <cols>
    <col min="1" max="2" style="1804" width="25.140625" hidden="1" customWidth="1"/>
    <col min="3" max="3" style="1712" width="9.140625" hidden="1" customWidth="1"/>
    <col min="4" max="4" style="332" width="3.7109375" customWidth="1"/>
    <col min="5" max="5" style="1660" width="6.28125" customWidth="1"/>
    <col min="6" max="6" style="1660" width="46.7109375" customWidth="1"/>
    <col min="7" max="7" style="1660" width="35.7109375" customWidth="1"/>
    <col min="8" max="8" style="1660" width="3.7109375" customWidth="1"/>
    <col min="9" max="10" style="1660" width="11.7109375" customWidth="1"/>
    <col min="11" max="12" style="1660" width="35.7109375" customWidth="1"/>
    <col min="13" max="13" style="1660" width="84.8515625" customWidth="1"/>
    <col min="14" max="14" style="1660" width="10.57421875"/>
    <col min="15" max="16" style="1649" width="10.57421875"/>
    <col min="17" max="33" style="1660" width="10.57421875"/>
  </cols>
  <sheetData>
    <row s="1660" customFormat="1" customHeight="1" ht="14.25" hidden="1">
      <c r="A1" s="1804"/>
      <c r="B1" s="1804"/>
      <c r="C1" s="361"/>
      <c r="D1" s="332"/>
      <c r="N1" s="1661">
        <f>_xlfn.IFERROR(MATCH("метод экономически обоснованных расходов (затрат)",OFFER_METHOD,0),0)</f>
        <v>0</v>
      </c>
      <c r="O1" s="1649"/>
      <c r="P1" s="1649"/>
      <c r="T1" s="825"/>
      <c r="AG1" s="234"/>
    </row>
    <row s="1660" customFormat="1" customHeight="1" ht="18.75" hidden="1">
      <c r="A2" s="1805" t="s">
        <v>155</v>
      </c>
      <c r="B2" s="1805" t="s">
        <v>156</v>
      </c>
      <c r="C2" s="361"/>
      <c r="D2" s="332"/>
      <c r="E2" s="1026"/>
      <c r="F2" s="1026"/>
      <c r="G2" s="2248" t="str">
        <f>INDEX(PT_DIFFERENTIATION_NTAR,MATCH(B2,PT_DIFFERENTIATION_NTAR_ID,0))</f>
        <v>Тариф на тепловую энергию, поставляемую ПАО "ТГК-1" потребителям, расположенным на территории Санкт-Петербурга</v>
      </c>
      <c r="H2" s="1889"/>
      <c r="I2" s="1763"/>
      <c r="J2" s="1798"/>
      <c r="K2" s="1890"/>
      <c r="L2" s="1889" t="s">
        <v>318</v>
      </c>
      <c r="M2" s="1900"/>
      <c r="N2" s="322"/>
      <c r="O2" s="1649"/>
      <c r="P2" s="1649"/>
    </row>
    <row s="1660" customFormat="1" customHeight="1" ht="18.75" hidden="1">
      <c r="A3" s="1805"/>
      <c r="B3" s="1805"/>
      <c r="C3" s="361" t="s">
        <v>1080</v>
      </c>
      <c r="D3" s="332"/>
      <c r="E3" s="1026"/>
      <c r="F3" s="1026"/>
      <c r="G3" s="2248"/>
      <c r="H3" s="1517"/>
      <c r="I3" s="646" t="s">
        <v>1081</v>
      </c>
      <c r="J3" s="567"/>
      <c r="K3" s="1517"/>
      <c r="L3" s="193"/>
      <c r="M3" s="1900"/>
      <c r="N3" s="322"/>
      <c r="O3" s="1649"/>
      <c r="P3" s="1649"/>
    </row>
    <row s="1660" customFormat="1" customHeight="1" ht="14.25" hidden="1">
      <c r="A4" s="1804"/>
      <c r="B4" s="1804"/>
      <c r="C4" s="361"/>
      <c r="D4" s="332"/>
      <c r="N4" s="1661">
        <f>_xlfn.IFERROR(MATCH("метод экономически обоснованных расходов (затрат)",OFFER_METHOD,0),0)</f>
        <v>0</v>
      </c>
      <c r="O4" s="1649"/>
      <c r="P4" s="1649"/>
      <c r="T4" s="825"/>
      <c r="AG4" s="234"/>
    </row>
    <row s="1660" customFormat="1" customHeight="1" ht="18.75" hidden="1">
      <c r="A5" s="1805" t="s">
        <v>155</v>
      </c>
      <c r="B5" s="1805" t="s">
        <v>156</v>
      </c>
      <c r="C5" s="361"/>
      <c r="D5" s="332"/>
      <c r="E5" s="1026"/>
      <c r="F5" s="1026"/>
      <c r="G5" s="2248" t="str">
        <f>INDEX(PT_DIFFERENTIATION_NTAR,MATCH(B5,PT_DIFFERENTIATION_NTAR_ID,0))</f>
        <v>Тариф на тепловую энергию, поставляемую ПАО "ТГК-1" потребителям, расположенным на территории Санкт-Петербурга</v>
      </c>
      <c r="H5" s="1889"/>
      <c r="I5" s="1763"/>
      <c r="J5" s="1798"/>
      <c r="K5" s="1803"/>
      <c r="L5" s="1889" t="s">
        <v>318</v>
      </c>
      <c r="M5" s="1900"/>
      <c r="N5" s="322"/>
      <c r="O5" s="1649"/>
      <c r="P5" s="1649"/>
    </row>
    <row s="1660" customFormat="1" customHeight="1" ht="18.75" hidden="1">
      <c r="A6" s="1805"/>
      <c r="B6" s="1805"/>
      <c r="C6" s="361" t="s">
        <v>1082</v>
      </c>
      <c r="D6" s="332"/>
      <c r="E6" s="1026"/>
      <c r="F6" s="1026"/>
      <c r="G6" s="2248"/>
      <c r="H6" s="1517"/>
      <c r="I6" s="646" t="s">
        <v>1081</v>
      </c>
      <c r="J6" s="567"/>
      <c r="K6" s="1517"/>
      <c r="L6" s="193"/>
      <c r="M6" s="1900"/>
      <c r="N6" s="322"/>
      <c r="O6" s="1649"/>
      <c r="P6" s="1649"/>
    </row>
    <row s="1660" customFormat="1" customHeight="1" ht="14.25" hidden="1">
      <c r="A7" s="1804"/>
      <c r="B7" s="1804"/>
      <c r="C7" s="361"/>
      <c r="D7" s="332"/>
      <c r="N7" s="1661">
        <f>_xlfn.IFERROR(MATCH("метод экономически обоснованных расходов (затрат)",OFFER_METHOD,0),0)</f>
        <v>0</v>
      </c>
      <c r="O7" s="1649"/>
      <c r="P7" s="1649"/>
      <c r="T7" s="825"/>
      <c r="AG7" s="234"/>
    </row>
    <row s="1660" customFormat="1" customHeight="1" ht="56.25" hidden="1">
      <c r="A8" s="1805"/>
      <c r="B8" s="1805"/>
      <c r="C8" s="361"/>
      <c r="D8" s="332"/>
      <c r="E8" s="1026"/>
      <c r="F8" s="1026"/>
      <c r="G8" s="1026"/>
      <c r="H8" s="1796"/>
      <c r="I8" s="1763"/>
      <c r="J8" s="1798"/>
      <c r="K8" s="1890"/>
      <c r="L8" s="1796" t="s">
        <v>318</v>
      </c>
      <c r="M8" s="1900"/>
      <c r="N8" s="322"/>
      <c r="O8" s="1649"/>
      <c r="P8" s="1649"/>
    </row>
    <row customHeight="1" ht="14.25" hidden="1">
      <c r="T9" s="394"/>
      <c r="AG9" s="234"/>
    </row>
    <row s="1660" customFormat="1" customHeight="1" ht="56.25" hidden="1">
      <c r="A10" s="1805"/>
      <c r="B10" s="1805"/>
      <c r="C10" s="361"/>
      <c r="D10" s="332"/>
      <c r="E10" s="1026"/>
      <c r="F10" s="1026"/>
      <c r="G10" s="1026"/>
      <c r="H10" s="1795"/>
      <c r="I10" s="1763"/>
      <c r="J10" s="1798"/>
      <c r="K10" s="1803"/>
      <c r="L10" s="1796" t="s">
        <v>318</v>
      </c>
      <c r="M10" s="1900"/>
      <c r="N10" s="322"/>
      <c r="O10" s="1649"/>
      <c r="P10" s="1649"/>
    </row>
    <row customHeight="1" ht="14.25" hidden="1"/>
    <row customHeight="1" ht="14.25" hidden="1"/>
    <row customHeight="1" ht="6">
      <c r="D13" s="368"/>
      <c r="E13" s="353"/>
      <c r="F13" s="353"/>
      <c r="G13" s="353"/>
      <c r="H13" s="353"/>
      <c r="I13" s="353"/>
      <c r="J13" s="353"/>
      <c r="K13" s="353"/>
      <c r="L13" s="66"/>
      <c r="M13" s="66"/>
    </row>
    <row customHeight="1" ht="14.25">
      <c r="D14" s="368"/>
      <c r="E14" s="2287"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287"/>
      <c r="G14" s="2287"/>
      <c r="H14" s="2287"/>
      <c r="I14" s="2287"/>
      <c r="J14" s="2287"/>
      <c r="K14" s="2287"/>
      <c r="L14" s="2287"/>
      <c r="M14" s="199"/>
    </row>
    <row customHeight="1" ht="6">
      <c r="D15" s="368"/>
      <c r="E15" s="353"/>
      <c r="F15" s="386"/>
      <c r="G15" s="386"/>
      <c r="H15" s="386"/>
      <c r="I15" s="386"/>
      <c r="J15" s="386"/>
      <c r="K15" s="386"/>
      <c r="L15" s="308"/>
      <c r="M15" s="172"/>
    </row>
    <row customHeight="1" ht="18.75">
      <c r="D16" s="368"/>
      <c r="E16" s="353"/>
      <c r="F16" s="286" t="str">
        <f>"Дата подачи заявления об "&amp;IF(TITLE_DATE_PR_CHANGE="","утверждении","изменении")&amp;" тарифов"</f>
        <v>Дата подачи заявления об утверждении тарифов</v>
      </c>
      <c r="G16" s="2081" t="str">
        <f>IF(TITLE_DATE_PR_CHANGE="",IF(TITLE_DATE_PR="","",TITLE_DATE_PR),TITLE_DATE_PR_CHANGE)</f>
        <v>45280.49324074074</v>
      </c>
      <c r="H16" s="2081"/>
      <c r="I16" s="2081"/>
      <c r="J16" s="2081"/>
      <c r="K16" s="2081"/>
      <c r="L16" s="2081"/>
      <c r="M16" s="395"/>
      <c r="N16" s="314"/>
    </row>
    <row customHeight="1" ht="18.75">
      <c r="D17" s="368"/>
      <c r="E17" s="353"/>
      <c r="F17" s="286" t="str">
        <f>"Номер подачи заявления об "&amp;IF(TITLE_DATE_PR_CHANGE="","утверждении","изменении")&amp;" тарифов"</f>
        <v>Номер подачи заявления об утверждении тарифов</v>
      </c>
      <c r="G17" s="2082" t="str">
        <f>IF(TITLE_NUMBER_PR_CHANGE="",IF(TITLE_NUMBER_PR="","",TITLE_NUMBER_PR),TITLE_NUMBER_PR_CHANGE)</f>
        <v>262-р</v>
      </c>
      <c r="H17" s="2082"/>
      <c r="I17" s="2082"/>
      <c r="J17" s="2082"/>
      <c r="K17" s="2082"/>
      <c r="L17" s="2082"/>
      <c r="M17" s="395"/>
      <c r="N17" s="314"/>
    </row>
    <row customHeight="1" ht="14.25">
      <c r="D18" s="368"/>
      <c r="E18" s="353"/>
      <c r="F18" s="386"/>
      <c r="G18" s="386"/>
      <c r="H18" s="386"/>
      <c r="I18" s="386"/>
      <c r="J18" s="386"/>
      <c r="K18" s="386"/>
      <c r="L18" s="747"/>
      <c r="M18" s="172"/>
    </row>
    <row customHeight="1" ht="21">
      <c r="D19" s="368"/>
      <c r="E19" s="2044" t="s">
        <v>312</v>
      </c>
      <c r="F19" s="2044"/>
      <c r="G19" s="2044"/>
      <c r="H19" s="2044"/>
      <c r="I19" s="2044"/>
      <c r="J19" s="2044"/>
      <c r="K19" s="2044"/>
      <c r="L19" s="2044"/>
      <c r="M19" s="2284" t="s">
        <v>313</v>
      </c>
    </row>
    <row customHeight="1" ht="21">
      <c r="D20" s="368"/>
      <c r="E20" s="2111" t="s">
        <v>87</v>
      </c>
      <c r="F20" s="2055" t="s">
        <v>121</v>
      </c>
      <c r="G20" s="2055" t="s">
        <v>122</v>
      </c>
      <c r="H20" s="2252" t="s">
        <v>1083</v>
      </c>
      <c r="I20" s="2256"/>
      <c r="J20" s="2253"/>
      <c r="K20" s="2055" t="s">
        <v>315</v>
      </c>
      <c r="L20" s="2055" t="s">
        <v>404</v>
      </c>
      <c r="M20" s="2284"/>
    </row>
    <row customHeight="1" ht="21">
      <c r="D21" s="368"/>
      <c r="E21" s="2113"/>
      <c r="F21" s="2056"/>
      <c r="G21" s="2056"/>
      <c r="H21" s="2050" t="s">
        <v>1084</v>
      </c>
      <c r="I21" s="2066"/>
      <c r="J21" s="88" t="s">
        <v>1085</v>
      </c>
      <c r="K21" s="2056"/>
      <c r="L21" s="2056"/>
      <c r="M21" s="2284"/>
    </row>
    <row customHeight="1" ht="12">
      <c r="D22" s="368"/>
      <c r="E22" s="262"/>
      <c r="F22" s="262"/>
      <c r="G22" s="262"/>
      <c r="H22" s="2289"/>
      <c r="I22" s="2289"/>
      <c r="J22" s="262"/>
      <c r="K22" s="262"/>
      <c r="L22" s="262"/>
      <c r="M22" s="262"/>
    </row>
    <row customHeight="1" ht="18.75">
      <c r="A23" s="1805"/>
      <c r="B23" s="1805"/>
      <c r="D23" s="368"/>
      <c r="E23" s="1891" t="s">
        <v>108</v>
      </c>
      <c r="F23" s="2290" t="str">
        <f>"Предлагаемый метод регулирования"&amp;IF(TEMPLATE_SPHERE="HEAT"," в сфере "&amp;TEMPLATE_SPHERE_RUS,"")</f>
        <v>Предлагаемый метод регулирования в сфере теплоснабжения</v>
      </c>
      <c r="G23" s="2291"/>
      <c r="H23" s="2286"/>
      <c r="I23" s="2286"/>
      <c r="J23" s="2286"/>
      <c r="K23" s="2291" t="s">
        <v>318</v>
      </c>
      <c r="L23" s="2286"/>
      <c r="M23" s="1794"/>
      <c r="N23" s="322"/>
    </row>
    <row customHeight="1" ht="60.75" hidden="1">
      <c r="A24" s="1805" t="s">
        <v>155</v>
      </c>
      <c r="B24" s="1805" t="s">
        <v>156</v>
      </c>
      <c r="D24" s="2288"/>
      <c r="E24" s="2038"/>
      <c r="F24" s="2292"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48" t="str">
        <f>INDEX(PT_DIFFERENTIATION_NTAR,MATCH(B24,PT_DIFFERENTIATION_NTAR_ID,0))</f>
        <v>Тариф на тепловую энергию, поставляемую ПАО "ТГК-1" потребителям, расположенным на территории Санкт-Петербурга</v>
      </c>
      <c r="H24" s="1887"/>
      <c r="I24" s="1763"/>
      <c r="J24" s="1798"/>
      <c r="K24" s="1890"/>
      <c r="L24" s="1793" t="s">
        <v>318</v>
      </c>
      <c r="M2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22"/>
    </row>
    <row s="1660" customFormat="1" customHeight="1" ht="18.75" hidden="1">
      <c r="A25" s="1805"/>
      <c r="B25" s="1805"/>
      <c r="C25" s="361" t="s">
        <v>1080</v>
      </c>
      <c r="D25" s="2288"/>
      <c r="E25" s="2038"/>
      <c r="F25" s="2292"/>
      <c r="G25" s="2248"/>
      <c r="H25" s="1517"/>
      <c r="I25" s="646" t="s">
        <v>1081</v>
      </c>
      <c r="J25" s="567"/>
      <c r="K25" s="1517"/>
      <c r="L25" s="193"/>
      <c r="M25" s="1998"/>
      <c r="N25" s="322"/>
      <c r="O25" s="1649"/>
      <c r="P25" s="1649"/>
    </row>
    <row s="1660" customFormat="1" customHeight="1" ht="18.75">
      <c r="A26" s="1848" t="s">
        <v>155</v>
      </c>
      <c r="B26" s="1848" t="s">
        <v>165</v>
      </c>
      <c r="C26" s="1712"/>
      <c r="D26" s="332"/>
      <c r="E26" s="1026"/>
      <c r="F26" s="1026"/>
      <c r="G26" s="2248" t="str">
        <f>INDEX(PT_DIFFERENTIATION_NTAR,MATCH(B26,PT_DIFFERENTIATION_NTAR_ID,0))</f>
        <v>Тариф на тепловую энергию, поставляемую ПАО "ТГК-1" на коллекторах источников тепловой энергии потребителям, расположенным на территории Санкт-Петербурга</v>
      </c>
      <c r="H26" s="2066"/>
      <c r="I26" s="1763"/>
      <c r="J26" s="1798"/>
      <c r="K26" s="1890"/>
      <c r="L26" s="2066" t="s">
        <v>318</v>
      </c>
      <c r="M26" s="1900"/>
      <c r="N26" s="614"/>
      <c r="O26" s="1649"/>
      <c r="P26" s="1649"/>
      <c r="Q26" s="1660"/>
      <c r="R26" s="1660"/>
      <c r="S26" s="1660"/>
      <c r="T26" s="1660"/>
      <c r="U26" s="1660"/>
      <c r="V26" s="1660"/>
      <c r="W26" s="1660"/>
      <c r="X26" s="1660"/>
      <c r="Y26" s="1660"/>
      <c r="Z26" s="1660"/>
      <c r="AA26" s="1660"/>
      <c r="AB26" s="1660"/>
      <c r="AC26" s="1660"/>
      <c r="AD26" s="1660"/>
      <c r="AE26" s="1660"/>
      <c r="AF26" s="1660"/>
      <c r="AG26" s="1660"/>
    </row>
    <row s="1660" customFormat="1" customHeight="1" ht="18.75">
      <c r="A27" s="1848"/>
      <c r="B27" s="1848"/>
      <c r="C27" s="1712" t="s">
        <v>1080</v>
      </c>
      <c r="D27" s="332"/>
      <c r="E27" s="1026"/>
      <c r="F27" s="1026"/>
      <c r="G27" s="2248"/>
      <c r="H27" s="5527"/>
      <c r="I27" s="5528" t="s">
        <v>1081</v>
      </c>
      <c r="J27" s="5529"/>
      <c r="K27" s="5530"/>
      <c r="L27" s="5531"/>
      <c r="M27" s="1900"/>
      <c r="N27" s="614"/>
      <c r="O27" s="1649"/>
      <c r="P27" s="1649"/>
      <c r="Q27" s="1660"/>
      <c r="R27" s="1660"/>
      <c r="S27" s="1660"/>
      <c r="T27" s="1660"/>
      <c r="U27" s="1660"/>
      <c r="V27" s="1660"/>
      <c r="W27" s="1660"/>
      <c r="X27" s="1660"/>
      <c r="Y27" s="1660"/>
      <c r="Z27" s="1660"/>
      <c r="AA27" s="1660"/>
      <c r="AB27" s="1660"/>
      <c r="AC27" s="1660"/>
      <c r="AD27" s="1660"/>
      <c r="AE27" s="1660"/>
      <c r="AF27" s="1660"/>
      <c r="AG27" s="1660"/>
    </row>
    <row s="1660" customFormat="1" customHeight="1" ht="18.75">
      <c r="A28" s="1848" t="s">
        <v>155</v>
      </c>
      <c r="B28" s="1848" t="s">
        <v>170</v>
      </c>
      <c r="C28" s="1712"/>
      <c r="D28" s="332"/>
      <c r="E28" s="1026"/>
      <c r="F28" s="1026"/>
      <c r="G28" s="2248" t="str">
        <f>INDEX(PT_DIFFERENTIATION_NTAR,MATCH(B28,PT_DIFFERENTIATION_NTAR_ID,0))</f>
        <v>Тариф на тепловую энергию (мощность), поставляемую ПАО "ТГК-1" теплоснабжающим, теплосетевым организациям, приобретающим тепловую энергию с целью компенсации потерь тепловой энергии</v>
      </c>
      <c r="H28" s="2066"/>
      <c r="I28" s="1763"/>
      <c r="J28" s="1798"/>
      <c r="K28" s="1890"/>
      <c r="L28" s="2066" t="s">
        <v>318</v>
      </c>
      <c r="M28" s="1900"/>
      <c r="N28" s="614"/>
      <c r="O28" s="1649"/>
      <c r="P28" s="1649"/>
      <c r="Q28" s="1660"/>
      <c r="R28" s="1660"/>
      <c r="S28" s="1660"/>
      <c r="T28" s="1660"/>
      <c r="U28" s="1660"/>
      <c r="V28" s="1660"/>
      <c r="W28" s="1660"/>
      <c r="X28" s="1660"/>
      <c r="Y28" s="1660"/>
      <c r="Z28" s="1660"/>
      <c r="AA28" s="1660"/>
      <c r="AB28" s="1660"/>
      <c r="AC28" s="1660"/>
      <c r="AD28" s="1660"/>
      <c r="AE28" s="1660"/>
      <c r="AF28" s="1660"/>
      <c r="AG28" s="1660"/>
    </row>
    <row s="1660" customFormat="1" customHeight="1" ht="18.75">
      <c r="A29" s="1848"/>
      <c r="B29" s="1848"/>
      <c r="C29" s="1712" t="s">
        <v>1080</v>
      </c>
      <c r="D29" s="332"/>
      <c r="E29" s="1026"/>
      <c r="F29" s="1026"/>
      <c r="G29" s="2248"/>
      <c r="H29" s="5532"/>
      <c r="I29" s="5533" t="s">
        <v>1081</v>
      </c>
      <c r="J29" s="5534"/>
      <c r="K29" s="5535"/>
      <c r="L29" s="5536"/>
      <c r="M29" s="1900"/>
      <c r="N29" s="614"/>
      <c r="O29" s="1649"/>
      <c r="P29" s="1649"/>
      <c r="Q29" s="1660"/>
      <c r="R29" s="1660"/>
      <c r="S29" s="1660"/>
      <c r="T29" s="1660"/>
      <c r="U29" s="1660"/>
      <c r="V29" s="1660"/>
      <c r="W29" s="1660"/>
      <c r="X29" s="1660"/>
      <c r="Y29" s="1660"/>
      <c r="Z29" s="1660"/>
      <c r="AA29" s="1660"/>
      <c r="AB29" s="1660"/>
      <c r="AC29" s="1660"/>
      <c r="AD29" s="1660"/>
      <c r="AE29" s="1660"/>
      <c r="AF29" s="1660"/>
      <c r="AG29" s="1660"/>
    </row>
    <row s="1660" customFormat="1" customHeight="1" ht="18.75">
      <c r="A30" s="1848" t="s">
        <v>155</v>
      </c>
      <c r="B30" s="1848" t="s">
        <v>175</v>
      </c>
      <c r="C30" s="1712"/>
      <c r="D30" s="332"/>
      <c r="E30" s="1026"/>
      <c r="F30" s="1026"/>
      <c r="G30" s="2248" t="str">
        <f>INDEX(PT_DIFFERENTIATION_NTAR,MATCH(B30,PT_DIFFERENTIATION_NTAR_ID,0))</f>
        <v>Льготные тарифы на тепловую энергию, поставляемую ПАО "ТГК-1" потребителям, расположенным на территории Санкт-Петербурга</v>
      </c>
      <c r="H30" s="2066"/>
      <c r="I30" s="1763"/>
      <c r="J30" s="1798"/>
      <c r="K30" s="1890"/>
      <c r="L30" s="2066" t="s">
        <v>318</v>
      </c>
      <c r="M30" s="1900"/>
      <c r="N30" s="614"/>
      <c r="O30" s="1649"/>
      <c r="P30" s="1649"/>
      <c r="Q30" s="1660"/>
      <c r="R30" s="1660"/>
      <c r="S30" s="1660"/>
      <c r="T30" s="1660"/>
      <c r="U30" s="1660"/>
      <c r="V30" s="1660"/>
      <c r="W30" s="1660"/>
      <c r="X30" s="1660"/>
      <c r="Y30" s="1660"/>
      <c r="Z30" s="1660"/>
      <c r="AA30" s="1660"/>
      <c r="AB30" s="1660"/>
      <c r="AC30" s="1660"/>
      <c r="AD30" s="1660"/>
      <c r="AE30" s="1660"/>
      <c r="AF30" s="1660"/>
      <c r="AG30" s="1660"/>
    </row>
    <row s="1660" customFormat="1" customHeight="1" ht="18.75">
      <c r="A31" s="1848"/>
      <c r="B31" s="1848"/>
      <c r="C31" s="1712" t="s">
        <v>1080</v>
      </c>
      <c r="D31" s="332"/>
      <c r="E31" s="1026"/>
      <c r="F31" s="1026"/>
      <c r="G31" s="2248"/>
      <c r="H31" s="5537"/>
      <c r="I31" s="5538" t="s">
        <v>1081</v>
      </c>
      <c r="J31" s="5539"/>
      <c r="K31" s="5540"/>
      <c r="L31" s="5541"/>
      <c r="M31" s="1900"/>
      <c r="N31" s="614"/>
      <c r="O31" s="1649"/>
      <c r="P31" s="1649"/>
      <c r="Q31" s="1660"/>
      <c r="R31" s="1660"/>
      <c r="S31" s="1660"/>
      <c r="T31" s="1660"/>
      <c r="U31" s="1660"/>
      <c r="V31" s="1660"/>
      <c r="W31" s="1660"/>
      <c r="X31" s="1660"/>
      <c r="Y31" s="1660"/>
      <c r="Z31" s="1660"/>
      <c r="AA31" s="1660"/>
      <c r="AB31" s="1660"/>
      <c r="AC31" s="1660"/>
      <c r="AD31" s="1660"/>
      <c r="AE31" s="1660"/>
      <c r="AF31" s="1660"/>
      <c r="AG31" s="1660"/>
    </row>
    <row customHeight="1" ht="0.75" hidden="1">
      <c r="A32" s="1805"/>
      <c r="B32" s="1805"/>
      <c r="C32" s="361" t="s">
        <v>1086</v>
      </c>
      <c r="D32" s="2288"/>
      <c r="E32" s="2038"/>
      <c r="F32" s="2202"/>
      <c r="G32" s="397"/>
      <c r="H32" s="1517"/>
      <c r="I32" s="392"/>
      <c r="J32" s="337"/>
      <c r="K32" s="1517"/>
      <c r="L32" s="180"/>
      <c r="M32" s="1998"/>
      <c r="N32" s="322"/>
    </row>
    <row s="1660" customFormat="1" customHeight="1" ht="45" hidden="1">
      <c r="A33" s="1805" t="s">
        <v>181</v>
      </c>
      <c r="B33" s="1805" t="s">
        <v>182</v>
      </c>
      <c r="C33" s="361"/>
      <c r="D33" s="2293"/>
      <c r="E33" s="2294"/>
      <c r="F33" s="2295" t="str">
        <f>INDEX(PT_DIFFERENTIATION_VTAR,MATCH(A33,PT_DIFFERENTIATION_VTAR_ID,0))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33" s="2248" t="str">
        <f>INDEX(PT_DIFFERENTIATION_NTAR,MATCH(B33,PT_DIFFERENTIATION_NTAR_ID,0))</f>
        <v/>
      </c>
      <c r="H33" s="1887"/>
      <c r="I33" s="1763"/>
      <c r="J33" s="1798"/>
      <c r="K33" s="1890"/>
      <c r="L33" s="1887" t="s">
        <v>318</v>
      </c>
      <c r="M33" s="1998"/>
      <c r="N33" s="322"/>
      <c r="O33" s="1649"/>
      <c r="P33" s="1649"/>
    </row>
    <row s="1660" customFormat="1" customHeight="1" ht="18.75" hidden="1">
      <c r="A34" s="1805"/>
      <c r="B34" s="1805"/>
      <c r="C34" s="361" t="s">
        <v>1080</v>
      </c>
      <c r="D34" s="2293"/>
      <c r="E34" s="2294"/>
      <c r="F34" s="2295"/>
      <c r="G34" s="2248"/>
      <c r="H34" s="1517"/>
      <c r="I34" s="646" t="s">
        <v>1081</v>
      </c>
      <c r="J34" s="567"/>
      <c r="K34" s="1517"/>
      <c r="L34" s="193"/>
      <c r="M34" s="1998"/>
      <c r="N34" s="322"/>
      <c r="O34" s="1649"/>
      <c r="P34" s="1649"/>
    </row>
    <row s="1660" customFormat="1" customHeight="1" ht="0.75" hidden="1">
      <c r="A35" s="1805"/>
      <c r="B35" s="1805"/>
      <c r="C35" s="361" t="s">
        <v>1086</v>
      </c>
      <c r="D35" s="2293"/>
      <c r="E35" s="2038"/>
      <c r="F35" s="2202"/>
      <c r="G35" s="397"/>
      <c r="H35" s="1517"/>
      <c r="I35" s="646"/>
      <c r="J35" s="567"/>
      <c r="K35" s="1517"/>
      <c r="L35" s="193"/>
      <c r="M35" s="1998"/>
      <c r="N35" s="322"/>
      <c r="O35" s="1649"/>
      <c r="P35" s="1649"/>
    </row>
    <row s="1660" customFormat="1" customHeight="1" ht="45" hidden="1">
      <c r="A36" s="1805" t="s">
        <v>189</v>
      </c>
      <c r="B36" s="1805" t="s">
        <v>190</v>
      </c>
      <c r="C36" s="361"/>
      <c r="D36" s="2293"/>
      <c r="E36" s="2038"/>
      <c r="F36" s="2202" t="str">
        <f>INDEX(PT_DIFFERENTIATION_VTAR,MATCH(A36,PT_DIFFERENTIATION_VTAR_ID,0))</f>
        <v>Тарифы на теплоноситель, поставляемый теплоснабжающими организациями потребителям, другим теплоснабжающим организациям</v>
      </c>
      <c r="G36" s="2248" t="str">
        <f>INDEX(PT_DIFFERENTIATION_NTAR,MATCH(B36,PT_DIFFERENTIATION_NTAR_ID,0))</f>
        <v>Тариф на теплоноситель, поставляемый ПАО "ТГК-1" потребителям, расположенным на территории Санкт-Петербурга</v>
      </c>
      <c r="H36" s="1887"/>
      <c r="I36" s="1763"/>
      <c r="J36" s="1798"/>
      <c r="K36" s="1890"/>
      <c r="L36" s="1887" t="s">
        <v>318</v>
      </c>
      <c r="M36" s="1998"/>
      <c r="N36" s="322"/>
      <c r="O36" s="1649"/>
      <c r="P36" s="1649"/>
    </row>
    <row s="1660" customFormat="1" customHeight="1" ht="18.75" hidden="1">
      <c r="A37" s="1805"/>
      <c r="B37" s="1805"/>
      <c r="C37" s="361" t="s">
        <v>1080</v>
      </c>
      <c r="D37" s="2293"/>
      <c r="E37" s="2038"/>
      <c r="F37" s="2202"/>
      <c r="G37" s="2248"/>
      <c r="H37" s="1517"/>
      <c r="I37" s="646" t="s">
        <v>1081</v>
      </c>
      <c r="J37" s="567"/>
      <c r="K37" s="1517"/>
      <c r="L37" s="193"/>
      <c r="M37" s="1998"/>
      <c r="N37" s="322"/>
      <c r="O37" s="1649"/>
      <c r="P37" s="1649"/>
    </row>
    <row s="1660" customFormat="1" customHeight="1" ht="0.75" hidden="1">
      <c r="A38" s="1805"/>
      <c r="B38" s="1805"/>
      <c r="C38" s="361" t="s">
        <v>1086</v>
      </c>
      <c r="D38" s="2293"/>
      <c r="E38" s="2038"/>
      <c r="F38" s="2202"/>
      <c r="G38" s="397"/>
      <c r="H38" s="1517"/>
      <c r="I38" s="646"/>
      <c r="J38" s="567"/>
      <c r="K38" s="1517"/>
      <c r="L38" s="193"/>
      <c r="M38" s="1998"/>
      <c r="N38" s="322"/>
      <c r="O38" s="1649"/>
      <c r="P38" s="1649"/>
    </row>
    <row s="1660" customFormat="1" customHeight="1" ht="45" hidden="1">
      <c r="A39" s="1805" t="s">
        <v>197</v>
      </c>
      <c r="B39" s="1805" t="s">
        <v>198</v>
      </c>
      <c r="C39" s="361"/>
      <c r="D39" s="2293"/>
      <c r="E39" s="2038"/>
      <c r="F39" s="2202" t="str">
        <f>INDEX(PT_DIFFERENTIATION_VTAR,MATCH(A39,PT_DIFFERENTIATION_VTAR_ID,0))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9" s="2248" t="str">
        <f>INDEX(PT_DIFFERENTIATION_NTAR,MATCH(B39,PT_DIFFERENTIATION_NTAR_ID,0))</f>
        <v>Тариф на горячую воду (горячее водоснабжение), поставляемую ПАО "ТГК-1" в открытых системах теплоснабжения потребителям, расположенным на территории Санкт-Петербурга</v>
      </c>
      <c r="H39" s="1887"/>
      <c r="I39" s="1763"/>
      <c r="J39" s="1798"/>
      <c r="K39" s="1890"/>
      <c r="L39" s="1887" t="s">
        <v>318</v>
      </c>
      <c r="M39" s="1998"/>
      <c r="N39" s="322"/>
      <c r="O39" s="1649"/>
      <c r="P39" s="1649"/>
    </row>
    <row s="1660" customFormat="1" customHeight="1" ht="18.75" hidden="1">
      <c r="A40" s="1805"/>
      <c r="B40" s="1805"/>
      <c r="C40" s="361" t="s">
        <v>1080</v>
      </c>
      <c r="D40" s="2293"/>
      <c r="E40" s="2038"/>
      <c r="F40" s="2202"/>
      <c r="G40" s="2248"/>
      <c r="H40" s="1517"/>
      <c r="I40" s="646" t="s">
        <v>1081</v>
      </c>
      <c r="J40" s="567"/>
      <c r="K40" s="1517"/>
      <c r="L40" s="193"/>
      <c r="M40" s="1998"/>
      <c r="N40" s="322"/>
      <c r="O40" s="1649"/>
      <c r="P40" s="1649"/>
    </row>
    <row s="1660" customFormat="1" customHeight="1" ht="0.75" hidden="1">
      <c r="A41" s="1805"/>
      <c r="B41" s="1805"/>
      <c r="C41" s="361" t="s">
        <v>1086</v>
      </c>
      <c r="D41" s="2293"/>
      <c r="E41" s="2038"/>
      <c r="F41" s="2202"/>
      <c r="G41" s="397"/>
      <c r="H41" s="1517"/>
      <c r="I41" s="646"/>
      <c r="J41" s="567"/>
      <c r="K41" s="1517"/>
      <c r="L41" s="193"/>
      <c r="M41" s="1998"/>
      <c r="N41" s="322"/>
      <c r="O41" s="1649"/>
      <c r="P41" s="1649"/>
    </row>
    <row s="1660" customFormat="1" customHeight="1" ht="18.75" hidden="1">
      <c r="A42" s="1805" t="s">
        <v>203</v>
      </c>
      <c r="B42" s="1805" t="s">
        <v>204</v>
      </c>
      <c r="C42" s="361"/>
      <c r="D42" s="2293"/>
      <c r="E42" s="2038"/>
      <c r="F42" s="2202" t="str">
        <f>INDEX(PT_DIFFERENTIATION_VTAR,MATCH(A42,PT_DIFFERENTIATION_VTAR_ID,0))</f>
        <v>Тарифы на услуги по передаче тепловой энергии</v>
      </c>
      <c r="G42" s="2248" t="str">
        <f>INDEX(PT_DIFFERENTIATION_NTAR,MATCH(B42,PT_DIFFERENTIATION_NTAR_ID,0))</f>
        <v/>
      </c>
      <c r="H42" s="1887"/>
      <c r="I42" s="1763"/>
      <c r="J42" s="1798"/>
      <c r="K42" s="1890"/>
      <c r="L42" s="1887" t="s">
        <v>318</v>
      </c>
      <c r="M42" s="1998"/>
      <c r="N42" s="322"/>
      <c r="O42" s="1649"/>
      <c r="P42" s="1649"/>
    </row>
    <row s="1660" customFormat="1" customHeight="1" ht="18.75" hidden="1">
      <c r="A43" s="1805"/>
      <c r="B43" s="1805"/>
      <c r="C43" s="361" t="s">
        <v>1080</v>
      </c>
      <c r="D43" s="2293"/>
      <c r="E43" s="2038"/>
      <c r="F43" s="2202"/>
      <c r="G43" s="2248"/>
      <c r="H43" s="1517"/>
      <c r="I43" s="646" t="s">
        <v>1081</v>
      </c>
      <c r="J43" s="567"/>
      <c r="K43" s="1517"/>
      <c r="L43" s="193"/>
      <c r="M43" s="1998"/>
      <c r="N43" s="322"/>
      <c r="O43" s="1649"/>
      <c r="P43" s="1649"/>
    </row>
    <row s="1660" customFormat="1" customHeight="1" ht="0.75" hidden="1">
      <c r="A44" s="1805"/>
      <c r="B44" s="1805"/>
      <c r="C44" s="361" t="s">
        <v>1086</v>
      </c>
      <c r="D44" s="2293"/>
      <c r="E44" s="2038"/>
      <c r="F44" s="2202"/>
      <c r="G44" s="397"/>
      <c r="H44" s="1517"/>
      <c r="I44" s="646"/>
      <c r="J44" s="567"/>
      <c r="K44" s="1517"/>
      <c r="L44" s="193"/>
      <c r="M44" s="1998"/>
      <c r="N44" s="322"/>
      <c r="O44" s="1649"/>
      <c r="P44" s="1649"/>
    </row>
    <row s="1660" customFormat="1" customHeight="1" ht="18.75" hidden="1">
      <c r="A45" s="1805" t="s">
        <v>209</v>
      </c>
      <c r="B45" s="1805" t="s">
        <v>210</v>
      </c>
      <c r="C45" s="361"/>
      <c r="D45" s="2293"/>
      <c r="E45" s="2038"/>
      <c r="F45" s="2202" t="str">
        <f>INDEX(PT_DIFFERENTIATION_VTAR,MATCH(A45,PT_DIFFERENTIATION_VTAR_ID,0))</f>
        <v>Тарифы на услуги по передаче теплоносителя</v>
      </c>
      <c r="G45" s="2248" t="str">
        <f>INDEX(PT_DIFFERENTIATION_NTAR,MATCH(B45,PT_DIFFERENTIATION_NTAR_ID,0))</f>
        <v/>
      </c>
      <c r="H45" s="1887"/>
      <c r="I45" s="1763"/>
      <c r="J45" s="1798"/>
      <c r="K45" s="1890"/>
      <c r="L45" s="1887" t="s">
        <v>318</v>
      </c>
      <c r="M45" s="1998"/>
      <c r="N45" s="322"/>
      <c r="O45" s="1649"/>
      <c r="P45" s="1649"/>
    </row>
    <row s="1660" customFormat="1" customHeight="1" ht="18.75" hidden="1">
      <c r="A46" s="1805"/>
      <c r="B46" s="1805"/>
      <c r="C46" s="361" t="s">
        <v>1080</v>
      </c>
      <c r="D46" s="2293"/>
      <c r="E46" s="2038"/>
      <c r="F46" s="2202"/>
      <c r="G46" s="2248"/>
      <c r="H46" s="1517"/>
      <c r="I46" s="646" t="s">
        <v>1081</v>
      </c>
      <c r="J46" s="567"/>
      <c r="K46" s="1517"/>
      <c r="L46" s="193"/>
      <c r="M46" s="1998"/>
      <c r="N46" s="322"/>
      <c r="O46" s="1649"/>
      <c r="P46" s="1649"/>
    </row>
    <row s="1660" customFormat="1" customHeight="1" ht="0.75" hidden="1">
      <c r="A47" s="1805"/>
      <c r="B47" s="1805"/>
      <c r="C47" s="361" t="s">
        <v>1086</v>
      </c>
      <c r="D47" s="2293"/>
      <c r="E47" s="2038"/>
      <c r="F47" s="2202"/>
      <c r="G47" s="397"/>
      <c r="H47" s="1517"/>
      <c r="I47" s="646"/>
      <c r="J47" s="567"/>
      <c r="K47" s="1517"/>
      <c r="L47" s="193"/>
      <c r="M47" s="1998"/>
      <c r="N47" s="322"/>
      <c r="O47" s="1649"/>
      <c r="P47" s="1649"/>
    </row>
    <row s="1660" customFormat="1" customHeight="1" ht="18.75" hidden="1">
      <c r="A48" s="1805" t="s">
        <v>217</v>
      </c>
      <c r="B48" s="1805" t="s">
        <v>218</v>
      </c>
      <c r="C48" s="361"/>
      <c r="D48" s="2293"/>
      <c r="E48" s="2038"/>
      <c r="F48" s="2202" t="str">
        <f>INDEX(PT_DIFFERENTIATION_VTAR,MATCH(A48,PT_DIFFERENTIATION_VTAR_ID,0))</f>
        <v>Плата за услуги по поддержанию резервной тепловой мощности при отсутствии потребления тепловой энергии</v>
      </c>
      <c r="G48" s="2248" t="str">
        <f>INDEX(PT_DIFFERENTIATION_NTAR,MATCH(B48,PT_DIFFERENTIATION_NTAR_ID,0))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H48" s="1887"/>
      <c r="I48" s="1763"/>
      <c r="J48" s="1798"/>
      <c r="K48" s="1890"/>
      <c r="L48" s="1887" t="s">
        <v>318</v>
      </c>
      <c r="M48" s="1998"/>
      <c r="N48" s="322"/>
      <c r="O48" s="1649"/>
      <c r="P48" s="1649"/>
    </row>
    <row s="1660" customFormat="1" customHeight="1" ht="18.75" hidden="1">
      <c r="A49" s="1805"/>
      <c r="B49" s="1805"/>
      <c r="C49" s="361" t="s">
        <v>1080</v>
      </c>
      <c r="D49" s="2293"/>
      <c r="E49" s="2038"/>
      <c r="F49" s="2202"/>
      <c r="G49" s="2248"/>
      <c r="H49" s="1517"/>
      <c r="I49" s="646" t="s">
        <v>1081</v>
      </c>
      <c r="J49" s="567"/>
      <c r="K49" s="1517"/>
      <c r="L49" s="193"/>
      <c r="M49" s="1998"/>
      <c r="N49" s="322"/>
      <c r="O49" s="1649"/>
      <c r="P49" s="1649"/>
    </row>
    <row s="1660" customFormat="1" customHeight="1" ht="0.75" hidden="1">
      <c r="A50" s="1805"/>
      <c r="B50" s="1805"/>
      <c r="C50" s="361" t="s">
        <v>1086</v>
      </c>
      <c r="D50" s="2293"/>
      <c r="E50" s="2038"/>
      <c r="F50" s="2202"/>
      <c r="G50" s="397"/>
      <c r="H50" s="1517"/>
      <c r="I50" s="646"/>
      <c r="J50" s="567"/>
      <c r="K50" s="1517"/>
      <c r="L50" s="193"/>
      <c r="M50" s="1998"/>
      <c r="N50" s="322"/>
      <c r="O50" s="1649"/>
      <c r="P50" s="1649"/>
    </row>
    <row s="1660" customFormat="1" customHeight="1" ht="18.75" hidden="1">
      <c r="A51" s="1805" t="s">
        <v>223</v>
      </c>
      <c r="B51" s="1805" t="s">
        <v>224</v>
      </c>
      <c r="C51" s="361"/>
      <c r="D51" s="2293"/>
      <c r="E51" s="2038"/>
      <c r="F51" s="2202" t="str">
        <f>INDEX(PT_DIFFERENTIATION_VTAR,MATCH(A51,PT_DIFFERENTIATION_VTAR_ID,0))</f>
        <v>Плата за подключение (технологическое присоединение) к системе теплоснабжения</v>
      </c>
      <c r="G51" s="2248" t="str">
        <f>INDEX(PT_DIFFERENTIATION_NTAR,MATCH(B51,PT_DIFFERENTIATION_NTAR_ID,0))</f>
        <v/>
      </c>
      <c r="H51" s="1887"/>
      <c r="I51" s="1763"/>
      <c r="J51" s="1798"/>
      <c r="K51" s="1890"/>
      <c r="L51" s="1887" t="s">
        <v>318</v>
      </c>
      <c r="M51" s="1998"/>
      <c r="N51" s="322"/>
      <c r="O51" s="1649"/>
      <c r="P51" s="1649"/>
    </row>
    <row s="1660" customFormat="1" customHeight="1" ht="18.75" hidden="1">
      <c r="A52" s="1805"/>
      <c r="B52" s="1805"/>
      <c r="C52" s="361" t="s">
        <v>1080</v>
      </c>
      <c r="D52" s="2293"/>
      <c r="E52" s="2038"/>
      <c r="F52" s="2202"/>
      <c r="G52" s="2248"/>
      <c r="H52" s="1517"/>
      <c r="I52" s="646" t="s">
        <v>1081</v>
      </c>
      <c r="J52" s="567"/>
      <c r="K52" s="1517"/>
      <c r="L52" s="193"/>
      <c r="M52" s="1998"/>
      <c r="N52" s="322"/>
      <c r="O52" s="1649"/>
      <c r="P52" s="1649"/>
    </row>
    <row s="1660" customFormat="1" customHeight="1" ht="0.75" hidden="1">
      <c r="A53" s="1805"/>
      <c r="B53" s="1805"/>
      <c r="C53" s="361" t="s">
        <v>1086</v>
      </c>
      <c r="D53" s="2293"/>
      <c r="E53" s="2038"/>
      <c r="F53" s="2202"/>
      <c r="G53" s="397"/>
      <c r="H53" s="1517"/>
      <c r="I53" s="646"/>
      <c r="J53" s="567"/>
      <c r="K53" s="1517"/>
      <c r="L53" s="193"/>
      <c r="M53" s="1998"/>
      <c r="N53" s="322"/>
      <c r="O53" s="1649"/>
      <c r="P53" s="1649"/>
    </row>
    <row s="1660" customFormat="1" customHeight="1" ht="18.75" hidden="1">
      <c r="A54" s="1805" t="s">
        <v>237</v>
      </c>
      <c r="B54" s="1805" t="s">
        <v>238</v>
      </c>
      <c r="C54" s="361"/>
      <c r="D54" s="2293"/>
      <c r="E54" s="2038"/>
      <c r="F54" s="2202" t="str">
        <f>INDEX(PT_DIFFERENTIATION_VTAR,MATCH(A54,PT_DIFFERENTIATION_VTAR_ID,0))</f>
        <v>Тариф на питьевую воду (питьевое водоснабжение)</v>
      </c>
      <c r="G54" s="2248" t="str">
        <f>INDEX(PT_DIFFERENTIATION_NTAR,MATCH(B54,PT_DIFFERENTIATION_NTAR_ID,0))</f>
        <v/>
      </c>
      <c r="H54" s="1887"/>
      <c r="I54" s="1763"/>
      <c r="J54" s="1798"/>
      <c r="K54" s="1890"/>
      <c r="L54" s="1887" t="s">
        <v>318</v>
      </c>
      <c r="M54" s="1998"/>
      <c r="N54" s="322"/>
      <c r="O54" s="1649"/>
      <c r="P54" s="1649"/>
    </row>
    <row s="1660" customFormat="1" customHeight="1" ht="18.75" hidden="1">
      <c r="A55" s="1805"/>
      <c r="B55" s="1805"/>
      <c r="C55" s="361" t="s">
        <v>1080</v>
      </c>
      <c r="D55" s="2293"/>
      <c r="E55" s="2038"/>
      <c r="F55" s="2202"/>
      <c r="G55" s="2248"/>
      <c r="H55" s="1517"/>
      <c r="I55" s="646" t="s">
        <v>1081</v>
      </c>
      <c r="J55" s="567"/>
      <c r="K55" s="1517"/>
      <c r="L55" s="193"/>
      <c r="M55" s="1998"/>
      <c r="N55" s="322"/>
      <c r="O55" s="1649"/>
      <c r="P55" s="1649"/>
    </row>
    <row s="1660" customFormat="1" customHeight="1" ht="0.75" hidden="1">
      <c r="A56" s="1805"/>
      <c r="B56" s="1805"/>
      <c r="C56" s="361" t="s">
        <v>1086</v>
      </c>
      <c r="D56" s="2293"/>
      <c r="E56" s="2038"/>
      <c r="F56" s="2202"/>
      <c r="G56" s="397"/>
      <c r="H56" s="1517"/>
      <c r="I56" s="646"/>
      <c r="J56" s="567"/>
      <c r="K56" s="1517"/>
      <c r="L56" s="193"/>
      <c r="M56" s="1998"/>
      <c r="N56" s="322"/>
      <c r="O56" s="1649"/>
      <c r="P56" s="1649"/>
    </row>
    <row s="1660" customFormat="1" customHeight="1" ht="18.75" hidden="1">
      <c r="A57" s="1805" t="s">
        <v>242</v>
      </c>
      <c r="B57" s="1805" t="s">
        <v>243</v>
      </c>
      <c r="C57" s="361"/>
      <c r="D57" s="2293"/>
      <c r="E57" s="2038"/>
      <c r="F57" s="2202" t="str">
        <f>INDEX(PT_DIFFERENTIATION_VTAR,MATCH(A57,PT_DIFFERENTIATION_VTAR_ID,0))</f>
        <v>Тариф на техническую воду</v>
      </c>
      <c r="G57" s="2248" t="str">
        <f>INDEX(PT_DIFFERENTIATION_NTAR,MATCH(B57,PT_DIFFERENTIATION_NTAR_ID,0))</f>
        <v/>
      </c>
      <c r="H57" s="1887"/>
      <c r="I57" s="1763"/>
      <c r="J57" s="1798"/>
      <c r="K57" s="1890"/>
      <c r="L57" s="1887" t="s">
        <v>318</v>
      </c>
      <c r="M57" s="1998"/>
      <c r="N57" s="322"/>
      <c r="O57" s="1649"/>
      <c r="P57" s="1649"/>
    </row>
    <row s="1660" customFormat="1" customHeight="1" ht="18.75" hidden="1">
      <c r="A58" s="1805"/>
      <c r="B58" s="1805"/>
      <c r="C58" s="361" t="s">
        <v>1080</v>
      </c>
      <c r="D58" s="2293"/>
      <c r="E58" s="2038"/>
      <c r="F58" s="2202"/>
      <c r="G58" s="2248"/>
      <c r="H58" s="1517"/>
      <c r="I58" s="646" t="s">
        <v>1081</v>
      </c>
      <c r="J58" s="567"/>
      <c r="K58" s="1517"/>
      <c r="L58" s="193"/>
      <c r="M58" s="1998"/>
      <c r="N58" s="322"/>
      <c r="O58" s="1649"/>
      <c r="P58" s="1649"/>
    </row>
    <row s="1660" customFormat="1" customHeight="1" ht="0.75" hidden="1">
      <c r="A59" s="1805"/>
      <c r="B59" s="1805"/>
      <c r="C59" s="361" t="s">
        <v>1086</v>
      </c>
      <c r="D59" s="2293"/>
      <c r="E59" s="2038"/>
      <c r="F59" s="2202"/>
      <c r="G59" s="397"/>
      <c r="H59" s="1517"/>
      <c r="I59" s="646"/>
      <c r="J59" s="567"/>
      <c r="K59" s="1517"/>
      <c r="L59" s="193"/>
      <c r="M59" s="1998"/>
      <c r="N59" s="322"/>
      <c r="O59" s="1649"/>
      <c r="P59" s="1649"/>
    </row>
    <row s="1660" customFormat="1" customHeight="1" ht="18.75" hidden="1">
      <c r="A60" s="1805" t="s">
        <v>247</v>
      </c>
      <c r="B60" s="1805" t="s">
        <v>248</v>
      </c>
      <c r="C60" s="361"/>
      <c r="D60" s="2293"/>
      <c r="E60" s="2038"/>
      <c r="F60" s="2202" t="str">
        <f>INDEX(PT_DIFFERENTIATION_VTAR,MATCH(A60,PT_DIFFERENTIATION_VTAR_ID,0))</f>
        <v>Тариф на транспортировку воды</v>
      </c>
      <c r="G60" s="2248" t="str">
        <f>INDEX(PT_DIFFERENTIATION_NTAR,MATCH(B60,PT_DIFFERENTIATION_NTAR_ID,0))</f>
        <v/>
      </c>
      <c r="H60" s="1887"/>
      <c r="I60" s="1763"/>
      <c r="J60" s="1798"/>
      <c r="K60" s="1890"/>
      <c r="L60" s="1887" t="s">
        <v>318</v>
      </c>
      <c r="M60" s="1998"/>
      <c r="N60" s="322"/>
      <c r="O60" s="1649"/>
      <c r="P60" s="1649"/>
    </row>
    <row s="1660" customFormat="1" customHeight="1" ht="18.75" hidden="1">
      <c r="A61" s="1805"/>
      <c r="B61" s="1805"/>
      <c r="C61" s="361" t="s">
        <v>1080</v>
      </c>
      <c r="D61" s="2293"/>
      <c r="E61" s="2038"/>
      <c r="F61" s="2202"/>
      <c r="G61" s="2248"/>
      <c r="H61" s="1517"/>
      <c r="I61" s="646" t="s">
        <v>1081</v>
      </c>
      <c r="J61" s="567"/>
      <c r="K61" s="1517"/>
      <c r="L61" s="193"/>
      <c r="M61" s="1998"/>
      <c r="N61" s="322"/>
      <c r="O61" s="1649"/>
      <c r="P61" s="1649"/>
    </row>
    <row s="1660" customFormat="1" customHeight="1" ht="0.75" hidden="1">
      <c r="A62" s="1805"/>
      <c r="B62" s="1805"/>
      <c r="C62" s="361" t="s">
        <v>1086</v>
      </c>
      <c r="D62" s="2293"/>
      <c r="E62" s="2038"/>
      <c r="F62" s="2202"/>
      <c r="G62" s="397"/>
      <c r="H62" s="1517"/>
      <c r="I62" s="646"/>
      <c r="J62" s="567"/>
      <c r="K62" s="1517"/>
      <c r="L62" s="193"/>
      <c r="M62" s="1998"/>
      <c r="N62" s="322"/>
      <c r="O62" s="1649"/>
      <c r="P62" s="1649"/>
    </row>
    <row s="1660" customFormat="1" customHeight="1" ht="18.75" hidden="1">
      <c r="A63" s="1805" t="s">
        <v>252</v>
      </c>
      <c r="B63" s="1805" t="s">
        <v>253</v>
      </c>
      <c r="C63" s="361"/>
      <c r="D63" s="2293"/>
      <c r="E63" s="2038"/>
      <c r="F63" s="2202" t="str">
        <f>INDEX(PT_DIFFERENTIATION_VTAR,MATCH(A63,PT_DIFFERENTIATION_VTAR_ID,0))</f>
        <v>Тариф на подвоз воды</v>
      </c>
      <c r="G63" s="2248" t="str">
        <f>INDEX(PT_DIFFERENTIATION_NTAR,MATCH(B63,PT_DIFFERENTIATION_NTAR_ID,0))</f>
        <v/>
      </c>
      <c r="H63" s="1887"/>
      <c r="I63" s="1763"/>
      <c r="J63" s="1798"/>
      <c r="K63" s="1890"/>
      <c r="L63" s="1887" t="s">
        <v>318</v>
      </c>
      <c r="M63" s="1998"/>
      <c r="N63" s="322"/>
      <c r="O63" s="1649"/>
      <c r="P63" s="1649"/>
    </row>
    <row s="1660" customFormat="1" customHeight="1" ht="18.75" hidden="1">
      <c r="A64" s="1805"/>
      <c r="B64" s="1805"/>
      <c r="C64" s="361" t="s">
        <v>1080</v>
      </c>
      <c r="D64" s="2293"/>
      <c r="E64" s="2038"/>
      <c r="F64" s="2202"/>
      <c r="G64" s="2248"/>
      <c r="H64" s="1517"/>
      <c r="I64" s="646" t="s">
        <v>1081</v>
      </c>
      <c r="J64" s="567"/>
      <c r="K64" s="1517"/>
      <c r="L64" s="193"/>
      <c r="M64" s="1998"/>
      <c r="N64" s="322"/>
      <c r="O64" s="1649"/>
      <c r="P64" s="1649"/>
    </row>
    <row s="1660" customFormat="1" customHeight="1" ht="0.75" hidden="1">
      <c r="A65" s="1805"/>
      <c r="B65" s="1805"/>
      <c r="C65" s="361" t="s">
        <v>1086</v>
      </c>
      <c r="D65" s="2293"/>
      <c r="E65" s="2038"/>
      <c r="F65" s="2202"/>
      <c r="G65" s="397"/>
      <c r="H65" s="1517"/>
      <c r="I65" s="646"/>
      <c r="J65" s="567"/>
      <c r="K65" s="1517"/>
      <c r="L65" s="193"/>
      <c r="M65" s="1998"/>
      <c r="N65" s="322"/>
      <c r="O65" s="1649"/>
      <c r="P65" s="1649"/>
    </row>
    <row s="1660" customFormat="1" customHeight="1" ht="18.75" hidden="1">
      <c r="A66" s="1805" t="s">
        <v>257</v>
      </c>
      <c r="B66" s="1805" t="s">
        <v>258</v>
      </c>
      <c r="C66" s="361"/>
      <c r="D66" s="2293"/>
      <c r="E66" s="2038"/>
      <c r="F66" s="2202" t="str">
        <f>INDEX(PT_DIFFERENTIATION_VTAR,MATCH(A66,PT_DIFFERENTIATION_VTAR_ID,0))</f>
        <v>Тариф на подключение (технологическое присоединение) к централизованной системе холодного водоснабжения</v>
      </c>
      <c r="G66" s="2248" t="str">
        <f>INDEX(PT_DIFFERENTIATION_NTAR,MATCH(B66,PT_DIFFERENTIATION_NTAR_ID,0))</f>
        <v/>
      </c>
      <c r="H66" s="1887"/>
      <c r="I66" s="1763"/>
      <c r="J66" s="1798"/>
      <c r="K66" s="1890"/>
      <c r="L66" s="1887" t="s">
        <v>318</v>
      </c>
      <c r="M66" s="1998"/>
      <c r="N66" s="322"/>
      <c r="O66" s="1649"/>
      <c r="P66" s="1649"/>
    </row>
    <row s="1660" customFormat="1" customHeight="1" ht="18.75" hidden="1">
      <c r="A67" s="1805"/>
      <c r="B67" s="1805"/>
      <c r="C67" s="361" t="s">
        <v>1080</v>
      </c>
      <c r="D67" s="2293"/>
      <c r="E67" s="2038"/>
      <c r="F67" s="2202"/>
      <c r="G67" s="2248"/>
      <c r="H67" s="1517"/>
      <c r="I67" s="646" t="s">
        <v>1081</v>
      </c>
      <c r="J67" s="567"/>
      <c r="K67" s="1517"/>
      <c r="L67" s="193"/>
      <c r="M67" s="1998"/>
      <c r="N67" s="322"/>
      <c r="O67" s="1649"/>
      <c r="P67" s="1649"/>
    </row>
    <row s="1660" customFormat="1" customHeight="1" ht="0.75" hidden="1">
      <c r="A68" s="1805"/>
      <c r="B68" s="1805"/>
      <c r="C68" s="361" t="s">
        <v>1086</v>
      </c>
      <c r="D68" s="2293"/>
      <c r="E68" s="2038"/>
      <c r="F68" s="2202"/>
      <c r="G68" s="397"/>
      <c r="H68" s="1517"/>
      <c r="I68" s="646"/>
      <c r="J68" s="567"/>
      <c r="K68" s="1517"/>
      <c r="L68" s="193"/>
      <c r="M68" s="1998"/>
      <c r="N68" s="322"/>
      <c r="O68" s="1649"/>
      <c r="P68" s="1649"/>
    </row>
    <row s="1660" customFormat="1" customHeight="1" ht="18.75" hidden="1">
      <c r="A69" s="1805" t="s">
        <v>262</v>
      </c>
      <c r="B69" s="1805" t="s">
        <v>263</v>
      </c>
      <c r="C69" s="361"/>
      <c r="D69" s="2293"/>
      <c r="E69" s="2038"/>
      <c r="F69" s="2202" t="str">
        <f>INDEX(PT_DIFFERENTIATION_VTAR,MATCH(A69,PT_DIFFERENTIATION_VTAR_ID,0))</f>
        <v>Тариф на горячую воду (горячее водоснабжение)</v>
      </c>
      <c r="G69" s="2248" t="str">
        <f>INDEX(PT_DIFFERENTIATION_NTAR,MATCH(B69,PT_DIFFERENTIATION_NTAR_ID,0))</f>
        <v/>
      </c>
      <c r="H69" s="1887"/>
      <c r="I69" s="1763"/>
      <c r="J69" s="1798"/>
      <c r="K69" s="1890"/>
      <c r="L69" s="1887" t="s">
        <v>318</v>
      </c>
      <c r="M69" s="1998"/>
      <c r="N69" s="322"/>
      <c r="O69" s="1649"/>
      <c r="P69" s="1649"/>
    </row>
    <row s="1660" customFormat="1" customHeight="1" ht="18.75" hidden="1">
      <c r="A70" s="1805"/>
      <c r="B70" s="1805"/>
      <c r="C70" s="361" t="s">
        <v>1080</v>
      </c>
      <c r="D70" s="2293"/>
      <c r="E70" s="2038"/>
      <c r="F70" s="2202"/>
      <c r="G70" s="2248"/>
      <c r="H70" s="1517"/>
      <c r="I70" s="646" t="s">
        <v>1081</v>
      </c>
      <c r="J70" s="567"/>
      <c r="K70" s="1517"/>
      <c r="L70" s="193"/>
      <c r="M70" s="1998"/>
      <c r="N70" s="322"/>
      <c r="O70" s="1649"/>
      <c r="P70" s="1649"/>
    </row>
    <row s="1660" customFormat="1" customHeight="1" ht="0.75" hidden="1">
      <c r="A71" s="1805"/>
      <c r="B71" s="1805"/>
      <c r="C71" s="361" t="s">
        <v>1086</v>
      </c>
      <c r="D71" s="2293"/>
      <c r="E71" s="2038"/>
      <c r="F71" s="2202"/>
      <c r="G71" s="397"/>
      <c r="H71" s="1517"/>
      <c r="I71" s="646"/>
      <c r="J71" s="567"/>
      <c r="K71" s="1517"/>
      <c r="L71" s="193"/>
      <c r="M71" s="1998"/>
      <c r="N71" s="322"/>
      <c r="O71" s="1649"/>
      <c r="P71" s="1649"/>
    </row>
    <row s="1660" customFormat="1" customHeight="1" ht="18.75" hidden="1">
      <c r="A72" s="1805" t="s">
        <v>267</v>
      </c>
      <c r="B72" s="1805" t="s">
        <v>268</v>
      </c>
      <c r="C72" s="361"/>
      <c r="D72" s="2293"/>
      <c r="E72" s="2038"/>
      <c r="F72" s="2202" t="str">
        <f>INDEX(PT_DIFFERENTIATION_VTAR,MATCH(A72,PT_DIFFERENTIATION_VTAR_ID,0))</f>
        <v>Тариф на транспортировку горячей воды</v>
      </c>
      <c r="G72" s="2248" t="str">
        <f>INDEX(PT_DIFFERENTIATION_NTAR,MATCH(B72,PT_DIFFERENTIATION_NTAR_ID,0))</f>
        <v/>
      </c>
      <c r="H72" s="1887"/>
      <c r="I72" s="1763"/>
      <c r="J72" s="1798"/>
      <c r="K72" s="1890"/>
      <c r="L72" s="1887" t="s">
        <v>318</v>
      </c>
      <c r="M72" s="1998"/>
      <c r="N72" s="322"/>
      <c r="O72" s="1649"/>
      <c r="P72" s="1649"/>
    </row>
    <row s="1660" customFormat="1" customHeight="1" ht="18.75" hidden="1">
      <c r="A73" s="1805"/>
      <c r="B73" s="1805"/>
      <c r="C73" s="361" t="s">
        <v>1080</v>
      </c>
      <c r="D73" s="2293"/>
      <c r="E73" s="2038"/>
      <c r="F73" s="2202"/>
      <c r="G73" s="2248"/>
      <c r="H73" s="1517"/>
      <c r="I73" s="646" t="s">
        <v>1081</v>
      </c>
      <c r="J73" s="567"/>
      <c r="K73" s="1517"/>
      <c r="L73" s="193"/>
      <c r="M73" s="1998"/>
      <c r="N73" s="322"/>
      <c r="O73" s="1649"/>
      <c r="P73" s="1649"/>
    </row>
    <row s="1660" customFormat="1" customHeight="1" ht="0.75" hidden="1">
      <c r="A74" s="1805"/>
      <c r="B74" s="1805"/>
      <c r="C74" s="361" t="s">
        <v>1086</v>
      </c>
      <c r="D74" s="2293"/>
      <c r="E74" s="2038"/>
      <c r="F74" s="2202"/>
      <c r="G74" s="397"/>
      <c r="H74" s="1517"/>
      <c r="I74" s="646"/>
      <c r="J74" s="567"/>
      <c r="K74" s="1517"/>
      <c r="L74" s="193"/>
      <c r="M74" s="1998"/>
      <c r="N74" s="322"/>
      <c r="O74" s="1649"/>
      <c r="P74" s="1649"/>
    </row>
    <row s="1660" customFormat="1" customHeight="1" ht="18.75" hidden="1">
      <c r="A75" s="1805" t="s">
        <v>272</v>
      </c>
      <c r="B75" s="1805" t="s">
        <v>273</v>
      </c>
      <c r="C75" s="361"/>
      <c r="D75" s="2293"/>
      <c r="E75" s="2038"/>
      <c r="F75" s="2202" t="str">
        <f>INDEX(PT_DIFFERENTIATION_VTAR,MATCH(A75,PT_DIFFERENTIATION_VTAR_ID,0))</f>
        <v>Тариф на подключение (технологическое присоединение) к централизованной системе горячего водоснабжения</v>
      </c>
      <c r="G75" s="2248" t="str">
        <f>INDEX(PT_DIFFERENTIATION_NTAR,MATCH(B75,PT_DIFFERENTIATION_NTAR_ID,0))</f>
        <v/>
      </c>
      <c r="H75" s="1887"/>
      <c r="I75" s="1763"/>
      <c r="J75" s="1798"/>
      <c r="K75" s="1890"/>
      <c r="L75" s="1887" t="s">
        <v>318</v>
      </c>
      <c r="M75" s="1998"/>
      <c r="N75" s="322"/>
      <c r="O75" s="1649"/>
      <c r="P75" s="1649"/>
    </row>
    <row s="1660" customFormat="1" customHeight="1" ht="18.75" hidden="1">
      <c r="A76" s="1805"/>
      <c r="B76" s="1805"/>
      <c r="C76" s="361" t="s">
        <v>1080</v>
      </c>
      <c r="D76" s="2293"/>
      <c r="E76" s="2038"/>
      <c r="F76" s="2202"/>
      <c r="G76" s="2248"/>
      <c r="H76" s="1517"/>
      <c r="I76" s="646" t="s">
        <v>1081</v>
      </c>
      <c r="J76" s="567"/>
      <c r="K76" s="1517"/>
      <c r="L76" s="193"/>
      <c r="M76" s="1998"/>
      <c r="N76" s="322"/>
      <c r="O76" s="1649"/>
      <c r="P76" s="1649"/>
    </row>
    <row s="1660" customFormat="1" customHeight="1" ht="0.75" hidden="1">
      <c r="A77" s="1805"/>
      <c r="B77" s="1805"/>
      <c r="C77" s="361" t="s">
        <v>1086</v>
      </c>
      <c r="D77" s="2293"/>
      <c r="E77" s="2038"/>
      <c r="F77" s="2202"/>
      <c r="G77" s="397"/>
      <c r="H77" s="1517"/>
      <c r="I77" s="646"/>
      <c r="J77" s="567"/>
      <c r="K77" s="1517"/>
      <c r="L77" s="193"/>
      <c r="M77" s="1998"/>
      <c r="N77" s="322"/>
      <c r="O77" s="1649"/>
      <c r="P77" s="1649"/>
    </row>
    <row s="1660" customFormat="1" customHeight="1" ht="18.75" hidden="1">
      <c r="A78" s="1805" t="s">
        <v>277</v>
      </c>
      <c r="B78" s="1805" t="s">
        <v>278</v>
      </c>
      <c r="C78" s="361"/>
      <c r="D78" s="2293"/>
      <c r="E78" s="2038"/>
      <c r="F78" s="2202" t="str">
        <f>INDEX(PT_DIFFERENTIATION_VTAR,MATCH(A78,PT_DIFFERENTIATION_VTAR_ID,0))</f>
        <v>Тариф на водоотведение</v>
      </c>
      <c r="G78" s="2248" t="str">
        <f>INDEX(PT_DIFFERENTIATION_NTAR,MATCH(B78,PT_DIFFERENTIATION_NTAR_ID,0))</f>
        <v/>
      </c>
      <c r="H78" s="1887"/>
      <c r="I78" s="1763"/>
      <c r="J78" s="1798"/>
      <c r="K78" s="1890"/>
      <c r="L78" s="1887" t="s">
        <v>318</v>
      </c>
      <c r="M78" s="1998"/>
      <c r="N78" s="322"/>
      <c r="O78" s="1649"/>
      <c r="P78" s="1649"/>
    </row>
    <row s="1660" customFormat="1" customHeight="1" ht="18.75" hidden="1">
      <c r="A79" s="1805"/>
      <c r="B79" s="1805"/>
      <c r="C79" s="361" t="s">
        <v>1080</v>
      </c>
      <c r="D79" s="2293"/>
      <c r="E79" s="2038"/>
      <c r="F79" s="2202"/>
      <c r="G79" s="2248"/>
      <c r="H79" s="1517"/>
      <c r="I79" s="646" t="s">
        <v>1081</v>
      </c>
      <c r="J79" s="567"/>
      <c r="K79" s="1517"/>
      <c r="L79" s="193"/>
      <c r="M79" s="1998"/>
      <c r="N79" s="322"/>
      <c r="O79" s="1649"/>
      <c r="P79" s="1649"/>
    </row>
    <row s="1660" customFormat="1" customHeight="1" ht="0.75" hidden="1">
      <c r="A80" s="1805"/>
      <c r="B80" s="1805"/>
      <c r="C80" s="361" t="s">
        <v>1086</v>
      </c>
      <c r="D80" s="2293"/>
      <c r="E80" s="2038"/>
      <c r="F80" s="2202"/>
      <c r="G80" s="397"/>
      <c r="H80" s="1517"/>
      <c r="I80" s="646"/>
      <c r="J80" s="567"/>
      <c r="K80" s="1517"/>
      <c r="L80" s="193"/>
      <c r="M80" s="1998"/>
      <c r="N80" s="322"/>
      <c r="O80" s="1649"/>
      <c r="P80" s="1649"/>
    </row>
    <row s="1660" customFormat="1" customHeight="1" ht="18.75" hidden="1">
      <c r="A81" s="1805" t="s">
        <v>282</v>
      </c>
      <c r="B81" s="1805" t="s">
        <v>283</v>
      </c>
      <c r="C81" s="361"/>
      <c r="D81" s="2293"/>
      <c r="E81" s="2038"/>
      <c r="F81" s="2202" t="str">
        <f>INDEX(PT_DIFFERENTIATION_VTAR,MATCH(A81,PT_DIFFERENTIATION_VTAR_ID,0))</f>
        <v>Тариф на транспортировку сточных вод</v>
      </c>
      <c r="G81" s="2248" t="str">
        <f>INDEX(PT_DIFFERENTIATION_NTAR,MATCH(B81,PT_DIFFERENTIATION_NTAR_ID,0))</f>
        <v/>
      </c>
      <c r="H81" s="1887"/>
      <c r="I81" s="1763"/>
      <c r="J81" s="1798"/>
      <c r="K81" s="1890"/>
      <c r="L81" s="1887" t="s">
        <v>318</v>
      </c>
      <c r="M81" s="1998"/>
      <c r="N81" s="322"/>
      <c r="O81" s="1649"/>
      <c r="P81" s="1649"/>
    </row>
    <row s="1660" customFormat="1" customHeight="1" ht="18.75" hidden="1">
      <c r="A82" s="1805"/>
      <c r="B82" s="1805"/>
      <c r="C82" s="361" t="s">
        <v>1080</v>
      </c>
      <c r="D82" s="2293"/>
      <c r="E82" s="2038"/>
      <c r="F82" s="2202"/>
      <c r="G82" s="2248"/>
      <c r="H82" s="1517"/>
      <c r="I82" s="646" t="s">
        <v>1081</v>
      </c>
      <c r="J82" s="567"/>
      <c r="K82" s="1517"/>
      <c r="L82" s="193"/>
      <c r="M82" s="1998"/>
      <c r="N82" s="322"/>
      <c r="O82" s="1649"/>
      <c r="P82" s="1649"/>
    </row>
    <row s="1660" customFormat="1" customHeight="1" ht="0.75" hidden="1">
      <c r="A83" s="1805"/>
      <c r="B83" s="1805"/>
      <c r="C83" s="361" t="s">
        <v>1086</v>
      </c>
      <c r="D83" s="2293"/>
      <c r="E83" s="2038"/>
      <c r="F83" s="2202"/>
      <c r="G83" s="397"/>
      <c r="H83" s="1517"/>
      <c r="I83" s="646"/>
      <c r="J83" s="567"/>
      <c r="K83" s="1517"/>
      <c r="L83" s="193"/>
      <c r="M83" s="1998"/>
      <c r="N83" s="322"/>
      <c r="O83" s="1649"/>
      <c r="P83" s="1649"/>
    </row>
    <row s="1660" customFormat="1" customHeight="1" ht="18.75" hidden="1">
      <c r="A84" s="1805" t="s">
        <v>287</v>
      </c>
      <c r="B84" s="1805" t="s">
        <v>288</v>
      </c>
      <c r="C84" s="361"/>
      <c r="D84" s="2293"/>
      <c r="E84" s="2038"/>
      <c r="F84" s="2202" t="str">
        <f>INDEX(PT_DIFFERENTIATION_VTAR,MATCH(A84,PT_DIFFERENTIATION_VTAR_ID,0))</f>
        <v>Тариф на подключение (технологическое присоединение) к централизованной системе водоотведения</v>
      </c>
      <c r="G84" s="2248" t="str">
        <f>INDEX(PT_DIFFERENTIATION_NTAR,MATCH(B84,PT_DIFFERENTIATION_NTAR_ID,0))</f>
        <v/>
      </c>
      <c r="H84" s="1887"/>
      <c r="I84" s="1763"/>
      <c r="J84" s="1798"/>
      <c r="K84" s="1890"/>
      <c r="L84" s="1887" t="s">
        <v>318</v>
      </c>
      <c r="M84" s="1998"/>
      <c r="N84" s="322"/>
      <c r="O84" s="1649"/>
      <c r="P84" s="1649"/>
    </row>
    <row s="1660" customFormat="1" customHeight="1" ht="18.75" hidden="1">
      <c r="A85" s="1805"/>
      <c r="B85" s="1805"/>
      <c r="C85" s="361" t="s">
        <v>1080</v>
      </c>
      <c r="D85" s="2293"/>
      <c r="E85" s="2038"/>
      <c r="F85" s="2202"/>
      <c r="G85" s="2248"/>
      <c r="H85" s="1517"/>
      <c r="I85" s="646" t="s">
        <v>1081</v>
      </c>
      <c r="J85" s="567"/>
      <c r="K85" s="1517"/>
      <c r="L85" s="193"/>
      <c r="M85" s="1998"/>
      <c r="N85" s="322"/>
      <c r="O85" s="1649"/>
      <c r="P85" s="1649"/>
    </row>
    <row s="1660" customFormat="1" customHeight="1" ht="0.75">
      <c r="A86" s="1805"/>
      <c r="B86" s="1805"/>
      <c r="C86" s="361" t="s">
        <v>1086</v>
      </c>
      <c r="D86" s="2293"/>
      <c r="E86" s="2038"/>
      <c r="F86" s="2202"/>
      <c r="G86" s="397"/>
      <c r="H86" s="1517"/>
      <c r="I86" s="646"/>
      <c r="J86" s="567"/>
      <c r="K86" s="1517"/>
      <c r="L86" s="193"/>
      <c r="M86" s="1998"/>
      <c r="N86" s="322"/>
      <c r="O86" s="1649"/>
      <c r="P86" s="1649"/>
    </row>
    <row customHeight="1" ht="18.75">
      <c r="A87" s="1805"/>
      <c r="B87" s="1805"/>
      <c r="D87" s="368"/>
      <c r="E87" s="127" t="s">
        <v>109</v>
      </c>
      <c r="F87" s="2285"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7" s="2285"/>
      <c r="H87" s="2285"/>
      <c r="I87" s="2285"/>
      <c r="J87" s="2285"/>
      <c r="K87" s="2285"/>
      <c r="L87" s="2285"/>
      <c r="M87" s="277"/>
      <c r="N87" s="322"/>
    </row>
    <row customHeight="1" ht="33.75">
      <c r="A88" s="1805"/>
      <c r="B88" s="1805"/>
      <c r="D88" s="368"/>
      <c r="E88" s="396"/>
      <c r="F88" s="177" t="s">
        <v>318</v>
      </c>
      <c r="G88" s="177" t="s">
        <v>318</v>
      </c>
      <c r="H88" s="2050" t="s">
        <v>318</v>
      </c>
      <c r="I88" s="2066"/>
      <c r="J88" s="177" t="s">
        <v>318</v>
      </c>
      <c r="K88" s="177" t="s">
        <v>318</v>
      </c>
      <c r="L88" s="398"/>
      <c r="M88" s="333" t="s">
        <v>1087</v>
      </c>
      <c r="N88" s="322"/>
    </row>
    <row customHeight="1" ht="18.75">
      <c r="A89" s="1805"/>
      <c r="B89" s="1805"/>
      <c r="D89" s="368"/>
      <c r="E89" s="127" t="s">
        <v>89</v>
      </c>
      <c r="F89" s="2285" t="s">
        <v>1088</v>
      </c>
      <c r="G89" s="2285"/>
      <c r="H89" s="2285"/>
      <c r="I89" s="2285"/>
      <c r="J89" s="2285"/>
      <c r="K89" s="2285"/>
      <c r="L89" s="2285"/>
      <c r="M89" s="277"/>
      <c r="N89" s="322"/>
    </row>
    <row s="1660" customFormat="1" customHeight="1" ht="60.75" hidden="1">
      <c r="A90" s="1805" t="s">
        <v>155</v>
      </c>
      <c r="B90" s="1805" t="s">
        <v>156</v>
      </c>
      <c r="C90" s="361"/>
      <c r="D90" s="2293"/>
      <c r="E90" s="2038"/>
      <c r="F90" s="2202" t="str">
        <f>INDEX(PT_DIFFERENTIATION_VTAR,MATCH(A90,PT_DIFFERENTIATION_VTAR_ID,0))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0" s="2248" t="str">
        <f>INDEX(PT_DIFFERENTIATION_NTAR,MATCH(B90,PT_DIFFERENTIATION_NTAR_ID,0))</f>
        <v>Тариф на тепловую энергию, поставляемую ПАО "ТГК-1" потребителям, расположенным на территории Санкт-Петербурга</v>
      </c>
      <c r="H90" s="1887"/>
      <c r="I90" s="1763"/>
      <c r="J90" s="1798"/>
      <c r="K90" s="1803"/>
      <c r="L90" s="1887" t="s">
        <v>318</v>
      </c>
      <c r="M90"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0" s="322"/>
      <c r="O90" s="1649"/>
      <c r="P90" s="1649"/>
    </row>
    <row s="1660" customFormat="1" customHeight="1" ht="18.75" hidden="1">
      <c r="A91" s="1805"/>
      <c r="B91" s="1805"/>
      <c r="C91" s="361" t="s">
        <v>1082</v>
      </c>
      <c r="D91" s="2293"/>
      <c r="E91" s="2038"/>
      <c r="F91" s="2202"/>
      <c r="G91" s="2248"/>
      <c r="H91" s="1517"/>
      <c r="I91" s="646" t="s">
        <v>1081</v>
      </c>
      <c r="J91" s="567"/>
      <c r="K91" s="1517"/>
      <c r="L91" s="193"/>
      <c r="M91" s="1998"/>
      <c r="N91" s="322"/>
      <c r="O91" s="1649"/>
      <c r="P91" s="1649"/>
    </row>
    <row s="1660" customFormat="1" customHeight="1" ht="18.75">
      <c r="A92" s="1848" t="s">
        <v>155</v>
      </c>
      <c r="B92" s="1848" t="s">
        <v>165</v>
      </c>
      <c r="C92" s="1712"/>
      <c r="D92" s="332"/>
      <c r="E92" s="1026"/>
      <c r="F92" s="1026"/>
      <c r="G92" s="2248" t="str">
        <f>INDEX(PT_DIFFERENTIATION_NTAR,MATCH(B92,PT_DIFFERENTIATION_NTAR_ID,0))</f>
        <v>Тариф на тепловую энергию, поставляемую ПАО "ТГК-1" на коллекторах источников тепловой энергии потребителям, расположенным на территории Санкт-Петербурга</v>
      </c>
      <c r="H92" s="2066"/>
      <c r="I92" s="1763"/>
      <c r="J92" s="1798"/>
      <c r="K92" s="1803"/>
      <c r="L92" s="2066" t="s">
        <v>318</v>
      </c>
      <c r="M92" s="1900"/>
      <c r="N92" s="614"/>
      <c r="O92" s="1649"/>
      <c r="P92" s="1649"/>
      <c r="Q92" s="1660"/>
      <c r="R92" s="1660"/>
      <c r="S92" s="1660"/>
      <c r="T92" s="1660"/>
      <c r="U92" s="1660"/>
      <c r="V92" s="1660"/>
      <c r="W92" s="1660"/>
      <c r="X92" s="1660"/>
      <c r="Y92" s="1660"/>
      <c r="Z92" s="1660"/>
      <c r="AA92" s="1660"/>
      <c r="AB92" s="1660"/>
      <c r="AC92" s="1660"/>
      <c r="AD92" s="1660"/>
      <c r="AE92" s="1660"/>
      <c r="AF92" s="1660"/>
      <c r="AG92" s="1660"/>
    </row>
    <row s="1660" customFormat="1" customHeight="1" ht="18.75">
      <c r="A93" s="1848"/>
      <c r="B93" s="1848"/>
      <c r="C93" s="1712" t="s">
        <v>1082</v>
      </c>
      <c r="D93" s="332"/>
      <c r="E93" s="1026"/>
      <c r="F93" s="1026"/>
      <c r="G93" s="2248"/>
      <c r="H93" s="5542"/>
      <c r="I93" s="5543" t="s">
        <v>1081</v>
      </c>
      <c r="J93" s="5544"/>
      <c r="K93" s="5545"/>
      <c r="L93" s="5546"/>
      <c r="M93" s="1900"/>
      <c r="N93" s="614"/>
      <c r="O93" s="1649"/>
      <c r="P93" s="1649"/>
      <c r="Q93" s="1660"/>
      <c r="R93" s="1660"/>
      <c r="S93" s="1660"/>
      <c r="T93" s="1660"/>
      <c r="U93" s="1660"/>
      <c r="V93" s="1660"/>
      <c r="W93" s="1660"/>
      <c r="X93" s="1660"/>
      <c r="Y93" s="1660"/>
      <c r="Z93" s="1660"/>
      <c r="AA93" s="1660"/>
      <c r="AB93" s="1660"/>
      <c r="AC93" s="1660"/>
      <c r="AD93" s="1660"/>
      <c r="AE93" s="1660"/>
      <c r="AF93" s="1660"/>
      <c r="AG93" s="1660"/>
    </row>
    <row s="1660" customFormat="1" customHeight="1" ht="18.75">
      <c r="A94" s="1848" t="s">
        <v>155</v>
      </c>
      <c r="B94" s="1848" t="s">
        <v>170</v>
      </c>
      <c r="C94" s="1712"/>
      <c r="D94" s="332"/>
      <c r="E94" s="1026"/>
      <c r="F94" s="1026"/>
      <c r="G94" s="2248" t="str">
        <f>INDEX(PT_DIFFERENTIATION_NTAR,MATCH(B94,PT_DIFFERENTIATION_NTAR_ID,0))</f>
        <v>Тариф на тепловую энергию (мощность), поставляемую ПАО "ТГК-1" теплоснабжающим, теплосетевым организациям, приобретающим тепловую энергию с целью компенсации потерь тепловой энергии</v>
      </c>
      <c r="H94" s="2066"/>
      <c r="I94" s="1763"/>
      <c r="J94" s="1798"/>
      <c r="K94" s="1803"/>
      <c r="L94" s="2066" t="s">
        <v>318</v>
      </c>
      <c r="M94" s="1900"/>
      <c r="N94" s="614"/>
      <c r="O94" s="1649"/>
      <c r="P94" s="1649"/>
      <c r="Q94" s="1660"/>
      <c r="R94" s="1660"/>
      <c r="S94" s="1660"/>
      <c r="T94" s="1660"/>
      <c r="U94" s="1660"/>
      <c r="V94" s="1660"/>
      <c r="W94" s="1660"/>
      <c r="X94" s="1660"/>
      <c r="Y94" s="1660"/>
      <c r="Z94" s="1660"/>
      <c r="AA94" s="1660"/>
      <c r="AB94" s="1660"/>
      <c r="AC94" s="1660"/>
      <c r="AD94" s="1660"/>
      <c r="AE94" s="1660"/>
      <c r="AF94" s="1660"/>
      <c r="AG94" s="1660"/>
    </row>
    <row s="1660" customFormat="1" customHeight="1" ht="18.75">
      <c r="A95" s="1848"/>
      <c r="B95" s="1848"/>
      <c r="C95" s="1712" t="s">
        <v>1082</v>
      </c>
      <c r="D95" s="332"/>
      <c r="E95" s="1026"/>
      <c r="F95" s="1026"/>
      <c r="G95" s="2248"/>
      <c r="H95" s="5547"/>
      <c r="I95" s="5548" t="s">
        <v>1081</v>
      </c>
      <c r="J95" s="5549"/>
      <c r="K95" s="5550"/>
      <c r="L95" s="5551"/>
      <c r="M95" s="1900"/>
      <c r="N95" s="614"/>
      <c r="O95" s="1649"/>
      <c r="P95" s="1649"/>
      <c r="Q95" s="1660"/>
      <c r="R95" s="1660"/>
      <c r="S95" s="1660"/>
      <c r="T95" s="1660"/>
      <c r="U95" s="1660"/>
      <c r="V95" s="1660"/>
      <c r="W95" s="1660"/>
      <c r="X95" s="1660"/>
      <c r="Y95" s="1660"/>
      <c r="Z95" s="1660"/>
      <c r="AA95" s="1660"/>
      <c r="AB95" s="1660"/>
      <c r="AC95" s="1660"/>
      <c r="AD95" s="1660"/>
      <c r="AE95" s="1660"/>
      <c r="AF95" s="1660"/>
      <c r="AG95" s="1660"/>
    </row>
    <row s="1660" customFormat="1" customHeight="1" ht="18.75">
      <c r="A96" s="1848" t="s">
        <v>155</v>
      </c>
      <c r="B96" s="1848" t="s">
        <v>175</v>
      </c>
      <c r="C96" s="1712"/>
      <c r="D96" s="332"/>
      <c r="E96" s="1026"/>
      <c r="F96" s="1026"/>
      <c r="G96" s="2248" t="str">
        <f>INDEX(PT_DIFFERENTIATION_NTAR,MATCH(B96,PT_DIFFERENTIATION_NTAR_ID,0))</f>
        <v>Льготные тарифы на тепловую энергию, поставляемую ПАО "ТГК-1" потребителям, расположенным на территории Санкт-Петербурга</v>
      </c>
      <c r="H96" s="2066"/>
      <c r="I96" s="1763"/>
      <c r="J96" s="1798"/>
      <c r="K96" s="1803"/>
      <c r="L96" s="2066" t="s">
        <v>318</v>
      </c>
      <c r="M96" s="1900"/>
      <c r="N96" s="614"/>
      <c r="O96" s="1649"/>
      <c r="P96" s="1649"/>
      <c r="Q96" s="1660"/>
      <c r="R96" s="1660"/>
      <c r="S96" s="1660"/>
      <c r="T96" s="1660"/>
      <c r="U96" s="1660"/>
      <c r="V96" s="1660"/>
      <c r="W96" s="1660"/>
      <c r="X96" s="1660"/>
      <c r="Y96" s="1660"/>
      <c r="Z96" s="1660"/>
      <c r="AA96" s="1660"/>
      <c r="AB96" s="1660"/>
      <c r="AC96" s="1660"/>
      <c r="AD96" s="1660"/>
      <c r="AE96" s="1660"/>
      <c r="AF96" s="1660"/>
      <c r="AG96" s="1660"/>
    </row>
    <row s="1660" customFormat="1" customHeight="1" ht="18.75">
      <c r="A97" s="1848"/>
      <c r="B97" s="1848"/>
      <c r="C97" s="1712" t="s">
        <v>1082</v>
      </c>
      <c r="D97" s="332"/>
      <c r="E97" s="1026"/>
      <c r="F97" s="1026"/>
      <c r="G97" s="2248"/>
      <c r="H97" s="5552"/>
      <c r="I97" s="5553" t="s">
        <v>1081</v>
      </c>
      <c r="J97" s="5554"/>
      <c r="K97" s="5555"/>
      <c r="L97" s="5556"/>
      <c r="M97" s="1900"/>
      <c r="N97" s="614"/>
      <c r="O97" s="1649"/>
      <c r="P97" s="1649"/>
      <c r="Q97" s="1660"/>
      <c r="R97" s="1660"/>
      <c r="S97" s="1660"/>
      <c r="T97" s="1660"/>
      <c r="U97" s="1660"/>
      <c r="V97" s="1660"/>
      <c r="W97" s="1660"/>
      <c r="X97" s="1660"/>
      <c r="Y97" s="1660"/>
      <c r="Z97" s="1660"/>
      <c r="AA97" s="1660"/>
      <c r="AB97" s="1660"/>
      <c r="AC97" s="1660"/>
      <c r="AD97" s="1660"/>
      <c r="AE97" s="1660"/>
      <c r="AF97" s="1660"/>
      <c r="AG97" s="1660"/>
    </row>
    <row s="1660" customFormat="1" customHeight="1" ht="0.75" hidden="1">
      <c r="A98" s="1805"/>
      <c r="B98" s="1805"/>
      <c r="C98" s="361" t="s">
        <v>1089</v>
      </c>
      <c r="D98" s="2293"/>
      <c r="E98" s="2038"/>
      <c r="F98" s="2202"/>
      <c r="G98" s="397"/>
      <c r="H98" s="1517"/>
      <c r="I98" s="646"/>
      <c r="J98" s="567"/>
      <c r="K98" s="1517"/>
      <c r="L98" s="193"/>
      <c r="M98" s="1998"/>
      <c r="N98" s="322"/>
      <c r="O98" s="1649"/>
      <c r="P98" s="1649"/>
    </row>
    <row s="1660" customFormat="1" customHeight="1" ht="45" hidden="1">
      <c r="A99" s="1805" t="s">
        <v>181</v>
      </c>
      <c r="B99" s="1805" t="s">
        <v>182</v>
      </c>
      <c r="C99" s="361"/>
      <c r="D99" s="2293"/>
      <c r="E99" s="2038"/>
      <c r="F99" s="2202" t="str">
        <f>INDEX(PT_DIFFERENTIATION_VTAR,MATCH(A99,PT_DIFFERENTIATION_VTAR_ID,0))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9" s="2248" t="str">
        <f>INDEX(PT_DIFFERENTIATION_NTAR,MATCH(B99,PT_DIFFERENTIATION_NTAR_ID,0))</f>
        <v/>
      </c>
      <c r="H99" s="1887"/>
      <c r="I99" s="1763"/>
      <c r="J99" s="1798"/>
      <c r="K99" s="1803"/>
      <c r="L99" s="1887" t="s">
        <v>318</v>
      </c>
      <c r="M99" s="1999"/>
      <c r="N99" s="322"/>
      <c r="O99" s="1649"/>
      <c r="P99" s="1649"/>
    </row>
    <row s="1660" customFormat="1" customHeight="1" ht="18.75" hidden="1">
      <c r="A100" s="1805"/>
      <c r="B100" s="1805"/>
      <c r="C100" s="361" t="s">
        <v>1082</v>
      </c>
      <c r="D100" s="2293"/>
      <c r="E100" s="2038"/>
      <c r="F100" s="2202"/>
      <c r="G100" s="2248"/>
      <c r="H100" s="1517"/>
      <c r="I100" s="646" t="s">
        <v>1081</v>
      </c>
      <c r="J100" s="567"/>
      <c r="K100" s="1517"/>
      <c r="L100" s="193"/>
      <c r="M100" s="1886"/>
      <c r="N100" s="322"/>
      <c r="O100" s="1649"/>
      <c r="P100" s="1649"/>
    </row>
    <row s="1660" customFormat="1" customHeight="1" ht="0.75" hidden="1">
      <c r="A101" s="1805"/>
      <c r="B101" s="1805"/>
      <c r="C101" s="361" t="s">
        <v>1089</v>
      </c>
      <c r="D101" s="2293"/>
      <c r="E101" s="2038"/>
      <c r="F101" s="2202"/>
      <c r="G101" s="397"/>
      <c r="H101" s="1517"/>
      <c r="I101" s="646"/>
      <c r="J101" s="567"/>
      <c r="K101" s="1517"/>
      <c r="L101" s="193"/>
      <c r="M101" s="329"/>
      <c r="N101" s="322"/>
      <c r="O101" s="1649"/>
      <c r="P101" s="1649"/>
    </row>
    <row s="1660" customFormat="1" customHeight="1" ht="45" hidden="1">
      <c r="A102" s="1805" t="s">
        <v>189</v>
      </c>
      <c r="B102" s="1805" t="s">
        <v>190</v>
      </c>
      <c r="C102" s="361"/>
      <c r="D102" s="2293"/>
      <c r="E102" s="2038"/>
      <c r="F102" s="2202" t="str">
        <f>INDEX(PT_DIFFERENTIATION_VTAR,MATCH(A102,PT_DIFFERENTIATION_VTAR_ID,0))</f>
        <v>Тарифы на теплоноситель, поставляемый теплоснабжающими организациями потребителям, другим теплоснабжающим организациям</v>
      </c>
      <c r="G102" s="2248" t="str">
        <f>INDEX(PT_DIFFERENTIATION_NTAR,MATCH(B102,PT_DIFFERENTIATION_NTAR_ID,0))</f>
        <v>Тариф на теплоноситель, поставляемый ПАО "ТГК-1" потребителям, расположенным на территории Санкт-Петербурга</v>
      </c>
      <c r="H102" s="1887"/>
      <c r="I102" s="1763"/>
      <c r="J102" s="1798"/>
      <c r="K102" s="1803"/>
      <c r="L102" s="1887" t="s">
        <v>318</v>
      </c>
      <c r="M102" s="329"/>
      <c r="N102" s="322"/>
      <c r="O102" s="1649"/>
      <c r="P102" s="1649"/>
    </row>
    <row s="1660" customFormat="1" customHeight="1" ht="18.75" hidden="1">
      <c r="A103" s="1805"/>
      <c r="B103" s="1805"/>
      <c r="C103" s="361" t="s">
        <v>1082</v>
      </c>
      <c r="D103" s="2293"/>
      <c r="E103" s="2038"/>
      <c r="F103" s="2202"/>
      <c r="G103" s="2248"/>
      <c r="H103" s="1517"/>
      <c r="I103" s="646" t="s">
        <v>1081</v>
      </c>
      <c r="J103" s="567"/>
      <c r="K103" s="1517"/>
      <c r="L103" s="193"/>
      <c r="M103" s="329"/>
      <c r="N103" s="322"/>
      <c r="O103" s="1649"/>
      <c r="P103" s="1649"/>
    </row>
    <row s="1660" customFormat="1" customHeight="1" ht="0.75" hidden="1">
      <c r="A104" s="1805"/>
      <c r="B104" s="1805"/>
      <c r="C104" s="361" t="s">
        <v>1089</v>
      </c>
      <c r="D104" s="2293"/>
      <c r="E104" s="2038"/>
      <c r="F104" s="2202"/>
      <c r="G104" s="397"/>
      <c r="H104" s="1517"/>
      <c r="I104" s="646"/>
      <c r="J104" s="567"/>
      <c r="K104" s="1517"/>
      <c r="L104" s="193"/>
      <c r="M104" s="329"/>
      <c r="N104" s="322"/>
      <c r="O104" s="1649"/>
      <c r="P104" s="1649"/>
    </row>
    <row s="1660" customFormat="1" customHeight="1" ht="45" hidden="1">
      <c r="A105" s="1805" t="s">
        <v>197</v>
      </c>
      <c r="B105" s="1805" t="s">
        <v>198</v>
      </c>
      <c r="C105" s="361"/>
      <c r="D105" s="2293"/>
      <c r="E105" s="2038"/>
      <c r="F105" s="2202" t="str">
        <f>INDEX(PT_DIFFERENTIATION_VTAR,MATCH(A105,PT_DIFFERENTIATION_VTAR_ID,0))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5" s="2248" t="str">
        <f>INDEX(PT_DIFFERENTIATION_NTAR,MATCH(B105,PT_DIFFERENTIATION_NTAR_ID,0))</f>
        <v>Тариф на горячую воду (горячее водоснабжение), поставляемую ПАО "ТГК-1" в открытых системах теплоснабжения потребителям, расположенным на территории Санкт-Петербурга</v>
      </c>
      <c r="H105" s="1887"/>
      <c r="I105" s="1763"/>
      <c r="J105" s="1798"/>
      <c r="K105" s="1803"/>
      <c r="L105" s="1887" t="s">
        <v>318</v>
      </c>
      <c r="M105" s="329"/>
      <c r="N105" s="322"/>
      <c r="O105" s="1649"/>
      <c r="P105" s="1649"/>
    </row>
    <row s="1660" customFormat="1" customHeight="1" ht="18.75" hidden="1">
      <c r="A106" s="1805"/>
      <c r="B106" s="1805"/>
      <c r="C106" s="361" t="s">
        <v>1082</v>
      </c>
      <c r="D106" s="2293"/>
      <c r="E106" s="2038"/>
      <c r="F106" s="2202"/>
      <c r="G106" s="2248"/>
      <c r="H106" s="1517"/>
      <c r="I106" s="646" t="s">
        <v>1081</v>
      </c>
      <c r="J106" s="567"/>
      <c r="K106" s="1517"/>
      <c r="L106" s="193"/>
      <c r="M106" s="329"/>
      <c r="N106" s="322"/>
      <c r="O106" s="1649"/>
      <c r="P106" s="1649"/>
    </row>
    <row s="1660" customFormat="1" customHeight="1" ht="0.75" hidden="1">
      <c r="A107" s="1805"/>
      <c r="B107" s="1805"/>
      <c r="C107" s="361" t="s">
        <v>1089</v>
      </c>
      <c r="D107" s="2293"/>
      <c r="E107" s="2038"/>
      <c r="F107" s="2202"/>
      <c r="G107" s="397"/>
      <c r="H107" s="1517"/>
      <c r="I107" s="646"/>
      <c r="J107" s="567"/>
      <c r="K107" s="1517"/>
      <c r="L107" s="193"/>
      <c r="M107" s="329"/>
      <c r="N107" s="322"/>
      <c r="O107" s="1649"/>
      <c r="P107" s="1649"/>
    </row>
    <row s="1660" customFormat="1" customHeight="1" ht="18.75" hidden="1">
      <c r="A108" s="1805" t="s">
        <v>203</v>
      </c>
      <c r="B108" s="1805" t="s">
        <v>204</v>
      </c>
      <c r="C108" s="361"/>
      <c r="D108" s="2293"/>
      <c r="E108" s="2038"/>
      <c r="F108" s="2202" t="str">
        <f>INDEX(PT_DIFFERENTIATION_VTAR,MATCH(A108,PT_DIFFERENTIATION_VTAR_ID,0))</f>
        <v>Тарифы на услуги по передаче тепловой энергии</v>
      </c>
      <c r="G108" s="2248" t="str">
        <f>INDEX(PT_DIFFERENTIATION_NTAR,MATCH(B108,PT_DIFFERENTIATION_NTAR_ID,0))</f>
        <v/>
      </c>
      <c r="H108" s="1887"/>
      <c r="I108" s="1763"/>
      <c r="J108" s="1798"/>
      <c r="K108" s="1803"/>
      <c r="L108" s="1887" t="s">
        <v>318</v>
      </c>
      <c r="M108" s="329"/>
      <c r="N108" s="322"/>
      <c r="O108" s="1649"/>
      <c r="P108" s="1649"/>
    </row>
    <row s="1660" customFormat="1" customHeight="1" ht="18.75" hidden="1">
      <c r="A109" s="1805"/>
      <c r="B109" s="1805"/>
      <c r="C109" s="361" t="s">
        <v>1082</v>
      </c>
      <c r="D109" s="2293"/>
      <c r="E109" s="2038"/>
      <c r="F109" s="2202"/>
      <c r="G109" s="2248"/>
      <c r="H109" s="1517"/>
      <c r="I109" s="646" t="s">
        <v>1081</v>
      </c>
      <c r="J109" s="567"/>
      <c r="K109" s="1517"/>
      <c r="L109" s="193"/>
      <c r="M109" s="329"/>
      <c r="N109" s="322"/>
      <c r="O109" s="1649"/>
      <c r="P109" s="1649"/>
    </row>
    <row s="1660" customFormat="1" customHeight="1" ht="0.75" hidden="1">
      <c r="A110" s="1805"/>
      <c r="B110" s="1805"/>
      <c r="C110" s="361" t="s">
        <v>1089</v>
      </c>
      <c r="D110" s="2293"/>
      <c r="E110" s="2038"/>
      <c r="F110" s="2202"/>
      <c r="G110" s="397"/>
      <c r="H110" s="1517"/>
      <c r="I110" s="646"/>
      <c r="J110" s="567"/>
      <c r="K110" s="1517"/>
      <c r="L110" s="193"/>
      <c r="M110" s="329"/>
      <c r="N110" s="322"/>
      <c r="O110" s="1649"/>
      <c r="P110" s="1649"/>
    </row>
    <row s="1660" customFormat="1" customHeight="1" ht="18.75" hidden="1">
      <c r="A111" s="1805" t="s">
        <v>209</v>
      </c>
      <c r="B111" s="1805" t="s">
        <v>210</v>
      </c>
      <c r="C111" s="361"/>
      <c r="D111" s="2293"/>
      <c r="E111" s="2038"/>
      <c r="F111" s="2202" t="str">
        <f>INDEX(PT_DIFFERENTIATION_VTAR,MATCH(A111,PT_DIFFERENTIATION_VTAR_ID,0))</f>
        <v>Тарифы на услуги по передаче теплоносителя</v>
      </c>
      <c r="G111" s="2248" t="str">
        <f>INDEX(PT_DIFFERENTIATION_NTAR,MATCH(B111,PT_DIFFERENTIATION_NTAR_ID,0))</f>
        <v/>
      </c>
      <c r="H111" s="1887"/>
      <c r="I111" s="1763"/>
      <c r="J111" s="1798"/>
      <c r="K111" s="1803"/>
      <c r="L111" s="1887" t="s">
        <v>318</v>
      </c>
      <c r="M111" s="329"/>
      <c r="N111" s="322"/>
      <c r="O111" s="1649"/>
      <c r="P111" s="1649"/>
    </row>
    <row s="1660" customFormat="1" customHeight="1" ht="18.75" hidden="1">
      <c r="A112" s="1805"/>
      <c r="B112" s="1805"/>
      <c r="C112" s="361" t="s">
        <v>1082</v>
      </c>
      <c r="D112" s="2293"/>
      <c r="E112" s="2038"/>
      <c r="F112" s="2202"/>
      <c r="G112" s="2248"/>
      <c r="H112" s="1517"/>
      <c r="I112" s="646" t="s">
        <v>1081</v>
      </c>
      <c r="J112" s="567"/>
      <c r="K112" s="1517"/>
      <c r="L112" s="193"/>
      <c r="M112" s="329"/>
      <c r="N112" s="322"/>
      <c r="O112" s="1649"/>
      <c r="P112" s="1649"/>
    </row>
    <row s="1660" customFormat="1" customHeight="1" ht="0.75" hidden="1">
      <c r="A113" s="1805"/>
      <c r="B113" s="1805"/>
      <c r="C113" s="361" t="s">
        <v>1089</v>
      </c>
      <c r="D113" s="2293"/>
      <c r="E113" s="2038"/>
      <c r="F113" s="2202"/>
      <c r="G113" s="397"/>
      <c r="H113" s="1517"/>
      <c r="I113" s="646"/>
      <c r="J113" s="567"/>
      <c r="K113" s="1517"/>
      <c r="L113" s="193"/>
      <c r="M113" s="329"/>
      <c r="N113" s="322"/>
      <c r="O113" s="1649"/>
      <c r="P113" s="1649"/>
    </row>
    <row s="1660" customFormat="1" customHeight="1" ht="18.75" hidden="1">
      <c r="A114" s="1805" t="s">
        <v>217</v>
      </c>
      <c r="B114" s="1805" t="s">
        <v>218</v>
      </c>
      <c r="C114" s="361"/>
      <c r="D114" s="2293"/>
      <c r="E114" s="2038"/>
      <c r="F114" s="2202" t="str">
        <f>INDEX(PT_DIFFERENTIATION_VTAR,MATCH(A114,PT_DIFFERENTIATION_VTAR_ID,0))</f>
        <v>Плата за услуги по поддержанию резервной тепловой мощности при отсутствии потребления тепловой энергии</v>
      </c>
      <c r="G114" s="2248" t="str">
        <f>INDEX(PT_DIFFERENTIATION_NTAR,MATCH(B114,PT_DIFFERENTIATION_NTAR_ID,0))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H114" s="1887"/>
      <c r="I114" s="1763"/>
      <c r="J114" s="1798"/>
      <c r="K114" s="1803"/>
      <c r="L114" s="1887" t="s">
        <v>318</v>
      </c>
      <c r="M114" s="329"/>
      <c r="N114" s="322"/>
      <c r="O114" s="1649"/>
      <c r="P114" s="1649"/>
    </row>
    <row s="1660" customFormat="1" customHeight="1" ht="18.75" hidden="1">
      <c r="A115" s="1805"/>
      <c r="B115" s="1805"/>
      <c r="C115" s="361" t="s">
        <v>1082</v>
      </c>
      <c r="D115" s="2293"/>
      <c r="E115" s="2038"/>
      <c r="F115" s="2202"/>
      <c r="G115" s="2248"/>
      <c r="H115" s="1517"/>
      <c r="I115" s="646" t="s">
        <v>1081</v>
      </c>
      <c r="J115" s="567"/>
      <c r="K115" s="1517"/>
      <c r="L115" s="193"/>
      <c r="M115" s="329"/>
      <c r="N115" s="322"/>
      <c r="O115" s="1649"/>
      <c r="P115" s="1649"/>
    </row>
    <row s="1660" customFormat="1" customHeight="1" ht="0.75" hidden="1">
      <c r="A116" s="1805"/>
      <c r="B116" s="1805"/>
      <c r="C116" s="361" t="s">
        <v>1089</v>
      </c>
      <c r="D116" s="2293"/>
      <c r="E116" s="2038"/>
      <c r="F116" s="2202"/>
      <c r="G116" s="397"/>
      <c r="H116" s="1517"/>
      <c r="I116" s="646"/>
      <c r="J116" s="567"/>
      <c r="K116" s="1517"/>
      <c r="L116" s="193"/>
      <c r="M116" s="329"/>
      <c r="N116" s="322"/>
      <c r="O116" s="1649"/>
      <c r="P116" s="1649"/>
    </row>
    <row s="1660" customFormat="1" customHeight="1" ht="18.75" hidden="1">
      <c r="A117" s="1805" t="s">
        <v>223</v>
      </c>
      <c r="B117" s="1805" t="s">
        <v>224</v>
      </c>
      <c r="C117" s="361"/>
      <c r="D117" s="2293"/>
      <c r="E117" s="2038"/>
      <c r="F117" s="2202" t="str">
        <f>INDEX(PT_DIFFERENTIATION_VTAR,MATCH(A117,PT_DIFFERENTIATION_VTAR_ID,0))</f>
        <v>Плата за подключение (технологическое присоединение) к системе теплоснабжения</v>
      </c>
      <c r="G117" s="2248" t="str">
        <f>INDEX(PT_DIFFERENTIATION_NTAR,MATCH(B117,PT_DIFFERENTIATION_NTAR_ID,0))</f>
        <v/>
      </c>
      <c r="H117" s="1887"/>
      <c r="I117" s="1763"/>
      <c r="J117" s="1798"/>
      <c r="K117" s="1803"/>
      <c r="L117" s="1887" t="s">
        <v>318</v>
      </c>
      <c r="M117" s="329"/>
      <c r="N117" s="322"/>
      <c r="O117" s="1649"/>
      <c r="P117" s="1649"/>
    </row>
    <row s="1660" customFormat="1" customHeight="1" ht="18.75" hidden="1">
      <c r="A118" s="1805"/>
      <c r="B118" s="1805"/>
      <c r="C118" s="361" t="s">
        <v>1082</v>
      </c>
      <c r="D118" s="2293"/>
      <c r="E118" s="2038"/>
      <c r="F118" s="2202"/>
      <c r="G118" s="2248"/>
      <c r="H118" s="1517"/>
      <c r="I118" s="646" t="s">
        <v>1081</v>
      </c>
      <c r="J118" s="567"/>
      <c r="K118" s="1517"/>
      <c r="L118" s="193"/>
      <c r="M118" s="329"/>
      <c r="N118" s="322"/>
      <c r="O118" s="1649"/>
      <c r="P118" s="1649"/>
    </row>
    <row s="1660" customFormat="1" customHeight="1" ht="0.75" hidden="1">
      <c r="A119" s="1805"/>
      <c r="B119" s="1805"/>
      <c r="C119" s="361" t="s">
        <v>1089</v>
      </c>
      <c r="D119" s="2293"/>
      <c r="E119" s="2038"/>
      <c r="F119" s="2202"/>
      <c r="G119" s="397"/>
      <c r="H119" s="1517"/>
      <c r="I119" s="646"/>
      <c r="J119" s="567"/>
      <c r="K119" s="1517"/>
      <c r="L119" s="193"/>
      <c r="M119" s="329"/>
      <c r="N119" s="322"/>
      <c r="O119" s="1649"/>
      <c r="P119" s="1649"/>
    </row>
    <row s="1660" customFormat="1" customHeight="1" ht="18.75" hidden="1">
      <c r="A120" s="1805" t="s">
        <v>237</v>
      </c>
      <c r="B120" s="1805" t="s">
        <v>238</v>
      </c>
      <c r="C120" s="361"/>
      <c r="D120" s="2293"/>
      <c r="E120" s="2038"/>
      <c r="F120" s="2202" t="str">
        <f>INDEX(PT_DIFFERENTIATION_VTAR,MATCH(A120,PT_DIFFERENTIATION_VTAR_ID,0))</f>
        <v>Тариф на питьевую воду (питьевое водоснабжение)</v>
      </c>
      <c r="G120" s="2248" t="str">
        <f>INDEX(PT_DIFFERENTIATION_NTAR,MATCH(B120,PT_DIFFERENTIATION_NTAR_ID,0))</f>
        <v/>
      </c>
      <c r="H120" s="1887"/>
      <c r="I120" s="1763"/>
      <c r="J120" s="1798"/>
      <c r="K120" s="1803"/>
      <c r="L120" s="1887" t="s">
        <v>318</v>
      </c>
      <c r="M120" s="329"/>
      <c r="N120" s="322"/>
      <c r="O120" s="1649"/>
      <c r="P120" s="1649"/>
    </row>
    <row s="1660" customFormat="1" customHeight="1" ht="18.75" hidden="1">
      <c r="A121" s="1805"/>
      <c r="B121" s="1805"/>
      <c r="C121" s="361" t="s">
        <v>1082</v>
      </c>
      <c r="D121" s="2293"/>
      <c r="E121" s="2038"/>
      <c r="F121" s="2202"/>
      <c r="G121" s="2248"/>
      <c r="H121" s="1517"/>
      <c r="I121" s="646" t="s">
        <v>1081</v>
      </c>
      <c r="J121" s="567"/>
      <c r="K121" s="1517"/>
      <c r="L121" s="193"/>
      <c r="M121" s="329"/>
      <c r="N121" s="322"/>
      <c r="O121" s="1649"/>
      <c r="P121" s="1649"/>
    </row>
    <row s="1660" customFormat="1" customHeight="1" ht="0.75" hidden="1">
      <c r="A122" s="1805"/>
      <c r="B122" s="1805"/>
      <c r="C122" s="361" t="s">
        <v>1089</v>
      </c>
      <c r="D122" s="2293"/>
      <c r="E122" s="2038"/>
      <c r="F122" s="2202"/>
      <c r="G122" s="397"/>
      <c r="H122" s="1517"/>
      <c r="I122" s="646"/>
      <c r="J122" s="567"/>
      <c r="K122" s="1517"/>
      <c r="L122" s="193"/>
      <c r="M122" s="329"/>
      <c r="N122" s="322"/>
      <c r="O122" s="1649"/>
      <c r="P122" s="1649"/>
    </row>
    <row s="1660" customFormat="1" customHeight="1" ht="18.75" hidden="1">
      <c r="A123" s="1805" t="s">
        <v>242</v>
      </c>
      <c r="B123" s="1805" t="s">
        <v>243</v>
      </c>
      <c r="C123" s="361"/>
      <c r="D123" s="2293"/>
      <c r="E123" s="2038"/>
      <c r="F123" s="2202" t="str">
        <f>INDEX(PT_DIFFERENTIATION_VTAR,MATCH(A123,PT_DIFFERENTIATION_VTAR_ID,0))</f>
        <v>Тариф на техническую воду</v>
      </c>
      <c r="G123" s="2248" t="str">
        <f>INDEX(PT_DIFFERENTIATION_NTAR,MATCH(B123,PT_DIFFERENTIATION_NTAR_ID,0))</f>
        <v/>
      </c>
      <c r="H123" s="1887"/>
      <c r="I123" s="1763"/>
      <c r="J123" s="1798"/>
      <c r="K123" s="1803"/>
      <c r="L123" s="1887" t="s">
        <v>318</v>
      </c>
      <c r="M123" s="329"/>
      <c r="N123" s="322"/>
      <c r="O123" s="1649"/>
      <c r="P123" s="1649"/>
    </row>
    <row s="1660" customFormat="1" customHeight="1" ht="18.75" hidden="1">
      <c r="A124" s="1805"/>
      <c r="B124" s="1805"/>
      <c r="C124" s="361" t="s">
        <v>1082</v>
      </c>
      <c r="D124" s="2293"/>
      <c r="E124" s="2038"/>
      <c r="F124" s="2202"/>
      <c r="G124" s="2248"/>
      <c r="H124" s="1517"/>
      <c r="I124" s="646" t="s">
        <v>1081</v>
      </c>
      <c r="J124" s="567"/>
      <c r="K124" s="1517"/>
      <c r="L124" s="193"/>
      <c r="M124" s="329"/>
      <c r="N124" s="322"/>
      <c r="O124" s="1649"/>
      <c r="P124" s="1649"/>
    </row>
    <row s="1660" customFormat="1" customHeight="1" ht="0.75" hidden="1">
      <c r="A125" s="1805"/>
      <c r="B125" s="1805"/>
      <c r="C125" s="361" t="s">
        <v>1089</v>
      </c>
      <c r="D125" s="2293"/>
      <c r="E125" s="2038"/>
      <c r="F125" s="2202"/>
      <c r="G125" s="397"/>
      <c r="H125" s="1517"/>
      <c r="I125" s="646"/>
      <c r="J125" s="567"/>
      <c r="K125" s="1517"/>
      <c r="L125" s="193"/>
      <c r="M125" s="329"/>
      <c r="N125" s="322"/>
      <c r="O125" s="1649"/>
      <c r="P125" s="1649"/>
    </row>
    <row s="1660" customFormat="1" customHeight="1" ht="18.75" hidden="1">
      <c r="A126" s="1805" t="s">
        <v>247</v>
      </c>
      <c r="B126" s="1805" t="s">
        <v>248</v>
      </c>
      <c r="C126" s="361"/>
      <c r="D126" s="2293"/>
      <c r="E126" s="2038"/>
      <c r="F126" s="2202" t="str">
        <f>INDEX(PT_DIFFERENTIATION_VTAR,MATCH(A126,PT_DIFFERENTIATION_VTAR_ID,0))</f>
        <v>Тариф на транспортировку воды</v>
      </c>
      <c r="G126" s="2248" t="str">
        <f>INDEX(PT_DIFFERENTIATION_NTAR,MATCH(B126,PT_DIFFERENTIATION_NTAR_ID,0))</f>
        <v/>
      </c>
      <c r="H126" s="1887"/>
      <c r="I126" s="1763"/>
      <c r="J126" s="1798"/>
      <c r="K126" s="1803"/>
      <c r="L126" s="1887" t="s">
        <v>318</v>
      </c>
      <c r="M126" s="329"/>
      <c r="N126" s="322"/>
      <c r="O126" s="1649"/>
      <c r="P126" s="1649"/>
    </row>
    <row s="1660" customFormat="1" customHeight="1" ht="18.75" hidden="1">
      <c r="A127" s="1805"/>
      <c r="B127" s="1805"/>
      <c r="C127" s="361" t="s">
        <v>1082</v>
      </c>
      <c r="D127" s="2293"/>
      <c r="E127" s="2038"/>
      <c r="F127" s="2202"/>
      <c r="G127" s="2248"/>
      <c r="H127" s="1517"/>
      <c r="I127" s="646" t="s">
        <v>1081</v>
      </c>
      <c r="J127" s="567"/>
      <c r="K127" s="1517"/>
      <c r="L127" s="193"/>
      <c r="M127" s="329"/>
      <c r="N127" s="322"/>
      <c r="O127" s="1649"/>
      <c r="P127" s="1649"/>
    </row>
    <row s="1660" customFormat="1" customHeight="1" ht="0.75" hidden="1">
      <c r="A128" s="1805"/>
      <c r="B128" s="1805"/>
      <c r="C128" s="361" t="s">
        <v>1089</v>
      </c>
      <c r="D128" s="2293"/>
      <c r="E128" s="2038"/>
      <c r="F128" s="2202"/>
      <c r="G128" s="397"/>
      <c r="H128" s="1517"/>
      <c r="I128" s="646"/>
      <c r="J128" s="567"/>
      <c r="K128" s="1517"/>
      <c r="L128" s="193"/>
      <c r="M128" s="329"/>
      <c r="N128" s="322"/>
      <c r="O128" s="1649"/>
      <c r="P128" s="1649"/>
    </row>
    <row s="1660" customFormat="1" customHeight="1" ht="18.75" hidden="1">
      <c r="A129" s="1805" t="s">
        <v>252</v>
      </c>
      <c r="B129" s="1805" t="s">
        <v>253</v>
      </c>
      <c r="C129" s="361"/>
      <c r="D129" s="2293"/>
      <c r="E129" s="2038"/>
      <c r="F129" s="2202" t="str">
        <f>INDEX(PT_DIFFERENTIATION_VTAR,MATCH(A129,PT_DIFFERENTIATION_VTAR_ID,0))</f>
        <v>Тариф на подвоз воды</v>
      </c>
      <c r="G129" s="2248" t="str">
        <f>INDEX(PT_DIFFERENTIATION_NTAR,MATCH(B129,PT_DIFFERENTIATION_NTAR_ID,0))</f>
        <v/>
      </c>
      <c r="H129" s="1887"/>
      <c r="I129" s="1763"/>
      <c r="J129" s="1798"/>
      <c r="K129" s="1803"/>
      <c r="L129" s="1887" t="s">
        <v>318</v>
      </c>
      <c r="M129" s="329"/>
      <c r="N129" s="322"/>
      <c r="O129" s="1649"/>
      <c r="P129" s="1649"/>
    </row>
    <row s="1660" customFormat="1" customHeight="1" ht="18.75" hidden="1">
      <c r="A130" s="1805"/>
      <c r="B130" s="1805"/>
      <c r="C130" s="361" t="s">
        <v>1082</v>
      </c>
      <c r="D130" s="2293"/>
      <c r="E130" s="2038"/>
      <c r="F130" s="2202"/>
      <c r="G130" s="2248"/>
      <c r="H130" s="1517"/>
      <c r="I130" s="646" t="s">
        <v>1081</v>
      </c>
      <c r="J130" s="567"/>
      <c r="K130" s="1517"/>
      <c r="L130" s="193"/>
      <c r="M130" s="329"/>
      <c r="N130" s="322"/>
      <c r="O130" s="1649"/>
      <c r="P130" s="1649"/>
    </row>
    <row s="1660" customFormat="1" customHeight="1" ht="0.75" hidden="1">
      <c r="A131" s="1805"/>
      <c r="B131" s="1805"/>
      <c r="C131" s="361" t="s">
        <v>1089</v>
      </c>
      <c r="D131" s="2293"/>
      <c r="E131" s="2038"/>
      <c r="F131" s="2202"/>
      <c r="G131" s="397"/>
      <c r="H131" s="1517"/>
      <c r="I131" s="646"/>
      <c r="J131" s="567"/>
      <c r="K131" s="1517"/>
      <c r="L131" s="193"/>
      <c r="M131" s="329"/>
      <c r="N131" s="322"/>
      <c r="O131" s="1649"/>
      <c r="P131" s="1649"/>
    </row>
    <row s="1660" customFormat="1" customHeight="1" ht="18.75" hidden="1">
      <c r="A132" s="1805" t="s">
        <v>257</v>
      </c>
      <c r="B132" s="1805" t="s">
        <v>258</v>
      </c>
      <c r="C132" s="361"/>
      <c r="D132" s="2293"/>
      <c r="E132" s="2038"/>
      <c r="F132" s="2202" t="str">
        <f>INDEX(PT_DIFFERENTIATION_VTAR,MATCH(A132,PT_DIFFERENTIATION_VTAR_ID,0))</f>
        <v>Тариф на подключение (технологическое присоединение) к централизованной системе холодного водоснабжения</v>
      </c>
      <c r="G132" s="2248" t="str">
        <f>INDEX(PT_DIFFERENTIATION_NTAR,MATCH(B132,PT_DIFFERENTIATION_NTAR_ID,0))</f>
        <v/>
      </c>
      <c r="H132" s="1887"/>
      <c r="I132" s="1763"/>
      <c r="J132" s="1798"/>
      <c r="K132" s="1803"/>
      <c r="L132" s="1887" t="s">
        <v>318</v>
      </c>
      <c r="M132" s="329"/>
      <c r="N132" s="322"/>
      <c r="O132" s="1649"/>
      <c r="P132" s="1649"/>
    </row>
    <row s="1660" customFormat="1" customHeight="1" ht="18.75" hidden="1">
      <c r="A133" s="1805"/>
      <c r="B133" s="1805"/>
      <c r="C133" s="361" t="s">
        <v>1082</v>
      </c>
      <c r="D133" s="2293"/>
      <c r="E133" s="2038"/>
      <c r="F133" s="2202"/>
      <c r="G133" s="2248"/>
      <c r="H133" s="1517"/>
      <c r="I133" s="646" t="s">
        <v>1081</v>
      </c>
      <c r="J133" s="567"/>
      <c r="K133" s="1517"/>
      <c r="L133" s="193"/>
      <c r="M133" s="329"/>
      <c r="N133" s="322"/>
      <c r="O133" s="1649"/>
      <c r="P133" s="1649"/>
    </row>
    <row s="1660" customFormat="1" customHeight="1" ht="0.75" hidden="1">
      <c r="A134" s="1805"/>
      <c r="B134" s="1805"/>
      <c r="C134" s="361" t="s">
        <v>1089</v>
      </c>
      <c r="D134" s="2293"/>
      <c r="E134" s="2038"/>
      <c r="F134" s="2202"/>
      <c r="G134" s="397"/>
      <c r="H134" s="1517"/>
      <c r="I134" s="646"/>
      <c r="J134" s="567"/>
      <c r="K134" s="1517"/>
      <c r="L134" s="193"/>
      <c r="M134" s="329"/>
      <c r="N134" s="322"/>
      <c r="O134" s="1649"/>
      <c r="P134" s="1649"/>
    </row>
    <row s="1660" customFormat="1" customHeight="1" ht="18.75" hidden="1">
      <c r="A135" s="1805" t="s">
        <v>262</v>
      </c>
      <c r="B135" s="1805" t="s">
        <v>263</v>
      </c>
      <c r="C135" s="361"/>
      <c r="D135" s="2293"/>
      <c r="E135" s="2038"/>
      <c r="F135" s="2202" t="str">
        <f>INDEX(PT_DIFFERENTIATION_VTAR,MATCH(A135,PT_DIFFERENTIATION_VTAR_ID,0))</f>
        <v>Тариф на горячую воду (горячее водоснабжение)</v>
      </c>
      <c r="G135" s="2248" t="str">
        <f>INDEX(PT_DIFFERENTIATION_NTAR,MATCH(B135,PT_DIFFERENTIATION_NTAR_ID,0))</f>
        <v/>
      </c>
      <c r="H135" s="1887"/>
      <c r="I135" s="1763"/>
      <c r="J135" s="1798"/>
      <c r="K135" s="1803"/>
      <c r="L135" s="1887" t="s">
        <v>318</v>
      </c>
      <c r="M135" s="329"/>
      <c r="N135" s="322"/>
      <c r="O135" s="1649"/>
      <c r="P135" s="1649"/>
    </row>
    <row s="1660" customFormat="1" customHeight="1" ht="18.75" hidden="1">
      <c r="A136" s="1805"/>
      <c r="B136" s="1805"/>
      <c r="C136" s="361" t="s">
        <v>1082</v>
      </c>
      <c r="D136" s="2293"/>
      <c r="E136" s="2038"/>
      <c r="F136" s="2202"/>
      <c r="G136" s="2248"/>
      <c r="H136" s="1517"/>
      <c r="I136" s="646" t="s">
        <v>1081</v>
      </c>
      <c r="J136" s="567"/>
      <c r="K136" s="1517"/>
      <c r="L136" s="193"/>
      <c r="M136" s="329"/>
      <c r="N136" s="322"/>
      <c r="O136" s="1649"/>
      <c r="P136" s="1649"/>
    </row>
    <row s="1660" customFormat="1" customHeight="1" ht="0.75" hidden="1">
      <c r="A137" s="1805"/>
      <c r="B137" s="1805"/>
      <c r="C137" s="361" t="s">
        <v>1089</v>
      </c>
      <c r="D137" s="2293"/>
      <c r="E137" s="2038"/>
      <c r="F137" s="2202"/>
      <c r="G137" s="397"/>
      <c r="H137" s="1517"/>
      <c r="I137" s="646"/>
      <c r="J137" s="567"/>
      <c r="K137" s="1517"/>
      <c r="L137" s="193"/>
      <c r="M137" s="329"/>
      <c r="N137" s="322"/>
      <c r="O137" s="1649"/>
      <c r="P137" s="1649"/>
    </row>
    <row s="1660" customFormat="1" customHeight="1" ht="18.75" hidden="1">
      <c r="A138" s="1805" t="s">
        <v>267</v>
      </c>
      <c r="B138" s="1805" t="s">
        <v>268</v>
      </c>
      <c r="C138" s="361"/>
      <c r="D138" s="2293"/>
      <c r="E138" s="2038"/>
      <c r="F138" s="2202" t="str">
        <f>INDEX(PT_DIFFERENTIATION_VTAR,MATCH(A138,PT_DIFFERENTIATION_VTAR_ID,0))</f>
        <v>Тариф на транспортировку горячей воды</v>
      </c>
      <c r="G138" s="2248" t="str">
        <f>INDEX(PT_DIFFERENTIATION_NTAR,MATCH(B138,PT_DIFFERENTIATION_NTAR_ID,0))</f>
        <v/>
      </c>
      <c r="H138" s="1887"/>
      <c r="I138" s="1763"/>
      <c r="J138" s="1798"/>
      <c r="K138" s="1803"/>
      <c r="L138" s="1887" t="s">
        <v>318</v>
      </c>
      <c r="M138" s="329"/>
      <c r="N138" s="322"/>
      <c r="O138" s="1649"/>
      <c r="P138" s="1649"/>
    </row>
    <row s="1660" customFormat="1" customHeight="1" ht="18.75" hidden="1">
      <c r="A139" s="1805"/>
      <c r="B139" s="1805"/>
      <c r="C139" s="361" t="s">
        <v>1082</v>
      </c>
      <c r="D139" s="2293"/>
      <c r="E139" s="2038"/>
      <c r="F139" s="2202"/>
      <c r="G139" s="2248"/>
      <c r="H139" s="1517"/>
      <c r="I139" s="646" t="s">
        <v>1081</v>
      </c>
      <c r="J139" s="567"/>
      <c r="K139" s="1517"/>
      <c r="L139" s="193"/>
      <c r="M139" s="329"/>
      <c r="N139" s="322"/>
      <c r="O139" s="1649"/>
      <c r="P139" s="1649"/>
    </row>
    <row s="1660" customFormat="1" customHeight="1" ht="0.75" hidden="1">
      <c r="A140" s="1805"/>
      <c r="B140" s="1805"/>
      <c r="C140" s="361" t="s">
        <v>1089</v>
      </c>
      <c r="D140" s="2293"/>
      <c r="E140" s="2038"/>
      <c r="F140" s="2202"/>
      <c r="G140" s="397"/>
      <c r="H140" s="1517"/>
      <c r="I140" s="646"/>
      <c r="J140" s="567"/>
      <c r="K140" s="1517"/>
      <c r="L140" s="193"/>
      <c r="M140" s="329"/>
      <c r="N140" s="322"/>
      <c r="O140" s="1649"/>
      <c r="P140" s="1649"/>
    </row>
    <row s="1660" customFormat="1" customHeight="1" ht="18.75" hidden="1">
      <c r="A141" s="1805" t="s">
        <v>272</v>
      </c>
      <c r="B141" s="1805" t="s">
        <v>273</v>
      </c>
      <c r="C141" s="361"/>
      <c r="D141" s="2293"/>
      <c r="E141" s="2038"/>
      <c r="F141" s="2202" t="str">
        <f>INDEX(PT_DIFFERENTIATION_VTAR,MATCH(A141,PT_DIFFERENTIATION_VTAR_ID,0))</f>
        <v>Тариф на подключение (технологическое присоединение) к централизованной системе горячего водоснабжения</v>
      </c>
      <c r="G141" s="2248" t="str">
        <f>INDEX(PT_DIFFERENTIATION_NTAR,MATCH(B141,PT_DIFFERENTIATION_NTAR_ID,0))</f>
        <v/>
      </c>
      <c r="H141" s="1887"/>
      <c r="I141" s="1763"/>
      <c r="J141" s="1798"/>
      <c r="K141" s="1803"/>
      <c r="L141" s="1887" t="s">
        <v>318</v>
      </c>
      <c r="M141" s="329"/>
      <c r="N141" s="322"/>
      <c r="O141" s="1649"/>
      <c r="P141" s="1649"/>
    </row>
    <row s="1660" customFormat="1" customHeight="1" ht="18.75" hidden="1">
      <c r="A142" s="1805"/>
      <c r="B142" s="1805"/>
      <c r="C142" s="361" t="s">
        <v>1082</v>
      </c>
      <c r="D142" s="2293"/>
      <c r="E142" s="2038"/>
      <c r="F142" s="2202"/>
      <c r="G142" s="2248"/>
      <c r="H142" s="1517"/>
      <c r="I142" s="646" t="s">
        <v>1081</v>
      </c>
      <c r="J142" s="567"/>
      <c r="K142" s="1517"/>
      <c r="L142" s="193"/>
      <c r="M142" s="329"/>
      <c r="N142" s="322"/>
      <c r="O142" s="1649"/>
      <c r="P142" s="1649"/>
    </row>
    <row s="1660" customFormat="1" customHeight="1" ht="0.75" hidden="1">
      <c r="A143" s="1805"/>
      <c r="B143" s="1805"/>
      <c r="C143" s="361" t="s">
        <v>1089</v>
      </c>
      <c r="D143" s="2293"/>
      <c r="E143" s="2038"/>
      <c r="F143" s="2202"/>
      <c r="G143" s="397"/>
      <c r="H143" s="1517"/>
      <c r="I143" s="646"/>
      <c r="J143" s="567"/>
      <c r="K143" s="1517"/>
      <c r="L143" s="193"/>
      <c r="M143" s="329"/>
      <c r="N143" s="322"/>
      <c r="O143" s="1649"/>
      <c r="P143" s="1649"/>
    </row>
    <row s="1660" customFormat="1" customHeight="1" ht="18.75" hidden="1">
      <c r="A144" s="1805" t="s">
        <v>277</v>
      </c>
      <c r="B144" s="1805" t="s">
        <v>278</v>
      </c>
      <c r="C144" s="361"/>
      <c r="D144" s="2293"/>
      <c r="E144" s="2038"/>
      <c r="F144" s="2202" t="str">
        <f>INDEX(PT_DIFFERENTIATION_VTAR,MATCH(A144,PT_DIFFERENTIATION_VTAR_ID,0))</f>
        <v>Тариф на водоотведение</v>
      </c>
      <c r="G144" s="2248" t="str">
        <f>INDEX(PT_DIFFERENTIATION_NTAR,MATCH(B144,PT_DIFFERENTIATION_NTAR_ID,0))</f>
        <v/>
      </c>
      <c r="H144" s="1887"/>
      <c r="I144" s="1763"/>
      <c r="J144" s="1798"/>
      <c r="K144" s="1803"/>
      <c r="L144" s="1887" t="s">
        <v>318</v>
      </c>
      <c r="M144" s="329"/>
      <c r="N144" s="322"/>
      <c r="O144" s="1649"/>
      <c r="P144" s="1649"/>
    </row>
    <row s="1660" customFormat="1" customHeight="1" ht="18.75" hidden="1">
      <c r="A145" s="1805"/>
      <c r="B145" s="1805"/>
      <c r="C145" s="361" t="s">
        <v>1082</v>
      </c>
      <c r="D145" s="2293"/>
      <c r="E145" s="2038"/>
      <c r="F145" s="2202"/>
      <c r="G145" s="2248"/>
      <c r="H145" s="1517"/>
      <c r="I145" s="646" t="s">
        <v>1081</v>
      </c>
      <c r="J145" s="567"/>
      <c r="K145" s="1517"/>
      <c r="L145" s="193"/>
      <c r="M145" s="329"/>
      <c r="N145" s="322"/>
      <c r="O145" s="1649"/>
      <c r="P145" s="1649"/>
    </row>
    <row s="1660" customFormat="1" customHeight="1" ht="0.75" hidden="1">
      <c r="A146" s="1805"/>
      <c r="B146" s="1805"/>
      <c r="C146" s="361" t="s">
        <v>1089</v>
      </c>
      <c r="D146" s="2293"/>
      <c r="E146" s="2038"/>
      <c r="F146" s="2202"/>
      <c r="G146" s="397"/>
      <c r="H146" s="1517"/>
      <c r="I146" s="646"/>
      <c r="J146" s="567"/>
      <c r="K146" s="1517"/>
      <c r="L146" s="193"/>
      <c r="M146" s="329"/>
      <c r="N146" s="322"/>
      <c r="O146" s="1649"/>
      <c r="P146" s="1649"/>
    </row>
    <row s="1660" customFormat="1" customHeight="1" ht="18.75" hidden="1">
      <c r="A147" s="1805" t="s">
        <v>282</v>
      </c>
      <c r="B147" s="1805" t="s">
        <v>283</v>
      </c>
      <c r="C147" s="361"/>
      <c r="D147" s="2293"/>
      <c r="E147" s="2038"/>
      <c r="F147" s="2202" t="str">
        <f>INDEX(PT_DIFFERENTIATION_VTAR,MATCH(A147,PT_DIFFERENTIATION_VTAR_ID,0))</f>
        <v>Тариф на транспортировку сточных вод</v>
      </c>
      <c r="G147" s="2248" t="str">
        <f>INDEX(PT_DIFFERENTIATION_NTAR,MATCH(B147,PT_DIFFERENTIATION_NTAR_ID,0))</f>
        <v/>
      </c>
      <c r="H147" s="1887"/>
      <c r="I147" s="1763"/>
      <c r="J147" s="1798"/>
      <c r="K147" s="1803"/>
      <c r="L147" s="1887" t="s">
        <v>318</v>
      </c>
      <c r="M147" s="329"/>
      <c r="N147" s="322"/>
      <c r="O147" s="1649"/>
      <c r="P147" s="1649"/>
    </row>
    <row s="1660" customFormat="1" customHeight="1" ht="18.75" hidden="1">
      <c r="A148" s="1805"/>
      <c r="B148" s="1805"/>
      <c r="C148" s="361" t="s">
        <v>1082</v>
      </c>
      <c r="D148" s="2293"/>
      <c r="E148" s="2038"/>
      <c r="F148" s="2202"/>
      <c r="G148" s="2248"/>
      <c r="H148" s="1517"/>
      <c r="I148" s="646" t="s">
        <v>1081</v>
      </c>
      <c r="J148" s="567"/>
      <c r="K148" s="1517"/>
      <c r="L148" s="193"/>
      <c r="M148" s="329"/>
      <c r="N148" s="322"/>
      <c r="O148" s="1649"/>
      <c r="P148" s="1649"/>
    </row>
    <row s="1660" customFormat="1" customHeight="1" ht="0.75" hidden="1">
      <c r="A149" s="1805"/>
      <c r="B149" s="1805"/>
      <c r="C149" s="361" t="s">
        <v>1089</v>
      </c>
      <c r="D149" s="2293"/>
      <c r="E149" s="2038"/>
      <c r="F149" s="2202"/>
      <c r="G149" s="397"/>
      <c r="H149" s="1517"/>
      <c r="I149" s="646"/>
      <c r="J149" s="567"/>
      <c r="K149" s="1517"/>
      <c r="L149" s="193"/>
      <c r="M149" s="329"/>
      <c r="N149" s="322"/>
      <c r="O149" s="1649"/>
      <c r="P149" s="1649"/>
    </row>
    <row s="1660" customFormat="1" customHeight="1" ht="18.75" hidden="1">
      <c r="A150" s="1805" t="s">
        <v>287</v>
      </c>
      <c r="B150" s="1805" t="s">
        <v>288</v>
      </c>
      <c r="C150" s="361"/>
      <c r="D150" s="2293"/>
      <c r="E150" s="2038"/>
      <c r="F150" s="2202" t="str">
        <f>INDEX(PT_DIFFERENTIATION_VTAR,MATCH(A150,PT_DIFFERENTIATION_VTAR_ID,0))</f>
        <v>Тариф на подключение (технологическое присоединение) к централизованной системе водоотведения</v>
      </c>
      <c r="G150" s="2248" t="str">
        <f>INDEX(PT_DIFFERENTIATION_NTAR,MATCH(B150,PT_DIFFERENTIATION_NTAR_ID,0))</f>
        <v/>
      </c>
      <c r="H150" s="1887"/>
      <c r="I150" s="1763"/>
      <c r="J150" s="1798"/>
      <c r="K150" s="1803"/>
      <c r="L150" s="1887" t="s">
        <v>318</v>
      </c>
      <c r="M150" s="329"/>
      <c r="N150" s="322"/>
      <c r="O150" s="1649"/>
      <c r="P150" s="1649"/>
    </row>
    <row s="1660" customFormat="1" customHeight="1" ht="18.75" hidden="1">
      <c r="A151" s="1805"/>
      <c r="B151" s="1805"/>
      <c r="C151" s="361" t="s">
        <v>1082</v>
      </c>
      <c r="D151" s="2293"/>
      <c r="E151" s="2038"/>
      <c r="F151" s="2202"/>
      <c r="G151" s="2248"/>
      <c r="H151" s="1517"/>
      <c r="I151" s="646" t="s">
        <v>1081</v>
      </c>
      <c r="J151" s="567"/>
      <c r="K151" s="1517"/>
      <c r="L151" s="193"/>
      <c r="M151" s="329"/>
      <c r="N151" s="322"/>
      <c r="O151" s="1649"/>
      <c r="P151" s="1649"/>
    </row>
    <row s="1660" customFormat="1" customHeight="1" ht="0.75">
      <c r="A152" s="1805"/>
      <c r="B152" s="1805"/>
      <c r="C152" s="361" t="s">
        <v>1089</v>
      </c>
      <c r="D152" s="2293"/>
      <c r="E152" s="2038"/>
      <c r="F152" s="2202"/>
      <c r="G152" s="397"/>
      <c r="H152" s="1517"/>
      <c r="I152" s="646"/>
      <c r="J152" s="567"/>
      <c r="K152" s="1517"/>
      <c r="L152" s="193"/>
      <c r="M152" s="329"/>
      <c r="N152" s="322"/>
      <c r="O152" s="1649"/>
      <c r="P152" s="1649"/>
    </row>
    <row customHeight="1" ht="18.75">
      <c r="A153" s="1805"/>
      <c r="B153" s="1805"/>
      <c r="D153" s="368"/>
      <c r="E153" s="127" t="s">
        <v>90</v>
      </c>
      <c r="F153" s="2285"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53" s="2285"/>
      <c r="H153" s="2285"/>
      <c r="I153" s="2285"/>
      <c r="J153" s="2285"/>
      <c r="K153" s="2285"/>
      <c r="L153" s="2285"/>
      <c r="M153" s="277"/>
      <c r="N153" s="322"/>
    </row>
    <row s="1660" customFormat="1" customHeight="1" ht="60.75" hidden="1">
      <c r="A154" s="1805" t="s">
        <v>155</v>
      </c>
      <c r="B154" s="1805" t="s">
        <v>156</v>
      </c>
      <c r="C154" s="361"/>
      <c r="D154" s="2293"/>
      <c r="E154" s="2038"/>
      <c r="F154" s="2202" t="str">
        <f>INDEX(PT_DIFFERENTIATION_VTAR,MATCH(A154,PT_DIFFERENTIATION_VTAR_ID,0))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54" s="2248" t="str">
        <f>INDEX(PT_DIFFERENTIATION_NTAR,MATCH(B154,PT_DIFFERENTIATION_NTAR_ID,0))</f>
        <v>Тариф на тепловую энергию, поставляемую ПАО "ТГК-1" потребителям, расположенным на территории Санкт-Петербурга</v>
      </c>
      <c r="H154" s="1887"/>
      <c r="I154" s="1763"/>
      <c r="J154" s="1798"/>
      <c r="K154" s="1803"/>
      <c r="L154" s="1887" t="s">
        <v>318</v>
      </c>
      <c r="M154"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54" s="322"/>
      <c r="O154" s="1649"/>
      <c r="P154" s="1649"/>
    </row>
    <row s="1660" customFormat="1" customHeight="1" ht="18.75" hidden="1">
      <c r="A155" s="1805"/>
      <c r="B155" s="1805"/>
      <c r="C155" s="361" t="s">
        <v>1082</v>
      </c>
      <c r="D155" s="2293"/>
      <c r="E155" s="2038"/>
      <c r="F155" s="2202"/>
      <c r="G155" s="2248"/>
      <c r="H155" s="1517"/>
      <c r="I155" s="646" t="s">
        <v>1081</v>
      </c>
      <c r="J155" s="567"/>
      <c r="K155" s="1517"/>
      <c r="L155" s="193"/>
      <c r="M155" s="1998"/>
      <c r="N155" s="322"/>
      <c r="O155" s="1649"/>
      <c r="P155" s="1649"/>
    </row>
    <row s="1660" customFormat="1" customHeight="1" ht="18.75">
      <c r="A156" s="1848" t="s">
        <v>155</v>
      </c>
      <c r="B156" s="1848" t="s">
        <v>165</v>
      </c>
      <c r="C156" s="1712"/>
      <c r="D156" s="332"/>
      <c r="E156" s="1026"/>
      <c r="F156" s="1026"/>
      <c r="G156" s="2248" t="str">
        <f>INDEX(PT_DIFFERENTIATION_NTAR,MATCH(B156,PT_DIFFERENTIATION_NTAR_ID,0))</f>
        <v>Тариф на тепловую энергию, поставляемую ПАО "ТГК-1" на коллекторах источников тепловой энергии потребителям, расположенным на территории Санкт-Петербурга</v>
      </c>
      <c r="H156" s="2066"/>
      <c r="I156" s="1763"/>
      <c r="J156" s="1798"/>
      <c r="K156" s="1803"/>
      <c r="L156" s="2066" t="s">
        <v>318</v>
      </c>
      <c r="M156" s="1900"/>
      <c r="N156" s="614"/>
      <c r="O156" s="1649"/>
      <c r="P156" s="1649"/>
      <c r="Q156" s="1660"/>
      <c r="R156" s="1660"/>
      <c r="S156" s="1660"/>
      <c r="T156" s="1660"/>
      <c r="U156" s="1660"/>
      <c r="V156" s="1660"/>
      <c r="W156" s="1660"/>
      <c r="X156" s="1660"/>
      <c r="Y156" s="1660"/>
      <c r="Z156" s="1660"/>
      <c r="AA156" s="1660"/>
      <c r="AB156" s="1660"/>
      <c r="AC156" s="1660"/>
      <c r="AD156" s="1660"/>
      <c r="AE156" s="1660"/>
      <c r="AF156" s="1660"/>
      <c r="AG156" s="1660"/>
    </row>
    <row s="1660" customFormat="1" customHeight="1" ht="18.75">
      <c r="A157" s="1848"/>
      <c r="B157" s="1848"/>
      <c r="C157" s="1712" t="s">
        <v>1082</v>
      </c>
      <c r="D157" s="332"/>
      <c r="E157" s="1026"/>
      <c r="F157" s="1026"/>
      <c r="G157" s="2248"/>
      <c r="H157" s="5557"/>
      <c r="I157" s="5558" t="s">
        <v>1081</v>
      </c>
      <c r="J157" s="5559"/>
      <c r="K157" s="5560"/>
      <c r="L157" s="5561"/>
      <c r="M157" s="1900"/>
      <c r="N157" s="614"/>
      <c r="O157" s="1649"/>
      <c r="P157" s="1649"/>
      <c r="Q157" s="1660"/>
      <c r="R157" s="1660"/>
      <c r="S157" s="1660"/>
      <c r="T157" s="1660"/>
      <c r="U157" s="1660"/>
      <c r="V157" s="1660"/>
      <c r="W157" s="1660"/>
      <c r="X157" s="1660"/>
      <c r="Y157" s="1660"/>
      <c r="Z157" s="1660"/>
      <c r="AA157" s="1660"/>
      <c r="AB157" s="1660"/>
      <c r="AC157" s="1660"/>
      <c r="AD157" s="1660"/>
      <c r="AE157" s="1660"/>
      <c r="AF157" s="1660"/>
      <c r="AG157" s="1660"/>
    </row>
    <row s="1660" customFormat="1" customHeight="1" ht="18.75">
      <c r="A158" s="1848" t="s">
        <v>155</v>
      </c>
      <c r="B158" s="1848" t="s">
        <v>170</v>
      </c>
      <c r="C158" s="1712"/>
      <c r="D158" s="332"/>
      <c r="E158" s="1026"/>
      <c r="F158" s="1026"/>
      <c r="G158" s="2248" t="str">
        <f>INDEX(PT_DIFFERENTIATION_NTAR,MATCH(B158,PT_DIFFERENTIATION_NTAR_ID,0))</f>
        <v>Тариф на тепловую энергию (мощность), поставляемую ПАО "ТГК-1" теплоснабжающим, теплосетевым организациям, приобретающим тепловую энергию с целью компенсации потерь тепловой энергии</v>
      </c>
      <c r="H158" s="2066"/>
      <c r="I158" s="1763"/>
      <c r="J158" s="1798"/>
      <c r="K158" s="1803"/>
      <c r="L158" s="2066" t="s">
        <v>318</v>
      </c>
      <c r="M158" s="1900"/>
      <c r="N158" s="614"/>
      <c r="O158" s="1649"/>
      <c r="P158" s="1649"/>
      <c r="Q158" s="1660"/>
      <c r="R158" s="1660"/>
      <c r="S158" s="1660"/>
      <c r="T158" s="1660"/>
      <c r="U158" s="1660"/>
      <c r="V158" s="1660"/>
      <c r="W158" s="1660"/>
      <c r="X158" s="1660"/>
      <c r="Y158" s="1660"/>
      <c r="Z158" s="1660"/>
      <c r="AA158" s="1660"/>
      <c r="AB158" s="1660"/>
      <c r="AC158" s="1660"/>
      <c r="AD158" s="1660"/>
      <c r="AE158" s="1660"/>
      <c r="AF158" s="1660"/>
      <c r="AG158" s="1660"/>
    </row>
    <row s="1660" customFormat="1" customHeight="1" ht="18.75">
      <c r="A159" s="1848"/>
      <c r="B159" s="1848"/>
      <c r="C159" s="1712" t="s">
        <v>1082</v>
      </c>
      <c r="D159" s="332"/>
      <c r="E159" s="1026"/>
      <c r="F159" s="1026"/>
      <c r="G159" s="2248"/>
      <c r="H159" s="5562"/>
      <c r="I159" s="5563" t="s">
        <v>1081</v>
      </c>
      <c r="J159" s="5564"/>
      <c r="K159" s="5565"/>
      <c r="L159" s="5566"/>
      <c r="M159" s="1900"/>
      <c r="N159" s="614"/>
      <c r="O159" s="1649"/>
      <c r="P159" s="1649"/>
      <c r="Q159" s="1660"/>
      <c r="R159" s="1660"/>
      <c r="S159" s="1660"/>
      <c r="T159" s="1660"/>
      <c r="U159" s="1660"/>
      <c r="V159" s="1660"/>
      <c r="W159" s="1660"/>
      <c r="X159" s="1660"/>
      <c r="Y159" s="1660"/>
      <c r="Z159" s="1660"/>
      <c r="AA159" s="1660"/>
      <c r="AB159" s="1660"/>
      <c r="AC159" s="1660"/>
      <c r="AD159" s="1660"/>
      <c r="AE159" s="1660"/>
      <c r="AF159" s="1660"/>
      <c r="AG159" s="1660"/>
    </row>
    <row s="1660" customFormat="1" customHeight="1" ht="18.75">
      <c r="A160" s="1848" t="s">
        <v>155</v>
      </c>
      <c r="B160" s="1848" t="s">
        <v>175</v>
      </c>
      <c r="C160" s="1712"/>
      <c r="D160" s="332"/>
      <c r="E160" s="1026"/>
      <c r="F160" s="1026"/>
      <c r="G160" s="2248" t="str">
        <f>INDEX(PT_DIFFERENTIATION_NTAR,MATCH(B160,PT_DIFFERENTIATION_NTAR_ID,0))</f>
        <v>Льготные тарифы на тепловую энергию, поставляемую ПАО "ТГК-1" потребителям, расположенным на территории Санкт-Петербурга</v>
      </c>
      <c r="H160" s="2066"/>
      <c r="I160" s="1763"/>
      <c r="J160" s="1798"/>
      <c r="K160" s="1803"/>
      <c r="L160" s="2066" t="s">
        <v>318</v>
      </c>
      <c r="M160" s="1900"/>
      <c r="N160" s="614"/>
      <c r="O160" s="1649"/>
      <c r="P160" s="1649"/>
      <c r="Q160" s="1660"/>
      <c r="R160" s="1660"/>
      <c r="S160" s="1660"/>
      <c r="T160" s="1660"/>
      <c r="U160" s="1660"/>
      <c r="V160" s="1660"/>
      <c r="W160" s="1660"/>
      <c r="X160" s="1660"/>
      <c r="Y160" s="1660"/>
      <c r="Z160" s="1660"/>
      <c r="AA160" s="1660"/>
      <c r="AB160" s="1660"/>
      <c r="AC160" s="1660"/>
      <c r="AD160" s="1660"/>
      <c r="AE160" s="1660"/>
      <c r="AF160" s="1660"/>
      <c r="AG160" s="1660"/>
    </row>
    <row s="1660" customFormat="1" customHeight="1" ht="18.75">
      <c r="A161" s="1848"/>
      <c r="B161" s="1848"/>
      <c r="C161" s="1712" t="s">
        <v>1082</v>
      </c>
      <c r="D161" s="332"/>
      <c r="E161" s="1026"/>
      <c r="F161" s="1026"/>
      <c r="G161" s="2248"/>
      <c r="H161" s="5567"/>
      <c r="I161" s="5568" t="s">
        <v>1081</v>
      </c>
      <c r="J161" s="5569"/>
      <c r="K161" s="5570"/>
      <c r="L161" s="5571"/>
      <c r="M161" s="1900"/>
      <c r="N161" s="614"/>
      <c r="O161" s="1649"/>
      <c r="P161" s="1649"/>
      <c r="Q161" s="1660"/>
      <c r="R161" s="1660"/>
      <c r="S161" s="1660"/>
      <c r="T161" s="1660"/>
      <c r="U161" s="1660"/>
      <c r="V161" s="1660"/>
      <c r="W161" s="1660"/>
      <c r="X161" s="1660"/>
      <c r="Y161" s="1660"/>
      <c r="Z161" s="1660"/>
      <c r="AA161" s="1660"/>
      <c r="AB161" s="1660"/>
      <c r="AC161" s="1660"/>
      <c r="AD161" s="1660"/>
      <c r="AE161" s="1660"/>
      <c r="AF161" s="1660"/>
      <c r="AG161" s="1660"/>
    </row>
    <row s="1660" customFormat="1" customHeight="1" ht="0.75" hidden="1">
      <c r="A162" s="1805"/>
      <c r="B162" s="1805"/>
      <c r="C162" s="361" t="s">
        <v>1089</v>
      </c>
      <c r="D162" s="2293"/>
      <c r="E162" s="2038"/>
      <c r="F162" s="2202"/>
      <c r="G162" s="397"/>
      <c r="H162" s="1517"/>
      <c r="I162" s="646"/>
      <c r="J162" s="567"/>
      <c r="K162" s="1517"/>
      <c r="L162" s="193"/>
      <c r="M162" s="1998"/>
      <c r="N162" s="322"/>
      <c r="O162" s="1649"/>
      <c r="P162" s="1649"/>
    </row>
    <row s="1660" customFormat="1" customHeight="1" ht="45" hidden="1">
      <c r="A163" s="1805" t="s">
        <v>181</v>
      </c>
      <c r="B163" s="1805" t="s">
        <v>182</v>
      </c>
      <c r="C163" s="361"/>
      <c r="D163" s="2293"/>
      <c r="E163" s="2038"/>
      <c r="F163" s="2202" t="str">
        <f>INDEX(PT_DIFFERENTIATION_VTAR,MATCH(A163,PT_DIFFERENTIATION_VTAR_ID,0))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63" s="2248" t="str">
        <f>INDEX(PT_DIFFERENTIATION_NTAR,MATCH(B163,PT_DIFFERENTIATION_NTAR_ID,0))</f>
        <v/>
      </c>
      <c r="H163" s="1887"/>
      <c r="I163" s="1763"/>
      <c r="J163" s="1798"/>
      <c r="K163" s="1803"/>
      <c r="L163" s="1887" t="s">
        <v>318</v>
      </c>
      <c r="M163" s="1999"/>
      <c r="N163" s="322"/>
      <c r="O163" s="1649"/>
      <c r="P163" s="1649"/>
    </row>
    <row s="1660" customFormat="1" customHeight="1" ht="18.75" hidden="1">
      <c r="A164" s="1805"/>
      <c r="B164" s="1805"/>
      <c r="C164" s="361" t="s">
        <v>1082</v>
      </c>
      <c r="D164" s="2293"/>
      <c r="E164" s="2038"/>
      <c r="F164" s="2202"/>
      <c r="G164" s="2248"/>
      <c r="H164" s="1517"/>
      <c r="I164" s="646" t="s">
        <v>1081</v>
      </c>
      <c r="J164" s="567"/>
      <c r="K164" s="1517"/>
      <c r="L164" s="193"/>
      <c r="M164" s="1886"/>
      <c r="N164" s="322"/>
      <c r="O164" s="1649"/>
      <c r="P164" s="1649"/>
    </row>
    <row s="1660" customFormat="1" customHeight="1" ht="0.75" hidden="1">
      <c r="A165" s="1805"/>
      <c r="B165" s="1805"/>
      <c r="C165" s="361" t="s">
        <v>1089</v>
      </c>
      <c r="D165" s="2293"/>
      <c r="E165" s="2038"/>
      <c r="F165" s="2202"/>
      <c r="G165" s="397"/>
      <c r="H165" s="1517"/>
      <c r="I165" s="646"/>
      <c r="J165" s="567"/>
      <c r="K165" s="1517"/>
      <c r="L165" s="193"/>
      <c r="M165" s="329"/>
      <c r="N165" s="322"/>
      <c r="O165" s="1649"/>
      <c r="P165" s="1649"/>
    </row>
    <row s="1660" customFormat="1" customHeight="1" ht="45" hidden="1">
      <c r="A166" s="1805" t="s">
        <v>189</v>
      </c>
      <c r="B166" s="1805" t="s">
        <v>190</v>
      </c>
      <c r="C166" s="361"/>
      <c r="D166" s="2293"/>
      <c r="E166" s="2038"/>
      <c r="F166" s="2202" t="str">
        <f>INDEX(PT_DIFFERENTIATION_VTAR,MATCH(A166,PT_DIFFERENTIATION_VTAR_ID,0))</f>
        <v>Тарифы на теплоноситель, поставляемый теплоснабжающими организациями потребителям, другим теплоснабжающим организациям</v>
      </c>
      <c r="G166" s="2248" t="str">
        <f>INDEX(PT_DIFFERENTIATION_NTAR,MATCH(B166,PT_DIFFERENTIATION_NTAR_ID,0))</f>
        <v>Тариф на теплоноситель, поставляемый ПАО "ТГК-1" потребителям, расположенным на территории Санкт-Петербурга</v>
      </c>
      <c r="H166" s="1887"/>
      <c r="I166" s="1763"/>
      <c r="J166" s="1798"/>
      <c r="K166" s="1803"/>
      <c r="L166" s="1887" t="s">
        <v>318</v>
      </c>
      <c r="M166" s="329"/>
      <c r="N166" s="322"/>
      <c r="O166" s="1649"/>
      <c r="P166" s="1649"/>
    </row>
    <row s="1660" customFormat="1" customHeight="1" ht="18.75" hidden="1">
      <c r="A167" s="1805"/>
      <c r="B167" s="1805"/>
      <c r="C167" s="361" t="s">
        <v>1082</v>
      </c>
      <c r="D167" s="2293"/>
      <c r="E167" s="2038"/>
      <c r="F167" s="2202"/>
      <c r="G167" s="2248"/>
      <c r="H167" s="1517"/>
      <c r="I167" s="646" t="s">
        <v>1081</v>
      </c>
      <c r="J167" s="567"/>
      <c r="K167" s="1517"/>
      <c r="L167" s="193"/>
      <c r="M167" s="329"/>
      <c r="N167" s="322"/>
      <c r="O167" s="1649"/>
      <c r="P167" s="1649"/>
    </row>
    <row s="1660" customFormat="1" customHeight="1" ht="0.75" hidden="1">
      <c r="A168" s="1805"/>
      <c r="B168" s="1805"/>
      <c r="C168" s="361" t="s">
        <v>1089</v>
      </c>
      <c r="D168" s="2293"/>
      <c r="E168" s="2038"/>
      <c r="F168" s="2202"/>
      <c r="G168" s="397"/>
      <c r="H168" s="1517"/>
      <c r="I168" s="646"/>
      <c r="J168" s="567"/>
      <c r="K168" s="1517"/>
      <c r="L168" s="193"/>
      <c r="M168" s="329"/>
      <c r="N168" s="322"/>
      <c r="O168" s="1649"/>
      <c r="P168" s="1649"/>
    </row>
    <row s="1660" customFormat="1" customHeight="1" ht="45" hidden="1">
      <c r="A169" s="1805" t="s">
        <v>197</v>
      </c>
      <c r="B169" s="1805" t="s">
        <v>198</v>
      </c>
      <c r="C169" s="361"/>
      <c r="D169" s="2293"/>
      <c r="E169" s="2038"/>
      <c r="F169" s="2202" t="str">
        <f>INDEX(PT_DIFFERENTIATION_VTAR,MATCH(A169,PT_DIFFERENTIATION_VTAR_ID,0))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69" s="2248" t="str">
        <f>INDEX(PT_DIFFERENTIATION_NTAR,MATCH(B169,PT_DIFFERENTIATION_NTAR_ID,0))</f>
        <v>Тариф на горячую воду (горячее водоснабжение), поставляемую ПАО "ТГК-1" в открытых системах теплоснабжения потребителям, расположенным на территории Санкт-Петербурга</v>
      </c>
      <c r="H169" s="1887"/>
      <c r="I169" s="1763"/>
      <c r="J169" s="1798"/>
      <c r="K169" s="1803"/>
      <c r="L169" s="1887" t="s">
        <v>318</v>
      </c>
      <c r="M169" s="329"/>
      <c r="N169" s="322"/>
      <c r="O169" s="1649"/>
      <c r="P169" s="1649"/>
    </row>
    <row s="1660" customFormat="1" customHeight="1" ht="18.75" hidden="1">
      <c r="A170" s="1805"/>
      <c r="B170" s="1805"/>
      <c r="C170" s="361" t="s">
        <v>1082</v>
      </c>
      <c r="D170" s="2293"/>
      <c r="E170" s="2038"/>
      <c r="F170" s="2202"/>
      <c r="G170" s="2248"/>
      <c r="H170" s="1517"/>
      <c r="I170" s="646" t="s">
        <v>1081</v>
      </c>
      <c r="J170" s="567"/>
      <c r="K170" s="1517"/>
      <c r="L170" s="193"/>
      <c r="M170" s="329"/>
      <c r="N170" s="322"/>
      <c r="O170" s="1649"/>
      <c r="P170" s="1649"/>
    </row>
    <row s="1660" customFormat="1" customHeight="1" ht="0.75" hidden="1">
      <c r="A171" s="1805"/>
      <c r="B171" s="1805"/>
      <c r="C171" s="361" t="s">
        <v>1089</v>
      </c>
      <c r="D171" s="2293"/>
      <c r="E171" s="2038"/>
      <c r="F171" s="2202"/>
      <c r="G171" s="397"/>
      <c r="H171" s="1517"/>
      <c r="I171" s="646"/>
      <c r="J171" s="567"/>
      <c r="K171" s="1517"/>
      <c r="L171" s="193"/>
      <c r="M171" s="329"/>
      <c r="N171" s="322"/>
      <c r="O171" s="1649"/>
      <c r="P171" s="1649"/>
    </row>
    <row s="1660" customFormat="1" customHeight="1" ht="18.75" hidden="1">
      <c r="A172" s="1805" t="s">
        <v>203</v>
      </c>
      <c r="B172" s="1805" t="s">
        <v>204</v>
      </c>
      <c r="C172" s="361"/>
      <c r="D172" s="2293"/>
      <c r="E172" s="2038"/>
      <c r="F172" s="2202" t="str">
        <f>INDEX(PT_DIFFERENTIATION_VTAR,MATCH(A172,PT_DIFFERENTIATION_VTAR_ID,0))</f>
        <v>Тарифы на услуги по передаче тепловой энергии</v>
      </c>
      <c r="G172" s="2248" t="str">
        <f>INDEX(PT_DIFFERENTIATION_NTAR,MATCH(B172,PT_DIFFERENTIATION_NTAR_ID,0))</f>
        <v/>
      </c>
      <c r="H172" s="1887"/>
      <c r="I172" s="1763"/>
      <c r="J172" s="1798"/>
      <c r="K172" s="1803"/>
      <c r="L172" s="1887" t="s">
        <v>318</v>
      </c>
      <c r="M172" s="329"/>
      <c r="N172" s="322"/>
      <c r="O172" s="1649"/>
      <c r="P172" s="1649"/>
    </row>
    <row s="1660" customFormat="1" customHeight="1" ht="18.75" hidden="1">
      <c r="A173" s="1805"/>
      <c r="B173" s="1805"/>
      <c r="C173" s="361" t="s">
        <v>1082</v>
      </c>
      <c r="D173" s="2293"/>
      <c r="E173" s="2038"/>
      <c r="F173" s="2202"/>
      <c r="G173" s="2248"/>
      <c r="H173" s="1517"/>
      <c r="I173" s="646" t="s">
        <v>1081</v>
      </c>
      <c r="J173" s="567"/>
      <c r="K173" s="1517"/>
      <c r="L173" s="193"/>
      <c r="M173" s="329"/>
      <c r="N173" s="322"/>
      <c r="O173" s="1649"/>
      <c r="P173" s="1649"/>
    </row>
    <row s="1660" customFormat="1" customHeight="1" ht="0.75" hidden="1">
      <c r="A174" s="1805"/>
      <c r="B174" s="1805"/>
      <c r="C174" s="361" t="s">
        <v>1089</v>
      </c>
      <c r="D174" s="2293"/>
      <c r="E174" s="2038"/>
      <c r="F174" s="2202"/>
      <c r="G174" s="397"/>
      <c r="H174" s="1517"/>
      <c r="I174" s="646"/>
      <c r="J174" s="567"/>
      <c r="K174" s="1517"/>
      <c r="L174" s="193"/>
      <c r="M174" s="329"/>
      <c r="N174" s="322"/>
      <c r="O174" s="1649"/>
      <c r="P174" s="1649"/>
    </row>
    <row s="1660" customFormat="1" customHeight="1" ht="18.75" hidden="1">
      <c r="A175" s="1805" t="s">
        <v>209</v>
      </c>
      <c r="B175" s="1805" t="s">
        <v>210</v>
      </c>
      <c r="C175" s="361"/>
      <c r="D175" s="2293"/>
      <c r="E175" s="2038"/>
      <c r="F175" s="2202" t="str">
        <f>INDEX(PT_DIFFERENTIATION_VTAR,MATCH(A175,PT_DIFFERENTIATION_VTAR_ID,0))</f>
        <v>Тарифы на услуги по передаче теплоносителя</v>
      </c>
      <c r="G175" s="2248" t="str">
        <f>INDEX(PT_DIFFERENTIATION_NTAR,MATCH(B175,PT_DIFFERENTIATION_NTAR_ID,0))</f>
        <v/>
      </c>
      <c r="H175" s="1887"/>
      <c r="I175" s="1763"/>
      <c r="J175" s="1798"/>
      <c r="K175" s="1803"/>
      <c r="L175" s="1887" t="s">
        <v>318</v>
      </c>
      <c r="M175" s="329"/>
      <c r="N175" s="322"/>
      <c r="O175" s="1649"/>
      <c r="P175" s="1649"/>
    </row>
    <row s="1660" customFormat="1" customHeight="1" ht="18.75" hidden="1">
      <c r="A176" s="1805"/>
      <c r="B176" s="1805"/>
      <c r="C176" s="361" t="s">
        <v>1082</v>
      </c>
      <c r="D176" s="2293"/>
      <c r="E176" s="2038"/>
      <c r="F176" s="2202"/>
      <c r="G176" s="2248"/>
      <c r="H176" s="1517"/>
      <c r="I176" s="646" t="s">
        <v>1081</v>
      </c>
      <c r="J176" s="567"/>
      <c r="K176" s="1517"/>
      <c r="L176" s="193"/>
      <c r="M176" s="329"/>
      <c r="N176" s="322"/>
      <c r="O176" s="1649"/>
      <c r="P176" s="1649"/>
    </row>
    <row s="1660" customFormat="1" customHeight="1" ht="0.75" hidden="1">
      <c r="A177" s="1805"/>
      <c r="B177" s="1805"/>
      <c r="C177" s="361" t="s">
        <v>1089</v>
      </c>
      <c r="D177" s="2293"/>
      <c r="E177" s="2038"/>
      <c r="F177" s="2202"/>
      <c r="G177" s="397"/>
      <c r="H177" s="1517"/>
      <c r="I177" s="646"/>
      <c r="J177" s="567"/>
      <c r="K177" s="1517"/>
      <c r="L177" s="193"/>
      <c r="M177" s="329"/>
      <c r="N177" s="322"/>
      <c r="O177" s="1649"/>
      <c r="P177" s="1649"/>
    </row>
    <row s="1660" customFormat="1" customHeight="1" ht="18.75" hidden="1">
      <c r="A178" s="1805" t="s">
        <v>217</v>
      </c>
      <c r="B178" s="1805" t="s">
        <v>218</v>
      </c>
      <c r="C178" s="361"/>
      <c r="D178" s="2293"/>
      <c r="E178" s="2038"/>
      <c r="F178" s="2202" t="str">
        <f>INDEX(PT_DIFFERENTIATION_VTAR,MATCH(A178,PT_DIFFERENTIATION_VTAR_ID,0))</f>
        <v>Плата за услуги по поддержанию резервной тепловой мощности при отсутствии потребления тепловой энергии</v>
      </c>
      <c r="G178" s="2248" t="str">
        <f>INDEX(PT_DIFFERENTIATION_NTAR,MATCH(B178,PT_DIFFERENTIATION_NTAR_ID,0))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H178" s="1887"/>
      <c r="I178" s="1763"/>
      <c r="J178" s="1798"/>
      <c r="K178" s="1803"/>
      <c r="L178" s="1887" t="s">
        <v>318</v>
      </c>
      <c r="M178" s="329"/>
      <c r="N178" s="322"/>
      <c r="O178" s="1649"/>
      <c r="P178" s="1649"/>
    </row>
    <row s="1660" customFormat="1" customHeight="1" ht="18.75" hidden="1">
      <c r="A179" s="1805"/>
      <c r="B179" s="1805"/>
      <c r="C179" s="361" t="s">
        <v>1082</v>
      </c>
      <c r="D179" s="2293"/>
      <c r="E179" s="2038"/>
      <c r="F179" s="2202"/>
      <c r="G179" s="2248"/>
      <c r="H179" s="1517"/>
      <c r="I179" s="646" t="s">
        <v>1081</v>
      </c>
      <c r="J179" s="567"/>
      <c r="K179" s="1517"/>
      <c r="L179" s="193"/>
      <c r="M179" s="329"/>
      <c r="N179" s="322"/>
      <c r="O179" s="1649"/>
      <c r="P179" s="1649"/>
    </row>
    <row s="1660" customFormat="1" customHeight="1" ht="0.75" hidden="1">
      <c r="A180" s="1805"/>
      <c r="B180" s="1805"/>
      <c r="C180" s="361" t="s">
        <v>1089</v>
      </c>
      <c r="D180" s="2293"/>
      <c r="E180" s="2038"/>
      <c r="F180" s="2202"/>
      <c r="G180" s="397"/>
      <c r="H180" s="1517"/>
      <c r="I180" s="646"/>
      <c r="J180" s="567"/>
      <c r="K180" s="1517"/>
      <c r="L180" s="193"/>
      <c r="M180" s="329"/>
      <c r="N180" s="322"/>
      <c r="O180" s="1649"/>
      <c r="P180" s="1649"/>
    </row>
    <row s="1660" customFormat="1" customHeight="1" ht="18.75" hidden="1">
      <c r="A181" s="1805" t="s">
        <v>223</v>
      </c>
      <c r="B181" s="1805" t="s">
        <v>224</v>
      </c>
      <c r="C181" s="361"/>
      <c r="D181" s="2293"/>
      <c r="E181" s="2038"/>
      <c r="F181" s="2202" t="str">
        <f>INDEX(PT_DIFFERENTIATION_VTAR,MATCH(A181,PT_DIFFERENTIATION_VTAR_ID,0))</f>
        <v>Плата за подключение (технологическое присоединение) к системе теплоснабжения</v>
      </c>
      <c r="G181" s="2248" t="str">
        <f>INDEX(PT_DIFFERENTIATION_NTAR,MATCH(B181,PT_DIFFERENTIATION_NTAR_ID,0))</f>
        <v/>
      </c>
      <c r="H181" s="1887"/>
      <c r="I181" s="1763"/>
      <c r="J181" s="1798"/>
      <c r="K181" s="1803"/>
      <c r="L181" s="1887" t="s">
        <v>318</v>
      </c>
      <c r="M181" s="329"/>
      <c r="N181" s="322"/>
      <c r="O181" s="1649"/>
      <c r="P181" s="1649"/>
    </row>
    <row s="1660" customFormat="1" customHeight="1" ht="18.75" hidden="1">
      <c r="A182" s="1805"/>
      <c r="B182" s="1805"/>
      <c r="C182" s="361" t="s">
        <v>1082</v>
      </c>
      <c r="D182" s="2293"/>
      <c r="E182" s="2038"/>
      <c r="F182" s="2202"/>
      <c r="G182" s="2248"/>
      <c r="H182" s="1517"/>
      <c r="I182" s="646" t="s">
        <v>1081</v>
      </c>
      <c r="J182" s="567"/>
      <c r="K182" s="1517"/>
      <c r="L182" s="193"/>
      <c r="M182" s="329"/>
      <c r="N182" s="322"/>
      <c r="O182" s="1649"/>
      <c r="P182" s="1649"/>
    </row>
    <row s="1660" customFormat="1" customHeight="1" ht="0.75" hidden="1">
      <c r="A183" s="1805"/>
      <c r="B183" s="1805"/>
      <c r="C183" s="361" t="s">
        <v>1089</v>
      </c>
      <c r="D183" s="2293"/>
      <c r="E183" s="2038"/>
      <c r="F183" s="2202"/>
      <c r="G183" s="397"/>
      <c r="H183" s="1517"/>
      <c r="I183" s="646"/>
      <c r="J183" s="567"/>
      <c r="K183" s="1517"/>
      <c r="L183" s="193"/>
      <c r="M183" s="329"/>
      <c r="N183" s="322"/>
      <c r="O183" s="1649"/>
      <c r="P183" s="1649"/>
    </row>
    <row s="1660" customFormat="1" customHeight="1" ht="18.75" hidden="1">
      <c r="A184" s="1805" t="s">
        <v>237</v>
      </c>
      <c r="B184" s="1805" t="s">
        <v>238</v>
      </c>
      <c r="C184" s="361"/>
      <c r="D184" s="2293"/>
      <c r="E184" s="2038"/>
      <c r="F184" s="2202" t="str">
        <f>INDEX(PT_DIFFERENTIATION_VTAR,MATCH(A184,PT_DIFFERENTIATION_VTAR_ID,0))</f>
        <v>Тариф на питьевую воду (питьевое водоснабжение)</v>
      </c>
      <c r="G184" s="2248" t="str">
        <f>INDEX(PT_DIFFERENTIATION_NTAR,MATCH(B184,PT_DIFFERENTIATION_NTAR_ID,0))</f>
        <v/>
      </c>
      <c r="H184" s="1887"/>
      <c r="I184" s="1763"/>
      <c r="J184" s="1798"/>
      <c r="K184" s="1803"/>
      <c r="L184" s="1887" t="s">
        <v>318</v>
      </c>
      <c r="M184" s="329"/>
      <c r="N184" s="322"/>
      <c r="O184" s="1649"/>
      <c r="P184" s="1649"/>
    </row>
    <row s="1660" customFormat="1" customHeight="1" ht="18.75" hidden="1">
      <c r="A185" s="1805"/>
      <c r="B185" s="1805"/>
      <c r="C185" s="361" t="s">
        <v>1082</v>
      </c>
      <c r="D185" s="2293"/>
      <c r="E185" s="2038"/>
      <c r="F185" s="2202"/>
      <c r="G185" s="2248"/>
      <c r="H185" s="1517"/>
      <c r="I185" s="646" t="s">
        <v>1081</v>
      </c>
      <c r="J185" s="567"/>
      <c r="K185" s="1517"/>
      <c r="L185" s="193"/>
      <c r="M185" s="329"/>
      <c r="N185" s="322"/>
      <c r="O185" s="1649"/>
      <c r="P185" s="1649"/>
    </row>
    <row s="1660" customFormat="1" customHeight="1" ht="0.75" hidden="1">
      <c r="A186" s="1805"/>
      <c r="B186" s="1805"/>
      <c r="C186" s="361" t="s">
        <v>1089</v>
      </c>
      <c r="D186" s="2293"/>
      <c r="E186" s="2038"/>
      <c r="F186" s="2202"/>
      <c r="G186" s="397"/>
      <c r="H186" s="1517"/>
      <c r="I186" s="646"/>
      <c r="J186" s="567"/>
      <c r="K186" s="1517"/>
      <c r="L186" s="193"/>
      <c r="M186" s="329"/>
      <c r="N186" s="322"/>
      <c r="O186" s="1649"/>
      <c r="P186" s="1649"/>
    </row>
    <row s="1660" customFormat="1" customHeight="1" ht="18.75" hidden="1">
      <c r="A187" s="1805" t="s">
        <v>242</v>
      </c>
      <c r="B187" s="1805" t="s">
        <v>243</v>
      </c>
      <c r="C187" s="361"/>
      <c r="D187" s="2293"/>
      <c r="E187" s="2038"/>
      <c r="F187" s="2202" t="str">
        <f>INDEX(PT_DIFFERENTIATION_VTAR,MATCH(A187,PT_DIFFERENTIATION_VTAR_ID,0))</f>
        <v>Тариф на техническую воду</v>
      </c>
      <c r="G187" s="2248" t="str">
        <f>INDEX(PT_DIFFERENTIATION_NTAR,MATCH(B187,PT_DIFFERENTIATION_NTAR_ID,0))</f>
        <v/>
      </c>
      <c r="H187" s="1887"/>
      <c r="I187" s="1763"/>
      <c r="J187" s="1798"/>
      <c r="K187" s="1803"/>
      <c r="L187" s="1887" t="s">
        <v>318</v>
      </c>
      <c r="M187" s="329"/>
      <c r="N187" s="322"/>
      <c r="O187" s="1649"/>
      <c r="P187" s="1649"/>
    </row>
    <row s="1660" customFormat="1" customHeight="1" ht="18.75" hidden="1">
      <c r="A188" s="1805"/>
      <c r="B188" s="1805"/>
      <c r="C188" s="361" t="s">
        <v>1082</v>
      </c>
      <c r="D188" s="2293"/>
      <c r="E188" s="2038"/>
      <c r="F188" s="2202"/>
      <c r="G188" s="2248"/>
      <c r="H188" s="1517"/>
      <c r="I188" s="646" t="s">
        <v>1081</v>
      </c>
      <c r="J188" s="567"/>
      <c r="K188" s="1517"/>
      <c r="L188" s="193"/>
      <c r="M188" s="329"/>
      <c r="N188" s="322"/>
      <c r="O188" s="1649"/>
      <c r="P188" s="1649"/>
    </row>
    <row s="1660" customFormat="1" customHeight="1" ht="0.75" hidden="1">
      <c r="A189" s="1805"/>
      <c r="B189" s="1805"/>
      <c r="C189" s="361" t="s">
        <v>1089</v>
      </c>
      <c r="D189" s="2293"/>
      <c r="E189" s="2038"/>
      <c r="F189" s="2202"/>
      <c r="G189" s="397"/>
      <c r="H189" s="1517"/>
      <c r="I189" s="646"/>
      <c r="J189" s="567"/>
      <c r="K189" s="1517"/>
      <c r="L189" s="193"/>
      <c r="M189" s="329"/>
      <c r="N189" s="322"/>
      <c r="O189" s="1649"/>
      <c r="P189" s="1649"/>
    </row>
    <row s="1660" customFormat="1" customHeight="1" ht="18.75" hidden="1">
      <c r="A190" s="1805" t="s">
        <v>247</v>
      </c>
      <c r="B190" s="1805" t="s">
        <v>248</v>
      </c>
      <c r="C190" s="361"/>
      <c r="D190" s="2293"/>
      <c r="E190" s="2038"/>
      <c r="F190" s="2202" t="str">
        <f>INDEX(PT_DIFFERENTIATION_VTAR,MATCH(A190,PT_DIFFERENTIATION_VTAR_ID,0))</f>
        <v>Тариф на транспортировку воды</v>
      </c>
      <c r="G190" s="2248" t="str">
        <f>INDEX(PT_DIFFERENTIATION_NTAR,MATCH(B190,PT_DIFFERENTIATION_NTAR_ID,0))</f>
        <v/>
      </c>
      <c r="H190" s="1887"/>
      <c r="I190" s="1763"/>
      <c r="J190" s="1798"/>
      <c r="K190" s="1803"/>
      <c r="L190" s="1887" t="s">
        <v>318</v>
      </c>
      <c r="M190" s="329"/>
      <c r="N190" s="322"/>
      <c r="O190" s="1649"/>
      <c r="P190" s="1649"/>
    </row>
    <row s="1660" customFormat="1" customHeight="1" ht="18.75" hidden="1">
      <c r="A191" s="1805"/>
      <c r="B191" s="1805"/>
      <c r="C191" s="361" t="s">
        <v>1082</v>
      </c>
      <c r="D191" s="2293"/>
      <c r="E191" s="2038"/>
      <c r="F191" s="2202"/>
      <c r="G191" s="2248"/>
      <c r="H191" s="1517"/>
      <c r="I191" s="646" t="s">
        <v>1081</v>
      </c>
      <c r="J191" s="567"/>
      <c r="K191" s="1517"/>
      <c r="L191" s="193"/>
      <c r="M191" s="329"/>
      <c r="N191" s="322"/>
      <c r="O191" s="1649"/>
      <c r="P191" s="1649"/>
    </row>
    <row s="1660" customFormat="1" customHeight="1" ht="0.75" hidden="1">
      <c r="A192" s="1805"/>
      <c r="B192" s="1805"/>
      <c r="C192" s="361" t="s">
        <v>1089</v>
      </c>
      <c r="D192" s="2293"/>
      <c r="E192" s="2038"/>
      <c r="F192" s="2202"/>
      <c r="G192" s="397"/>
      <c r="H192" s="1517"/>
      <c r="I192" s="646"/>
      <c r="J192" s="567"/>
      <c r="K192" s="1517"/>
      <c r="L192" s="193"/>
      <c r="M192" s="329"/>
      <c r="N192" s="322"/>
      <c r="O192" s="1649"/>
      <c r="P192" s="1649"/>
    </row>
    <row s="1660" customFormat="1" customHeight="1" ht="18.75" hidden="1">
      <c r="A193" s="1805" t="s">
        <v>252</v>
      </c>
      <c r="B193" s="1805" t="s">
        <v>253</v>
      </c>
      <c r="C193" s="361"/>
      <c r="D193" s="2293"/>
      <c r="E193" s="2038"/>
      <c r="F193" s="2202" t="str">
        <f>INDEX(PT_DIFFERENTIATION_VTAR,MATCH(A193,PT_DIFFERENTIATION_VTAR_ID,0))</f>
        <v>Тариф на подвоз воды</v>
      </c>
      <c r="G193" s="2248" t="str">
        <f>INDEX(PT_DIFFERENTIATION_NTAR,MATCH(B193,PT_DIFFERENTIATION_NTAR_ID,0))</f>
        <v/>
      </c>
      <c r="H193" s="1887"/>
      <c r="I193" s="1763"/>
      <c r="J193" s="1798"/>
      <c r="K193" s="1803"/>
      <c r="L193" s="1887" t="s">
        <v>318</v>
      </c>
      <c r="M193" s="329"/>
      <c r="N193" s="322"/>
      <c r="O193" s="1649"/>
      <c r="P193" s="1649"/>
    </row>
    <row s="1660" customFormat="1" customHeight="1" ht="18.75" hidden="1">
      <c r="A194" s="1805"/>
      <c r="B194" s="1805"/>
      <c r="C194" s="361" t="s">
        <v>1082</v>
      </c>
      <c r="D194" s="2293"/>
      <c r="E194" s="2038"/>
      <c r="F194" s="2202"/>
      <c r="G194" s="2248"/>
      <c r="H194" s="1517"/>
      <c r="I194" s="646" t="s">
        <v>1081</v>
      </c>
      <c r="J194" s="567"/>
      <c r="K194" s="1517"/>
      <c r="L194" s="193"/>
      <c r="M194" s="329"/>
      <c r="N194" s="322"/>
      <c r="O194" s="1649"/>
      <c r="P194" s="1649"/>
    </row>
    <row s="1660" customFormat="1" customHeight="1" ht="0.75" hidden="1">
      <c r="A195" s="1805"/>
      <c r="B195" s="1805"/>
      <c r="C195" s="361" t="s">
        <v>1089</v>
      </c>
      <c r="D195" s="2293"/>
      <c r="E195" s="2038"/>
      <c r="F195" s="2202"/>
      <c r="G195" s="397"/>
      <c r="H195" s="1517"/>
      <c r="I195" s="646"/>
      <c r="J195" s="567"/>
      <c r="K195" s="1517"/>
      <c r="L195" s="193"/>
      <c r="M195" s="329"/>
      <c r="N195" s="322"/>
      <c r="O195" s="1649"/>
      <c r="P195" s="1649"/>
    </row>
    <row s="1660" customFormat="1" customHeight="1" ht="18.75" hidden="1">
      <c r="A196" s="1805" t="s">
        <v>257</v>
      </c>
      <c r="B196" s="1805" t="s">
        <v>258</v>
      </c>
      <c r="C196" s="361"/>
      <c r="D196" s="2293"/>
      <c r="E196" s="2038"/>
      <c r="F196" s="2202" t="str">
        <f>INDEX(PT_DIFFERENTIATION_VTAR,MATCH(A196,PT_DIFFERENTIATION_VTAR_ID,0))</f>
        <v>Тариф на подключение (технологическое присоединение) к централизованной системе холодного водоснабжения</v>
      </c>
      <c r="G196" s="2248" t="str">
        <f>INDEX(PT_DIFFERENTIATION_NTAR,MATCH(B196,PT_DIFFERENTIATION_NTAR_ID,0))</f>
        <v/>
      </c>
      <c r="H196" s="1887"/>
      <c r="I196" s="1763"/>
      <c r="J196" s="1798"/>
      <c r="K196" s="1803"/>
      <c r="L196" s="1887" t="s">
        <v>318</v>
      </c>
      <c r="M196" s="329"/>
      <c r="N196" s="322"/>
      <c r="O196" s="1649"/>
      <c r="P196" s="1649"/>
    </row>
    <row s="1660" customFormat="1" customHeight="1" ht="18.75" hidden="1">
      <c r="A197" s="1805"/>
      <c r="B197" s="1805"/>
      <c r="C197" s="361" t="s">
        <v>1082</v>
      </c>
      <c r="D197" s="2293"/>
      <c r="E197" s="2038"/>
      <c r="F197" s="2202"/>
      <c r="G197" s="2248"/>
      <c r="H197" s="1517"/>
      <c r="I197" s="646" t="s">
        <v>1081</v>
      </c>
      <c r="J197" s="567"/>
      <c r="K197" s="1517"/>
      <c r="L197" s="193"/>
      <c r="M197" s="329"/>
      <c r="N197" s="322"/>
      <c r="O197" s="1649"/>
      <c r="P197" s="1649"/>
    </row>
    <row s="1660" customFormat="1" customHeight="1" ht="0.75" hidden="1">
      <c r="A198" s="1805"/>
      <c r="B198" s="1805"/>
      <c r="C198" s="361" t="s">
        <v>1089</v>
      </c>
      <c r="D198" s="2293"/>
      <c r="E198" s="2038"/>
      <c r="F198" s="2202"/>
      <c r="G198" s="397"/>
      <c r="H198" s="1517"/>
      <c r="I198" s="646"/>
      <c r="J198" s="567"/>
      <c r="K198" s="1517"/>
      <c r="L198" s="193"/>
      <c r="M198" s="329"/>
      <c r="N198" s="322"/>
      <c r="O198" s="1649"/>
      <c r="P198" s="1649"/>
    </row>
    <row s="1660" customFormat="1" customHeight="1" ht="18.75" hidden="1">
      <c r="A199" s="1805" t="s">
        <v>262</v>
      </c>
      <c r="B199" s="1805" t="s">
        <v>263</v>
      </c>
      <c r="C199" s="361"/>
      <c r="D199" s="2293"/>
      <c r="E199" s="2038"/>
      <c r="F199" s="2202" t="str">
        <f>INDEX(PT_DIFFERENTIATION_VTAR,MATCH(A199,PT_DIFFERENTIATION_VTAR_ID,0))</f>
        <v>Тариф на горячую воду (горячее водоснабжение)</v>
      </c>
      <c r="G199" s="2248" t="str">
        <f>INDEX(PT_DIFFERENTIATION_NTAR,MATCH(B199,PT_DIFFERENTIATION_NTAR_ID,0))</f>
        <v/>
      </c>
      <c r="H199" s="1887"/>
      <c r="I199" s="1763"/>
      <c r="J199" s="1798"/>
      <c r="K199" s="1803"/>
      <c r="L199" s="1887" t="s">
        <v>318</v>
      </c>
      <c r="M199" s="329"/>
      <c r="N199" s="322"/>
      <c r="O199" s="1649"/>
      <c r="P199" s="1649"/>
    </row>
    <row s="1660" customFormat="1" customHeight="1" ht="18.75" hidden="1">
      <c r="A200" s="1805"/>
      <c r="B200" s="1805"/>
      <c r="C200" s="361" t="s">
        <v>1082</v>
      </c>
      <c r="D200" s="2293"/>
      <c r="E200" s="2038"/>
      <c r="F200" s="2202"/>
      <c r="G200" s="2248"/>
      <c r="H200" s="1517"/>
      <c r="I200" s="646" t="s">
        <v>1081</v>
      </c>
      <c r="J200" s="567"/>
      <c r="K200" s="1517"/>
      <c r="L200" s="193"/>
      <c r="M200" s="329"/>
      <c r="N200" s="322"/>
      <c r="O200" s="1649"/>
      <c r="P200" s="1649"/>
    </row>
    <row s="1660" customFormat="1" customHeight="1" ht="0.75" hidden="1">
      <c r="A201" s="1805"/>
      <c r="B201" s="1805"/>
      <c r="C201" s="361" t="s">
        <v>1089</v>
      </c>
      <c r="D201" s="2293"/>
      <c r="E201" s="2038"/>
      <c r="F201" s="2202"/>
      <c r="G201" s="397"/>
      <c r="H201" s="1517"/>
      <c r="I201" s="646"/>
      <c r="J201" s="567"/>
      <c r="K201" s="1517"/>
      <c r="L201" s="193"/>
      <c r="M201" s="329"/>
      <c r="N201" s="322"/>
      <c r="O201" s="1649"/>
      <c r="P201" s="1649"/>
    </row>
    <row s="1660" customFormat="1" customHeight="1" ht="18.75" hidden="1">
      <c r="A202" s="1805" t="s">
        <v>267</v>
      </c>
      <c r="B202" s="1805" t="s">
        <v>268</v>
      </c>
      <c r="C202" s="361"/>
      <c r="D202" s="2293"/>
      <c r="E202" s="2038"/>
      <c r="F202" s="2202" t="str">
        <f>INDEX(PT_DIFFERENTIATION_VTAR,MATCH(A202,PT_DIFFERENTIATION_VTAR_ID,0))</f>
        <v>Тариф на транспортировку горячей воды</v>
      </c>
      <c r="G202" s="2248" t="str">
        <f>INDEX(PT_DIFFERENTIATION_NTAR,MATCH(B202,PT_DIFFERENTIATION_NTAR_ID,0))</f>
        <v/>
      </c>
      <c r="H202" s="1887"/>
      <c r="I202" s="1763"/>
      <c r="J202" s="1798"/>
      <c r="K202" s="1803"/>
      <c r="L202" s="1887" t="s">
        <v>318</v>
      </c>
      <c r="M202" s="329"/>
      <c r="N202" s="322"/>
      <c r="O202" s="1649"/>
      <c r="P202" s="1649"/>
    </row>
    <row s="1660" customFormat="1" customHeight="1" ht="18.75" hidden="1">
      <c r="A203" s="1805"/>
      <c r="B203" s="1805"/>
      <c r="C203" s="361" t="s">
        <v>1082</v>
      </c>
      <c r="D203" s="2293"/>
      <c r="E203" s="2038"/>
      <c r="F203" s="2202"/>
      <c r="G203" s="2248"/>
      <c r="H203" s="1517"/>
      <c r="I203" s="646" t="s">
        <v>1081</v>
      </c>
      <c r="J203" s="567"/>
      <c r="K203" s="1517"/>
      <c r="L203" s="193"/>
      <c r="M203" s="329"/>
      <c r="N203" s="322"/>
      <c r="O203" s="1649"/>
      <c r="P203" s="1649"/>
    </row>
    <row s="1660" customFormat="1" customHeight="1" ht="0.75" hidden="1">
      <c r="A204" s="1805"/>
      <c r="B204" s="1805"/>
      <c r="C204" s="361" t="s">
        <v>1089</v>
      </c>
      <c r="D204" s="2293"/>
      <c r="E204" s="2038"/>
      <c r="F204" s="2202"/>
      <c r="G204" s="397"/>
      <c r="H204" s="1517"/>
      <c r="I204" s="646"/>
      <c r="J204" s="567"/>
      <c r="K204" s="1517"/>
      <c r="L204" s="193"/>
      <c r="M204" s="329"/>
      <c r="N204" s="322"/>
      <c r="O204" s="1649"/>
      <c r="P204" s="1649"/>
    </row>
    <row s="1660" customFormat="1" customHeight="1" ht="18.75" hidden="1">
      <c r="A205" s="1805" t="s">
        <v>272</v>
      </c>
      <c r="B205" s="1805" t="s">
        <v>273</v>
      </c>
      <c r="C205" s="361"/>
      <c r="D205" s="2293"/>
      <c r="E205" s="2038"/>
      <c r="F205" s="2202" t="str">
        <f>INDEX(PT_DIFFERENTIATION_VTAR,MATCH(A205,PT_DIFFERENTIATION_VTAR_ID,0))</f>
        <v>Тариф на подключение (технологическое присоединение) к централизованной системе горячего водоснабжения</v>
      </c>
      <c r="G205" s="2248" t="str">
        <f>INDEX(PT_DIFFERENTIATION_NTAR,MATCH(B205,PT_DIFFERENTIATION_NTAR_ID,0))</f>
        <v/>
      </c>
      <c r="H205" s="1887"/>
      <c r="I205" s="1763"/>
      <c r="J205" s="1798"/>
      <c r="K205" s="1803"/>
      <c r="L205" s="1887" t="s">
        <v>318</v>
      </c>
      <c r="M205" s="329"/>
      <c r="N205" s="322"/>
      <c r="O205" s="1649"/>
      <c r="P205" s="1649"/>
    </row>
    <row s="1660" customFormat="1" customHeight="1" ht="18.75" hidden="1">
      <c r="A206" s="1805"/>
      <c r="B206" s="1805"/>
      <c r="C206" s="361" t="s">
        <v>1082</v>
      </c>
      <c r="D206" s="2293"/>
      <c r="E206" s="2038"/>
      <c r="F206" s="2202"/>
      <c r="G206" s="2248"/>
      <c r="H206" s="1517"/>
      <c r="I206" s="646" t="s">
        <v>1081</v>
      </c>
      <c r="J206" s="567"/>
      <c r="K206" s="1517"/>
      <c r="L206" s="193"/>
      <c r="M206" s="329"/>
      <c r="N206" s="322"/>
      <c r="O206" s="1649"/>
      <c r="P206" s="1649"/>
    </row>
    <row s="1660" customFormat="1" customHeight="1" ht="0.75" hidden="1">
      <c r="A207" s="1805"/>
      <c r="B207" s="1805"/>
      <c r="C207" s="361" t="s">
        <v>1089</v>
      </c>
      <c r="D207" s="2293"/>
      <c r="E207" s="2038"/>
      <c r="F207" s="2202"/>
      <c r="G207" s="397"/>
      <c r="H207" s="1517"/>
      <c r="I207" s="646"/>
      <c r="J207" s="567"/>
      <c r="K207" s="1517"/>
      <c r="L207" s="193"/>
      <c r="M207" s="329"/>
      <c r="N207" s="322"/>
      <c r="O207" s="1649"/>
      <c r="P207" s="1649"/>
    </row>
    <row s="1660" customFormat="1" customHeight="1" ht="18.75" hidden="1">
      <c r="A208" s="1805" t="s">
        <v>277</v>
      </c>
      <c r="B208" s="1805" t="s">
        <v>278</v>
      </c>
      <c r="C208" s="361"/>
      <c r="D208" s="2293"/>
      <c r="E208" s="2038"/>
      <c r="F208" s="2202" t="str">
        <f>INDEX(PT_DIFFERENTIATION_VTAR,MATCH(A208,PT_DIFFERENTIATION_VTAR_ID,0))</f>
        <v>Тариф на водоотведение</v>
      </c>
      <c r="G208" s="2248" t="str">
        <f>INDEX(PT_DIFFERENTIATION_NTAR,MATCH(B208,PT_DIFFERENTIATION_NTAR_ID,0))</f>
        <v/>
      </c>
      <c r="H208" s="1887"/>
      <c r="I208" s="1763"/>
      <c r="J208" s="1798"/>
      <c r="K208" s="1803"/>
      <c r="L208" s="1887" t="s">
        <v>318</v>
      </c>
      <c r="M208" s="329"/>
      <c r="N208" s="322"/>
      <c r="O208" s="1649"/>
      <c r="P208" s="1649"/>
    </row>
    <row s="1660" customFormat="1" customHeight="1" ht="18.75" hidden="1">
      <c r="A209" s="1805"/>
      <c r="B209" s="1805"/>
      <c r="C209" s="361" t="s">
        <v>1082</v>
      </c>
      <c r="D209" s="2293"/>
      <c r="E209" s="2038"/>
      <c r="F209" s="2202"/>
      <c r="G209" s="2248"/>
      <c r="H209" s="1517"/>
      <c r="I209" s="646" t="s">
        <v>1081</v>
      </c>
      <c r="J209" s="567"/>
      <c r="K209" s="1517"/>
      <c r="L209" s="193"/>
      <c r="M209" s="329"/>
      <c r="N209" s="322"/>
      <c r="O209" s="1649"/>
      <c r="P209" s="1649"/>
    </row>
    <row s="1660" customFormat="1" customHeight="1" ht="0.75" hidden="1">
      <c r="A210" s="1805"/>
      <c r="B210" s="1805"/>
      <c r="C210" s="361" t="s">
        <v>1089</v>
      </c>
      <c r="D210" s="2293"/>
      <c r="E210" s="2038"/>
      <c r="F210" s="2202"/>
      <c r="G210" s="397"/>
      <c r="H210" s="1517"/>
      <c r="I210" s="646"/>
      <c r="J210" s="567"/>
      <c r="K210" s="1517"/>
      <c r="L210" s="193"/>
      <c r="M210" s="329"/>
      <c r="N210" s="322"/>
      <c r="O210" s="1649"/>
      <c r="P210" s="1649"/>
    </row>
    <row s="1660" customFormat="1" customHeight="1" ht="18.75" hidden="1">
      <c r="A211" s="1805" t="s">
        <v>282</v>
      </c>
      <c r="B211" s="1805" t="s">
        <v>283</v>
      </c>
      <c r="C211" s="361"/>
      <c r="D211" s="2293"/>
      <c r="E211" s="2038"/>
      <c r="F211" s="2202" t="str">
        <f>INDEX(PT_DIFFERENTIATION_VTAR,MATCH(A211,PT_DIFFERENTIATION_VTAR_ID,0))</f>
        <v>Тариф на транспортировку сточных вод</v>
      </c>
      <c r="G211" s="2248" t="str">
        <f>INDEX(PT_DIFFERENTIATION_NTAR,MATCH(B211,PT_DIFFERENTIATION_NTAR_ID,0))</f>
        <v/>
      </c>
      <c r="H211" s="1887"/>
      <c r="I211" s="1763"/>
      <c r="J211" s="1798"/>
      <c r="K211" s="1803"/>
      <c r="L211" s="1887" t="s">
        <v>318</v>
      </c>
      <c r="M211" s="329"/>
      <c r="N211" s="322"/>
      <c r="O211" s="1649"/>
      <c r="P211" s="1649"/>
    </row>
    <row s="1660" customFormat="1" customHeight="1" ht="18.75" hidden="1">
      <c r="A212" s="1805"/>
      <c r="B212" s="1805"/>
      <c r="C212" s="361" t="s">
        <v>1082</v>
      </c>
      <c r="D212" s="2293"/>
      <c r="E212" s="2038"/>
      <c r="F212" s="2202"/>
      <c r="G212" s="2248"/>
      <c r="H212" s="1517"/>
      <c r="I212" s="646" t="s">
        <v>1081</v>
      </c>
      <c r="J212" s="567"/>
      <c r="K212" s="1517"/>
      <c r="L212" s="193"/>
      <c r="M212" s="329"/>
      <c r="N212" s="322"/>
      <c r="O212" s="1649"/>
      <c r="P212" s="1649"/>
    </row>
    <row s="1660" customFormat="1" customHeight="1" ht="0.75" hidden="1">
      <c r="A213" s="1805"/>
      <c r="B213" s="1805"/>
      <c r="C213" s="361" t="s">
        <v>1089</v>
      </c>
      <c r="D213" s="2293"/>
      <c r="E213" s="2038"/>
      <c r="F213" s="2202"/>
      <c r="G213" s="397"/>
      <c r="H213" s="1517"/>
      <c r="I213" s="646"/>
      <c r="J213" s="567"/>
      <c r="K213" s="1517"/>
      <c r="L213" s="193"/>
      <c r="M213" s="329"/>
      <c r="N213" s="322"/>
      <c r="O213" s="1649"/>
      <c r="P213" s="1649"/>
    </row>
    <row s="1660" customFormat="1" customHeight="1" ht="18.75" hidden="1">
      <c r="A214" s="1805" t="s">
        <v>287</v>
      </c>
      <c r="B214" s="1805" t="s">
        <v>288</v>
      </c>
      <c r="C214" s="361"/>
      <c r="D214" s="2293"/>
      <c r="E214" s="2038"/>
      <c r="F214" s="2202" t="str">
        <f>INDEX(PT_DIFFERENTIATION_VTAR,MATCH(A214,PT_DIFFERENTIATION_VTAR_ID,0))</f>
        <v>Тариф на подключение (технологическое присоединение) к централизованной системе водоотведения</v>
      </c>
      <c r="G214" s="2248" t="str">
        <f>INDEX(PT_DIFFERENTIATION_NTAR,MATCH(B214,PT_DIFFERENTIATION_NTAR_ID,0))</f>
        <v/>
      </c>
      <c r="H214" s="1887"/>
      <c r="I214" s="1763"/>
      <c r="J214" s="1798"/>
      <c r="K214" s="1803"/>
      <c r="L214" s="1887" t="s">
        <v>318</v>
      </c>
      <c r="M214" s="329"/>
      <c r="N214" s="322"/>
      <c r="O214" s="1649"/>
      <c r="P214" s="1649"/>
    </row>
    <row s="1660" customFormat="1" customHeight="1" ht="18.75" hidden="1">
      <c r="A215" s="1805"/>
      <c r="B215" s="1805"/>
      <c r="C215" s="361" t="s">
        <v>1082</v>
      </c>
      <c r="D215" s="2293"/>
      <c r="E215" s="2038"/>
      <c r="F215" s="2202"/>
      <c r="G215" s="2248"/>
      <c r="H215" s="1517"/>
      <c r="I215" s="646" t="s">
        <v>1081</v>
      </c>
      <c r="J215" s="567"/>
      <c r="K215" s="1517"/>
      <c r="L215" s="193"/>
      <c r="M215" s="329"/>
      <c r="N215" s="322"/>
      <c r="O215" s="1649"/>
      <c r="P215" s="1649"/>
    </row>
    <row s="1660" customFormat="1" customHeight="1" ht="0.75">
      <c r="A216" s="1805"/>
      <c r="B216" s="1805"/>
      <c r="C216" s="361" t="s">
        <v>1089</v>
      </c>
      <c r="D216" s="2293"/>
      <c r="E216" s="2038"/>
      <c r="F216" s="2202"/>
      <c r="G216" s="397"/>
      <c r="H216" s="1517"/>
      <c r="I216" s="646"/>
      <c r="J216" s="567"/>
      <c r="K216" s="1517"/>
      <c r="L216" s="193"/>
      <c r="M216" s="329"/>
      <c r="N216" s="322"/>
      <c r="O216" s="1649"/>
      <c r="P216" s="1649"/>
    </row>
    <row customHeight="1" ht="26.25">
      <c r="A217" s="1805"/>
      <c r="B217" s="1805"/>
      <c r="D217" s="368"/>
      <c r="E217" s="127" t="s">
        <v>110</v>
      </c>
      <c r="F217" s="2285"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17" s="2285"/>
      <c r="H217" s="2285"/>
      <c r="I217" s="2285"/>
      <c r="J217" s="2285"/>
      <c r="K217" s="2285"/>
      <c r="L217" s="2285"/>
      <c r="M217" s="277"/>
      <c r="N217" s="322"/>
    </row>
    <row s="1660" customFormat="1" customHeight="1" ht="60.75" hidden="1">
      <c r="A218" s="1805" t="s">
        <v>155</v>
      </c>
      <c r="B218" s="1805" t="s">
        <v>156</v>
      </c>
      <c r="C218" s="361"/>
      <c r="D218" s="2293"/>
      <c r="E218" s="2038"/>
      <c r="F218" s="2202" t="str">
        <f>INDEX(PT_DIFFERENTIATION_VTAR,MATCH(A218,PT_DIFFERENTIATION_VTAR_ID,0))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18" s="2248" t="str">
        <f>INDEX(PT_DIFFERENTIATION_NTAR,MATCH(B218,PT_DIFFERENTIATION_NTAR_ID,0))</f>
        <v>Тариф на тепловую энергию, поставляемую ПАО "ТГК-1" потребителям, расположенным на территории Санкт-Петербурга</v>
      </c>
      <c r="H218" s="1887"/>
      <c r="I218" s="1763"/>
      <c r="J218" s="1798"/>
      <c r="K218" s="1803"/>
      <c r="L218" s="1887" t="s">
        <v>318</v>
      </c>
      <c r="M218"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18" s="322"/>
      <c r="O218" s="1649"/>
      <c r="P218" s="1649"/>
    </row>
    <row s="1660" customFormat="1" customHeight="1" ht="18.75" hidden="1">
      <c r="A219" s="1805"/>
      <c r="B219" s="1805"/>
      <c r="C219" s="361" t="s">
        <v>1082</v>
      </c>
      <c r="D219" s="2293"/>
      <c r="E219" s="2038"/>
      <c r="F219" s="2202"/>
      <c r="G219" s="2248"/>
      <c r="H219" s="1517"/>
      <c r="I219" s="646" t="s">
        <v>1081</v>
      </c>
      <c r="J219" s="567"/>
      <c r="K219" s="1517"/>
      <c r="L219" s="193"/>
      <c r="M219" s="1998"/>
      <c r="N219" s="322"/>
      <c r="O219" s="1649"/>
      <c r="P219" s="1649"/>
    </row>
    <row s="1660" customFormat="1" customHeight="1" ht="18.75">
      <c r="A220" s="1848" t="s">
        <v>155</v>
      </c>
      <c r="B220" s="1848" t="s">
        <v>165</v>
      </c>
      <c r="C220" s="1712"/>
      <c r="D220" s="332"/>
      <c r="E220" s="1026"/>
      <c r="F220" s="1026"/>
      <c r="G220" s="2248" t="str">
        <f>INDEX(PT_DIFFERENTIATION_NTAR,MATCH(B220,PT_DIFFERENTIATION_NTAR_ID,0))</f>
        <v>Тариф на тепловую энергию, поставляемую ПАО "ТГК-1" на коллекторах источников тепловой энергии потребителям, расположенным на территории Санкт-Петербурга</v>
      </c>
      <c r="H220" s="2066"/>
      <c r="I220" s="1763"/>
      <c r="J220" s="1798"/>
      <c r="K220" s="1803"/>
      <c r="L220" s="2066" t="s">
        <v>318</v>
      </c>
      <c r="M220" s="1900"/>
      <c r="N220" s="614"/>
      <c r="O220" s="1649"/>
      <c r="P220" s="1649"/>
      <c r="Q220" s="1660"/>
      <c r="R220" s="1660"/>
      <c r="S220" s="1660"/>
      <c r="T220" s="1660"/>
      <c r="U220" s="1660"/>
      <c r="V220" s="1660"/>
      <c r="W220" s="1660"/>
      <c r="X220" s="1660"/>
      <c r="Y220" s="1660"/>
      <c r="Z220" s="1660"/>
      <c r="AA220" s="1660"/>
      <c r="AB220" s="1660"/>
      <c r="AC220" s="1660"/>
      <c r="AD220" s="1660"/>
      <c r="AE220" s="1660"/>
      <c r="AF220" s="1660"/>
      <c r="AG220" s="1660"/>
    </row>
    <row s="1660" customFormat="1" customHeight="1" ht="18.75">
      <c r="A221" s="1848"/>
      <c r="B221" s="1848"/>
      <c r="C221" s="1712" t="s">
        <v>1082</v>
      </c>
      <c r="D221" s="332"/>
      <c r="E221" s="1026"/>
      <c r="F221" s="1026"/>
      <c r="G221" s="2248"/>
      <c r="H221" s="5572"/>
      <c r="I221" s="5573" t="s">
        <v>1081</v>
      </c>
      <c r="J221" s="5574"/>
      <c r="K221" s="5575"/>
      <c r="L221" s="5576"/>
      <c r="M221" s="1900"/>
      <c r="N221" s="614"/>
      <c r="O221" s="1649"/>
      <c r="P221" s="1649"/>
      <c r="Q221" s="1660"/>
      <c r="R221" s="1660"/>
      <c r="S221" s="1660"/>
      <c r="T221" s="1660"/>
      <c r="U221" s="1660"/>
      <c r="V221" s="1660"/>
      <c r="W221" s="1660"/>
      <c r="X221" s="1660"/>
      <c r="Y221" s="1660"/>
      <c r="Z221" s="1660"/>
      <c r="AA221" s="1660"/>
      <c r="AB221" s="1660"/>
      <c r="AC221" s="1660"/>
      <c r="AD221" s="1660"/>
      <c r="AE221" s="1660"/>
      <c r="AF221" s="1660"/>
      <c r="AG221" s="1660"/>
    </row>
    <row s="1660" customFormat="1" customHeight="1" ht="18.75">
      <c r="A222" s="1848" t="s">
        <v>155</v>
      </c>
      <c r="B222" s="1848" t="s">
        <v>170</v>
      </c>
      <c r="C222" s="1712"/>
      <c r="D222" s="332"/>
      <c r="E222" s="1026"/>
      <c r="F222" s="1026"/>
      <c r="G222" s="2248" t="str">
        <f>INDEX(PT_DIFFERENTIATION_NTAR,MATCH(B222,PT_DIFFERENTIATION_NTAR_ID,0))</f>
        <v>Тариф на тепловую энергию (мощность), поставляемую ПАО "ТГК-1" теплоснабжающим, теплосетевым организациям, приобретающим тепловую энергию с целью компенсации потерь тепловой энергии</v>
      </c>
      <c r="H222" s="2066"/>
      <c r="I222" s="1763"/>
      <c r="J222" s="1798"/>
      <c r="K222" s="1803"/>
      <c r="L222" s="2066" t="s">
        <v>318</v>
      </c>
      <c r="M222" s="1900"/>
      <c r="N222" s="614"/>
      <c r="O222" s="1649"/>
      <c r="P222" s="1649"/>
      <c r="Q222" s="1660"/>
      <c r="R222" s="1660"/>
      <c r="S222" s="1660"/>
      <c r="T222" s="1660"/>
      <c r="U222" s="1660"/>
      <c r="V222" s="1660"/>
      <c r="W222" s="1660"/>
      <c r="X222" s="1660"/>
      <c r="Y222" s="1660"/>
      <c r="Z222" s="1660"/>
      <c r="AA222" s="1660"/>
      <c r="AB222" s="1660"/>
      <c r="AC222" s="1660"/>
      <c r="AD222" s="1660"/>
      <c r="AE222" s="1660"/>
      <c r="AF222" s="1660"/>
      <c r="AG222" s="1660"/>
    </row>
    <row s="1660" customFormat="1" customHeight="1" ht="18.75">
      <c r="A223" s="1848"/>
      <c r="B223" s="1848"/>
      <c r="C223" s="1712" t="s">
        <v>1082</v>
      </c>
      <c r="D223" s="332"/>
      <c r="E223" s="1026"/>
      <c r="F223" s="1026"/>
      <c r="G223" s="2248"/>
      <c r="H223" s="5577"/>
      <c r="I223" s="5578" t="s">
        <v>1081</v>
      </c>
      <c r="J223" s="5579"/>
      <c r="K223" s="5580"/>
      <c r="L223" s="5581"/>
      <c r="M223" s="1900"/>
      <c r="N223" s="614"/>
      <c r="O223" s="1649"/>
      <c r="P223" s="1649"/>
      <c r="Q223" s="1660"/>
      <c r="R223" s="1660"/>
      <c r="S223" s="1660"/>
      <c r="T223" s="1660"/>
      <c r="U223" s="1660"/>
      <c r="V223" s="1660"/>
      <c r="W223" s="1660"/>
      <c r="X223" s="1660"/>
      <c r="Y223" s="1660"/>
      <c r="Z223" s="1660"/>
      <c r="AA223" s="1660"/>
      <c r="AB223" s="1660"/>
      <c r="AC223" s="1660"/>
      <c r="AD223" s="1660"/>
      <c r="AE223" s="1660"/>
      <c r="AF223" s="1660"/>
      <c r="AG223" s="1660"/>
    </row>
    <row s="1660" customFormat="1" customHeight="1" ht="18.75">
      <c r="A224" s="1848" t="s">
        <v>155</v>
      </c>
      <c r="B224" s="1848" t="s">
        <v>175</v>
      </c>
      <c r="C224" s="1712"/>
      <c r="D224" s="332"/>
      <c r="E224" s="1026"/>
      <c r="F224" s="1026"/>
      <c r="G224" s="2248" t="str">
        <f>INDEX(PT_DIFFERENTIATION_NTAR,MATCH(B224,PT_DIFFERENTIATION_NTAR_ID,0))</f>
        <v>Льготные тарифы на тепловую энергию, поставляемую ПАО "ТГК-1" потребителям, расположенным на территории Санкт-Петербурга</v>
      </c>
      <c r="H224" s="2066"/>
      <c r="I224" s="1763"/>
      <c r="J224" s="1798"/>
      <c r="K224" s="1803"/>
      <c r="L224" s="2066" t="s">
        <v>318</v>
      </c>
      <c r="M224" s="1900"/>
      <c r="N224" s="614"/>
      <c r="O224" s="1649"/>
      <c r="P224" s="1649"/>
      <c r="Q224" s="1660"/>
      <c r="R224" s="1660"/>
      <c r="S224" s="1660"/>
      <c r="T224" s="1660"/>
      <c r="U224" s="1660"/>
      <c r="V224" s="1660"/>
      <c r="W224" s="1660"/>
      <c r="X224" s="1660"/>
      <c r="Y224" s="1660"/>
      <c r="Z224" s="1660"/>
      <c r="AA224" s="1660"/>
      <c r="AB224" s="1660"/>
      <c r="AC224" s="1660"/>
      <c r="AD224" s="1660"/>
      <c r="AE224" s="1660"/>
      <c r="AF224" s="1660"/>
      <c r="AG224" s="1660"/>
    </row>
    <row s="1660" customFormat="1" customHeight="1" ht="18.75">
      <c r="A225" s="1848"/>
      <c r="B225" s="1848"/>
      <c r="C225" s="1712" t="s">
        <v>1082</v>
      </c>
      <c r="D225" s="332"/>
      <c r="E225" s="1026"/>
      <c r="F225" s="1026"/>
      <c r="G225" s="2248"/>
      <c r="H225" s="5582"/>
      <c r="I225" s="5583" t="s">
        <v>1081</v>
      </c>
      <c r="J225" s="5584"/>
      <c r="K225" s="5585"/>
      <c r="L225" s="5586"/>
      <c r="M225" s="1900"/>
      <c r="N225" s="614"/>
      <c r="O225" s="1649"/>
      <c r="P225" s="1649"/>
      <c r="Q225" s="1660"/>
      <c r="R225" s="1660"/>
      <c r="S225" s="1660"/>
      <c r="T225" s="1660"/>
      <c r="U225" s="1660"/>
      <c r="V225" s="1660"/>
      <c r="W225" s="1660"/>
      <c r="X225" s="1660"/>
      <c r="Y225" s="1660"/>
      <c r="Z225" s="1660"/>
      <c r="AA225" s="1660"/>
      <c r="AB225" s="1660"/>
      <c r="AC225" s="1660"/>
      <c r="AD225" s="1660"/>
      <c r="AE225" s="1660"/>
      <c r="AF225" s="1660"/>
      <c r="AG225" s="1660"/>
    </row>
    <row s="1660" customFormat="1" customHeight="1" ht="0.75" hidden="1">
      <c r="A226" s="1805"/>
      <c r="B226" s="1805"/>
      <c r="C226" s="361" t="s">
        <v>1089</v>
      </c>
      <c r="D226" s="2293"/>
      <c r="E226" s="2038"/>
      <c r="F226" s="2202"/>
      <c r="G226" s="397"/>
      <c r="H226" s="1517"/>
      <c r="I226" s="646"/>
      <c r="J226" s="567"/>
      <c r="K226" s="1517"/>
      <c r="L226" s="193"/>
      <c r="M226" s="1998"/>
      <c r="N226" s="322"/>
      <c r="O226" s="1649"/>
      <c r="P226" s="1649"/>
    </row>
    <row s="1660" customFormat="1" customHeight="1" ht="45" hidden="1">
      <c r="A227" s="1805" t="s">
        <v>181</v>
      </c>
      <c r="B227" s="1805" t="s">
        <v>182</v>
      </c>
      <c r="C227" s="361"/>
      <c r="D227" s="2293"/>
      <c r="E227" s="2038"/>
      <c r="F227" s="2202" t="str">
        <f>INDEX(PT_DIFFERENTIATION_VTAR,MATCH(A227,PT_DIFFERENTIATION_VTAR_ID,0))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27" s="2248" t="str">
        <f>INDEX(PT_DIFFERENTIATION_NTAR,MATCH(B227,PT_DIFFERENTIATION_NTAR_ID,0))</f>
        <v/>
      </c>
      <c r="H227" s="1887"/>
      <c r="I227" s="1763"/>
      <c r="J227" s="1798"/>
      <c r="K227" s="1803"/>
      <c r="L227" s="1887" t="s">
        <v>318</v>
      </c>
      <c r="M227" s="1999"/>
      <c r="N227" s="322"/>
      <c r="O227" s="1649"/>
      <c r="P227" s="1649"/>
    </row>
    <row s="1660" customFormat="1" customHeight="1" ht="18.75" hidden="1">
      <c r="A228" s="1805"/>
      <c r="B228" s="1805"/>
      <c r="C228" s="361" t="s">
        <v>1082</v>
      </c>
      <c r="D228" s="2293"/>
      <c r="E228" s="2038"/>
      <c r="F228" s="2202"/>
      <c r="G228" s="2248"/>
      <c r="H228" s="1517"/>
      <c r="I228" s="646" t="s">
        <v>1081</v>
      </c>
      <c r="J228" s="567"/>
      <c r="K228" s="1517"/>
      <c r="L228" s="193"/>
      <c r="M228" s="1886"/>
      <c r="N228" s="322"/>
      <c r="O228" s="1649"/>
      <c r="P228" s="1649"/>
    </row>
    <row s="1660" customFormat="1" customHeight="1" ht="0.75" hidden="1">
      <c r="A229" s="1805"/>
      <c r="B229" s="1805"/>
      <c r="C229" s="361" t="s">
        <v>1089</v>
      </c>
      <c r="D229" s="2293"/>
      <c r="E229" s="2038"/>
      <c r="F229" s="2202"/>
      <c r="G229" s="397"/>
      <c r="H229" s="1517"/>
      <c r="I229" s="646"/>
      <c r="J229" s="567"/>
      <c r="K229" s="1517"/>
      <c r="L229" s="193"/>
      <c r="M229" s="329"/>
      <c r="N229" s="322"/>
      <c r="O229" s="1649"/>
      <c r="P229" s="1649"/>
    </row>
    <row s="1660" customFormat="1" customHeight="1" ht="45" hidden="1">
      <c r="A230" s="1805" t="s">
        <v>189</v>
      </c>
      <c r="B230" s="1805" t="s">
        <v>190</v>
      </c>
      <c r="C230" s="361"/>
      <c r="D230" s="2293"/>
      <c r="E230" s="2038"/>
      <c r="F230" s="2202" t="str">
        <f>INDEX(PT_DIFFERENTIATION_VTAR,MATCH(A230,PT_DIFFERENTIATION_VTAR_ID,0))</f>
        <v>Тарифы на теплоноситель, поставляемый теплоснабжающими организациями потребителям, другим теплоснабжающим организациям</v>
      </c>
      <c r="G230" s="2248" t="str">
        <f>INDEX(PT_DIFFERENTIATION_NTAR,MATCH(B230,PT_DIFFERENTIATION_NTAR_ID,0))</f>
        <v>Тариф на теплоноситель, поставляемый ПАО "ТГК-1" потребителям, расположенным на территории Санкт-Петербурга</v>
      </c>
      <c r="H230" s="1887"/>
      <c r="I230" s="1763"/>
      <c r="J230" s="1798"/>
      <c r="K230" s="1803"/>
      <c r="L230" s="1887" t="s">
        <v>318</v>
      </c>
      <c r="M230" s="329"/>
      <c r="N230" s="322"/>
      <c r="O230" s="1649"/>
      <c r="P230" s="1649"/>
    </row>
    <row s="1660" customFormat="1" customHeight="1" ht="18.75" hidden="1">
      <c r="A231" s="1805"/>
      <c r="B231" s="1805"/>
      <c r="C231" s="361" t="s">
        <v>1082</v>
      </c>
      <c r="D231" s="2293"/>
      <c r="E231" s="2038"/>
      <c r="F231" s="2202"/>
      <c r="G231" s="2248"/>
      <c r="H231" s="1517"/>
      <c r="I231" s="646" t="s">
        <v>1081</v>
      </c>
      <c r="J231" s="567"/>
      <c r="K231" s="1517"/>
      <c r="L231" s="193"/>
      <c r="M231" s="329"/>
      <c r="N231" s="322"/>
      <c r="O231" s="1649"/>
      <c r="P231" s="1649"/>
    </row>
    <row s="1660" customFormat="1" customHeight="1" ht="0.75" hidden="1">
      <c r="A232" s="1805"/>
      <c r="B232" s="1805"/>
      <c r="C232" s="361" t="s">
        <v>1089</v>
      </c>
      <c r="D232" s="2293"/>
      <c r="E232" s="2038"/>
      <c r="F232" s="2202"/>
      <c r="G232" s="397"/>
      <c r="H232" s="1517"/>
      <c r="I232" s="646"/>
      <c r="J232" s="567"/>
      <c r="K232" s="1517"/>
      <c r="L232" s="193"/>
      <c r="M232" s="329"/>
      <c r="N232" s="322"/>
      <c r="O232" s="1649"/>
      <c r="P232" s="1649"/>
    </row>
    <row s="1660" customFormat="1" customHeight="1" ht="45" hidden="1">
      <c r="A233" s="1805" t="s">
        <v>197</v>
      </c>
      <c r="B233" s="1805" t="s">
        <v>198</v>
      </c>
      <c r="C233" s="361"/>
      <c r="D233" s="2293"/>
      <c r="E233" s="2038"/>
      <c r="F233" s="2202" t="str">
        <f>INDEX(PT_DIFFERENTIATION_VTAR,MATCH(A233,PT_DIFFERENTIATION_VTAR_ID,0))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33" s="2248" t="str">
        <f>INDEX(PT_DIFFERENTIATION_NTAR,MATCH(B233,PT_DIFFERENTIATION_NTAR_ID,0))</f>
        <v>Тариф на горячую воду (горячее водоснабжение), поставляемую ПАО "ТГК-1" в открытых системах теплоснабжения потребителям, расположенным на территории Санкт-Петербурга</v>
      </c>
      <c r="H233" s="1887"/>
      <c r="I233" s="1763"/>
      <c r="J233" s="1798"/>
      <c r="K233" s="1803"/>
      <c r="L233" s="1887" t="s">
        <v>318</v>
      </c>
      <c r="M233" s="329"/>
      <c r="N233" s="322"/>
      <c r="O233" s="1649"/>
      <c r="P233" s="1649"/>
    </row>
    <row s="1660" customFormat="1" customHeight="1" ht="18.75" hidden="1">
      <c r="A234" s="1805"/>
      <c r="B234" s="1805"/>
      <c r="C234" s="361" t="s">
        <v>1082</v>
      </c>
      <c r="D234" s="2293"/>
      <c r="E234" s="2038"/>
      <c r="F234" s="2202"/>
      <c r="G234" s="2248"/>
      <c r="H234" s="1517"/>
      <c r="I234" s="646" t="s">
        <v>1081</v>
      </c>
      <c r="J234" s="567"/>
      <c r="K234" s="1517"/>
      <c r="L234" s="193"/>
      <c r="M234" s="329"/>
      <c r="N234" s="322"/>
      <c r="O234" s="1649"/>
      <c r="P234" s="1649"/>
    </row>
    <row s="1660" customFormat="1" customHeight="1" ht="0.75" hidden="1">
      <c r="A235" s="1805"/>
      <c r="B235" s="1805"/>
      <c r="C235" s="361" t="s">
        <v>1089</v>
      </c>
      <c r="D235" s="2293"/>
      <c r="E235" s="2038"/>
      <c r="F235" s="2202"/>
      <c r="G235" s="397"/>
      <c r="H235" s="1517"/>
      <c r="I235" s="646"/>
      <c r="J235" s="567"/>
      <c r="K235" s="1517"/>
      <c r="L235" s="193"/>
      <c r="M235" s="329"/>
      <c r="N235" s="322"/>
      <c r="O235" s="1649"/>
      <c r="P235" s="1649"/>
    </row>
    <row s="1660" customFormat="1" customHeight="1" ht="18.75" hidden="1">
      <c r="A236" s="1805" t="s">
        <v>203</v>
      </c>
      <c r="B236" s="1805" t="s">
        <v>204</v>
      </c>
      <c r="C236" s="361"/>
      <c r="D236" s="2293"/>
      <c r="E236" s="2038"/>
      <c r="F236" s="2202" t="str">
        <f>INDEX(PT_DIFFERENTIATION_VTAR,MATCH(A236,PT_DIFFERENTIATION_VTAR_ID,0))</f>
        <v>Тарифы на услуги по передаче тепловой энергии</v>
      </c>
      <c r="G236" s="2248" t="str">
        <f>INDEX(PT_DIFFERENTIATION_NTAR,MATCH(B236,PT_DIFFERENTIATION_NTAR_ID,0))</f>
        <v/>
      </c>
      <c r="H236" s="1887"/>
      <c r="I236" s="1763"/>
      <c r="J236" s="1798"/>
      <c r="K236" s="1803"/>
      <c r="L236" s="1887" t="s">
        <v>318</v>
      </c>
      <c r="M236" s="329"/>
      <c r="N236" s="322"/>
      <c r="O236" s="1649"/>
      <c r="P236" s="1649"/>
    </row>
    <row s="1660" customFormat="1" customHeight="1" ht="18.75" hidden="1">
      <c r="A237" s="1805"/>
      <c r="B237" s="1805"/>
      <c r="C237" s="361" t="s">
        <v>1082</v>
      </c>
      <c r="D237" s="2293"/>
      <c r="E237" s="2038"/>
      <c r="F237" s="2202"/>
      <c r="G237" s="2248"/>
      <c r="H237" s="1517"/>
      <c r="I237" s="646" t="s">
        <v>1081</v>
      </c>
      <c r="J237" s="567"/>
      <c r="K237" s="1517"/>
      <c r="L237" s="193"/>
      <c r="M237" s="329"/>
      <c r="N237" s="322"/>
      <c r="O237" s="1649"/>
      <c r="P237" s="1649"/>
    </row>
    <row s="1660" customFormat="1" customHeight="1" ht="0.75" hidden="1">
      <c r="A238" s="1805"/>
      <c r="B238" s="1805"/>
      <c r="C238" s="361" t="s">
        <v>1089</v>
      </c>
      <c r="D238" s="2293"/>
      <c r="E238" s="2038"/>
      <c r="F238" s="2202"/>
      <c r="G238" s="397"/>
      <c r="H238" s="1517"/>
      <c r="I238" s="646"/>
      <c r="J238" s="567"/>
      <c r="K238" s="1517"/>
      <c r="L238" s="193"/>
      <c r="M238" s="329"/>
      <c r="N238" s="322"/>
      <c r="O238" s="1649"/>
      <c r="P238" s="1649"/>
    </row>
    <row s="1660" customFormat="1" customHeight="1" ht="18.75" hidden="1">
      <c r="A239" s="1805" t="s">
        <v>209</v>
      </c>
      <c r="B239" s="1805" t="s">
        <v>210</v>
      </c>
      <c r="C239" s="361"/>
      <c r="D239" s="2293"/>
      <c r="E239" s="2038"/>
      <c r="F239" s="2202" t="str">
        <f>INDEX(PT_DIFFERENTIATION_VTAR,MATCH(A239,PT_DIFFERENTIATION_VTAR_ID,0))</f>
        <v>Тарифы на услуги по передаче теплоносителя</v>
      </c>
      <c r="G239" s="2248" t="str">
        <f>INDEX(PT_DIFFERENTIATION_NTAR,MATCH(B239,PT_DIFFERENTIATION_NTAR_ID,0))</f>
        <v/>
      </c>
      <c r="H239" s="1887"/>
      <c r="I239" s="1763"/>
      <c r="J239" s="1798"/>
      <c r="K239" s="1803"/>
      <c r="L239" s="1887" t="s">
        <v>318</v>
      </c>
      <c r="M239" s="329"/>
      <c r="N239" s="322"/>
      <c r="O239" s="1649"/>
      <c r="P239" s="1649"/>
    </row>
    <row s="1660" customFormat="1" customHeight="1" ht="18.75" hidden="1">
      <c r="A240" s="1805"/>
      <c r="B240" s="1805"/>
      <c r="C240" s="361" t="s">
        <v>1082</v>
      </c>
      <c r="D240" s="2293"/>
      <c r="E240" s="2038"/>
      <c r="F240" s="2202"/>
      <c r="G240" s="2248"/>
      <c r="H240" s="1517"/>
      <c r="I240" s="646" t="s">
        <v>1081</v>
      </c>
      <c r="J240" s="567"/>
      <c r="K240" s="1517"/>
      <c r="L240" s="193"/>
      <c r="M240" s="329"/>
      <c r="N240" s="322"/>
      <c r="O240" s="1649"/>
      <c r="P240" s="1649"/>
    </row>
    <row s="1660" customFormat="1" customHeight="1" ht="0.75" hidden="1">
      <c r="A241" s="1805"/>
      <c r="B241" s="1805"/>
      <c r="C241" s="361" t="s">
        <v>1089</v>
      </c>
      <c r="D241" s="2293"/>
      <c r="E241" s="2038"/>
      <c r="F241" s="2202"/>
      <c r="G241" s="397"/>
      <c r="H241" s="1517"/>
      <c r="I241" s="646"/>
      <c r="J241" s="567"/>
      <c r="K241" s="1517"/>
      <c r="L241" s="193"/>
      <c r="M241" s="329"/>
      <c r="N241" s="322"/>
      <c r="O241" s="1649"/>
      <c r="P241" s="1649"/>
    </row>
    <row s="1660" customFormat="1" customHeight="1" ht="18.75" hidden="1">
      <c r="A242" s="1805" t="s">
        <v>217</v>
      </c>
      <c r="B242" s="1805" t="s">
        <v>218</v>
      </c>
      <c r="C242" s="361"/>
      <c r="D242" s="2293"/>
      <c r="E242" s="2038"/>
      <c r="F242" s="2202" t="str">
        <f>INDEX(PT_DIFFERENTIATION_VTAR,MATCH(A242,PT_DIFFERENTIATION_VTAR_ID,0))</f>
        <v>Плата за услуги по поддержанию резервной тепловой мощности при отсутствии потребления тепловой энергии</v>
      </c>
      <c r="G242" s="2248" t="str">
        <f>INDEX(PT_DIFFERENTIATION_NTAR,MATCH(B242,PT_DIFFERENTIATION_NTAR_ID,0))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H242" s="1887"/>
      <c r="I242" s="1763"/>
      <c r="J242" s="1798"/>
      <c r="K242" s="1803"/>
      <c r="L242" s="1887" t="s">
        <v>318</v>
      </c>
      <c r="M242" s="329"/>
      <c r="N242" s="322"/>
      <c r="O242" s="1649"/>
      <c r="P242" s="1649"/>
    </row>
    <row s="1660" customFormat="1" customHeight="1" ht="18.75" hidden="1">
      <c r="A243" s="1805"/>
      <c r="B243" s="1805"/>
      <c r="C243" s="361" t="s">
        <v>1082</v>
      </c>
      <c r="D243" s="2293"/>
      <c r="E243" s="2038"/>
      <c r="F243" s="2202"/>
      <c r="G243" s="2248"/>
      <c r="H243" s="1517"/>
      <c r="I243" s="646" t="s">
        <v>1081</v>
      </c>
      <c r="J243" s="567"/>
      <c r="K243" s="1517"/>
      <c r="L243" s="193"/>
      <c r="M243" s="329"/>
      <c r="N243" s="322"/>
      <c r="O243" s="1649"/>
      <c r="P243" s="1649"/>
    </row>
    <row s="1660" customFormat="1" customHeight="1" ht="0.75" hidden="1">
      <c r="A244" s="1805"/>
      <c r="B244" s="1805"/>
      <c r="C244" s="361" t="s">
        <v>1089</v>
      </c>
      <c r="D244" s="2293"/>
      <c r="E244" s="2038"/>
      <c r="F244" s="2202"/>
      <c r="G244" s="397"/>
      <c r="H244" s="1517"/>
      <c r="I244" s="646"/>
      <c r="J244" s="567"/>
      <c r="K244" s="1517"/>
      <c r="L244" s="193"/>
      <c r="M244" s="329"/>
      <c r="N244" s="322"/>
      <c r="O244" s="1649"/>
      <c r="P244" s="1649"/>
    </row>
    <row s="1660" customFormat="1" customHeight="1" ht="18.75" hidden="1">
      <c r="A245" s="1805" t="s">
        <v>223</v>
      </c>
      <c r="B245" s="1805" t="s">
        <v>224</v>
      </c>
      <c r="C245" s="361"/>
      <c r="D245" s="2293"/>
      <c r="E245" s="2038"/>
      <c r="F245" s="2202" t="str">
        <f>INDEX(PT_DIFFERENTIATION_VTAR,MATCH(A245,PT_DIFFERENTIATION_VTAR_ID,0))</f>
        <v>Плата за подключение (технологическое присоединение) к системе теплоснабжения</v>
      </c>
      <c r="G245" s="2248" t="str">
        <f>INDEX(PT_DIFFERENTIATION_NTAR,MATCH(B245,PT_DIFFERENTIATION_NTAR_ID,0))</f>
        <v/>
      </c>
      <c r="H245" s="1887"/>
      <c r="I245" s="1763"/>
      <c r="J245" s="1798"/>
      <c r="K245" s="1803"/>
      <c r="L245" s="1887" t="s">
        <v>318</v>
      </c>
      <c r="M245" s="329"/>
      <c r="N245" s="322"/>
      <c r="O245" s="1649"/>
      <c r="P245" s="1649"/>
    </row>
    <row s="1660" customFormat="1" customHeight="1" ht="18.75" hidden="1">
      <c r="A246" s="1805"/>
      <c r="B246" s="1805"/>
      <c r="C246" s="361" t="s">
        <v>1082</v>
      </c>
      <c r="D246" s="2293"/>
      <c r="E246" s="2038"/>
      <c r="F246" s="2202"/>
      <c r="G246" s="2248"/>
      <c r="H246" s="1517"/>
      <c r="I246" s="646" t="s">
        <v>1081</v>
      </c>
      <c r="J246" s="567"/>
      <c r="K246" s="1517"/>
      <c r="L246" s="193"/>
      <c r="M246" s="329"/>
      <c r="N246" s="322"/>
      <c r="O246" s="1649"/>
      <c r="P246" s="1649"/>
    </row>
    <row s="1660" customFormat="1" customHeight="1" ht="0.75" hidden="1">
      <c r="A247" s="1805"/>
      <c r="B247" s="1805"/>
      <c r="C247" s="361" t="s">
        <v>1089</v>
      </c>
      <c r="D247" s="2293"/>
      <c r="E247" s="2038"/>
      <c r="F247" s="2202"/>
      <c r="G247" s="397"/>
      <c r="H247" s="1517"/>
      <c r="I247" s="646"/>
      <c r="J247" s="567"/>
      <c r="K247" s="1517"/>
      <c r="L247" s="193"/>
      <c r="M247" s="329"/>
      <c r="N247" s="322"/>
      <c r="O247" s="1649"/>
      <c r="P247" s="1649"/>
    </row>
    <row s="1660" customFormat="1" customHeight="1" ht="18.75" hidden="1">
      <c r="A248" s="1805" t="s">
        <v>237</v>
      </c>
      <c r="B248" s="1805" t="s">
        <v>238</v>
      </c>
      <c r="C248" s="361"/>
      <c r="D248" s="2293"/>
      <c r="E248" s="2038"/>
      <c r="F248" s="2202" t="str">
        <f>INDEX(PT_DIFFERENTIATION_VTAR,MATCH(A248,PT_DIFFERENTIATION_VTAR_ID,0))</f>
        <v>Тариф на питьевую воду (питьевое водоснабжение)</v>
      </c>
      <c r="G248" s="2248" t="str">
        <f>INDEX(PT_DIFFERENTIATION_NTAR,MATCH(B248,PT_DIFFERENTIATION_NTAR_ID,0))</f>
        <v/>
      </c>
      <c r="H248" s="1887"/>
      <c r="I248" s="1763"/>
      <c r="J248" s="1798"/>
      <c r="K248" s="1803"/>
      <c r="L248" s="1887" t="s">
        <v>318</v>
      </c>
      <c r="M248" s="329"/>
      <c r="N248" s="322"/>
      <c r="O248" s="1649"/>
      <c r="P248" s="1649"/>
    </row>
    <row s="1660" customFormat="1" customHeight="1" ht="18.75" hidden="1">
      <c r="A249" s="1805"/>
      <c r="B249" s="1805"/>
      <c r="C249" s="361" t="s">
        <v>1082</v>
      </c>
      <c r="D249" s="2293"/>
      <c r="E249" s="2038"/>
      <c r="F249" s="2202"/>
      <c r="G249" s="2248"/>
      <c r="H249" s="1517"/>
      <c r="I249" s="646" t="s">
        <v>1081</v>
      </c>
      <c r="J249" s="567"/>
      <c r="K249" s="1517"/>
      <c r="L249" s="193"/>
      <c r="M249" s="329"/>
      <c r="N249" s="322"/>
      <c r="O249" s="1649"/>
      <c r="P249" s="1649"/>
    </row>
    <row s="1660" customFormat="1" customHeight="1" ht="0.75" hidden="1">
      <c r="A250" s="1805"/>
      <c r="B250" s="1805"/>
      <c r="C250" s="361" t="s">
        <v>1089</v>
      </c>
      <c r="D250" s="2293"/>
      <c r="E250" s="2038"/>
      <c r="F250" s="2202"/>
      <c r="G250" s="397"/>
      <c r="H250" s="1517"/>
      <c r="I250" s="646"/>
      <c r="J250" s="567"/>
      <c r="K250" s="1517"/>
      <c r="L250" s="193"/>
      <c r="M250" s="329"/>
      <c r="N250" s="322"/>
      <c r="O250" s="1649"/>
      <c r="P250" s="1649"/>
    </row>
    <row s="1660" customFormat="1" customHeight="1" ht="18.75" hidden="1">
      <c r="A251" s="1805" t="s">
        <v>242</v>
      </c>
      <c r="B251" s="1805" t="s">
        <v>243</v>
      </c>
      <c r="C251" s="361"/>
      <c r="D251" s="2293"/>
      <c r="E251" s="2038"/>
      <c r="F251" s="2202" t="str">
        <f>INDEX(PT_DIFFERENTIATION_VTAR,MATCH(A251,PT_DIFFERENTIATION_VTAR_ID,0))</f>
        <v>Тариф на техническую воду</v>
      </c>
      <c r="G251" s="2248" t="str">
        <f>INDEX(PT_DIFFERENTIATION_NTAR,MATCH(B251,PT_DIFFERENTIATION_NTAR_ID,0))</f>
        <v/>
      </c>
      <c r="H251" s="1887"/>
      <c r="I251" s="1763"/>
      <c r="J251" s="1798"/>
      <c r="K251" s="1803"/>
      <c r="L251" s="1887" t="s">
        <v>318</v>
      </c>
      <c r="M251" s="329"/>
      <c r="N251" s="322"/>
      <c r="O251" s="1649"/>
      <c r="P251" s="1649"/>
    </row>
    <row s="1660" customFormat="1" customHeight="1" ht="18.75" hidden="1">
      <c r="A252" s="1805"/>
      <c r="B252" s="1805"/>
      <c r="C252" s="361" t="s">
        <v>1082</v>
      </c>
      <c r="D252" s="2293"/>
      <c r="E252" s="2038"/>
      <c r="F252" s="2202"/>
      <c r="G252" s="2248"/>
      <c r="H252" s="1517"/>
      <c r="I252" s="646" t="s">
        <v>1081</v>
      </c>
      <c r="J252" s="567"/>
      <c r="K252" s="1517"/>
      <c r="L252" s="193"/>
      <c r="M252" s="329"/>
      <c r="N252" s="322"/>
      <c r="O252" s="1649"/>
      <c r="P252" s="1649"/>
    </row>
    <row s="1660" customFormat="1" customHeight="1" ht="0.75" hidden="1">
      <c r="A253" s="1805"/>
      <c r="B253" s="1805"/>
      <c r="C253" s="361" t="s">
        <v>1089</v>
      </c>
      <c r="D253" s="2293"/>
      <c r="E253" s="2038"/>
      <c r="F253" s="2202"/>
      <c r="G253" s="397"/>
      <c r="H253" s="1517"/>
      <c r="I253" s="646"/>
      <c r="J253" s="567"/>
      <c r="K253" s="1517"/>
      <c r="L253" s="193"/>
      <c r="M253" s="329"/>
      <c r="N253" s="322"/>
      <c r="O253" s="1649"/>
      <c r="P253" s="1649"/>
    </row>
    <row s="1660" customFormat="1" customHeight="1" ht="18.75" hidden="1">
      <c r="A254" s="1805" t="s">
        <v>247</v>
      </c>
      <c r="B254" s="1805" t="s">
        <v>248</v>
      </c>
      <c r="C254" s="361"/>
      <c r="D254" s="2293"/>
      <c r="E254" s="2038"/>
      <c r="F254" s="2202" t="str">
        <f>INDEX(PT_DIFFERENTIATION_VTAR,MATCH(A254,PT_DIFFERENTIATION_VTAR_ID,0))</f>
        <v>Тариф на транспортировку воды</v>
      </c>
      <c r="G254" s="2248" t="str">
        <f>INDEX(PT_DIFFERENTIATION_NTAR,MATCH(B254,PT_DIFFERENTIATION_NTAR_ID,0))</f>
        <v/>
      </c>
      <c r="H254" s="1887"/>
      <c r="I254" s="1763"/>
      <c r="J254" s="1798"/>
      <c r="K254" s="1803"/>
      <c r="L254" s="1887" t="s">
        <v>318</v>
      </c>
      <c r="M254" s="329"/>
      <c r="N254" s="322"/>
      <c r="O254" s="1649"/>
      <c r="P254" s="1649"/>
    </row>
    <row s="1660" customFormat="1" customHeight="1" ht="18.75" hidden="1">
      <c r="A255" s="1805"/>
      <c r="B255" s="1805"/>
      <c r="C255" s="361" t="s">
        <v>1082</v>
      </c>
      <c r="D255" s="2293"/>
      <c r="E255" s="2038"/>
      <c r="F255" s="2202"/>
      <c r="G255" s="2248"/>
      <c r="H255" s="1517"/>
      <c r="I255" s="646" t="s">
        <v>1081</v>
      </c>
      <c r="J255" s="567"/>
      <c r="K255" s="1517"/>
      <c r="L255" s="193"/>
      <c r="M255" s="329"/>
      <c r="N255" s="322"/>
      <c r="O255" s="1649"/>
      <c r="P255" s="1649"/>
    </row>
    <row s="1660" customFormat="1" customHeight="1" ht="0.75" hidden="1">
      <c r="A256" s="1805"/>
      <c r="B256" s="1805"/>
      <c r="C256" s="361" t="s">
        <v>1089</v>
      </c>
      <c r="D256" s="2293"/>
      <c r="E256" s="2038"/>
      <c r="F256" s="2202"/>
      <c r="G256" s="397"/>
      <c r="H256" s="1517"/>
      <c r="I256" s="646"/>
      <c r="J256" s="567"/>
      <c r="K256" s="1517"/>
      <c r="L256" s="193"/>
      <c r="M256" s="329"/>
      <c r="N256" s="322"/>
      <c r="O256" s="1649"/>
      <c r="P256" s="1649"/>
    </row>
    <row s="1660" customFormat="1" customHeight="1" ht="18.75" hidden="1">
      <c r="A257" s="1805" t="s">
        <v>252</v>
      </c>
      <c r="B257" s="1805" t="s">
        <v>253</v>
      </c>
      <c r="C257" s="361"/>
      <c r="D257" s="2293"/>
      <c r="E257" s="2038"/>
      <c r="F257" s="2202" t="str">
        <f>INDEX(PT_DIFFERENTIATION_VTAR,MATCH(A257,PT_DIFFERENTIATION_VTAR_ID,0))</f>
        <v>Тариф на подвоз воды</v>
      </c>
      <c r="G257" s="2248" t="str">
        <f>INDEX(PT_DIFFERENTIATION_NTAR,MATCH(B257,PT_DIFFERENTIATION_NTAR_ID,0))</f>
        <v/>
      </c>
      <c r="H257" s="1887"/>
      <c r="I257" s="1763"/>
      <c r="J257" s="1798"/>
      <c r="K257" s="1803"/>
      <c r="L257" s="1887" t="s">
        <v>318</v>
      </c>
      <c r="M257" s="329"/>
      <c r="N257" s="322"/>
      <c r="O257" s="1649"/>
      <c r="P257" s="1649"/>
    </row>
    <row s="1660" customFormat="1" customHeight="1" ht="18.75" hidden="1">
      <c r="A258" s="1805"/>
      <c r="B258" s="1805"/>
      <c r="C258" s="361" t="s">
        <v>1082</v>
      </c>
      <c r="D258" s="2293"/>
      <c r="E258" s="2038"/>
      <c r="F258" s="2202"/>
      <c r="G258" s="2248"/>
      <c r="H258" s="1517"/>
      <c r="I258" s="646" t="s">
        <v>1081</v>
      </c>
      <c r="J258" s="567"/>
      <c r="K258" s="1517"/>
      <c r="L258" s="193"/>
      <c r="M258" s="329"/>
      <c r="N258" s="322"/>
      <c r="O258" s="1649"/>
      <c r="P258" s="1649"/>
    </row>
    <row s="1660" customFormat="1" customHeight="1" ht="0.75" hidden="1">
      <c r="A259" s="1805"/>
      <c r="B259" s="1805"/>
      <c r="C259" s="361" t="s">
        <v>1089</v>
      </c>
      <c r="D259" s="2293"/>
      <c r="E259" s="2038"/>
      <c r="F259" s="2202"/>
      <c r="G259" s="397"/>
      <c r="H259" s="1517"/>
      <c r="I259" s="646"/>
      <c r="J259" s="567"/>
      <c r="K259" s="1517"/>
      <c r="L259" s="193"/>
      <c r="M259" s="329"/>
      <c r="N259" s="322"/>
      <c r="O259" s="1649"/>
      <c r="P259" s="1649"/>
    </row>
    <row s="1660" customFormat="1" customHeight="1" ht="18.75" hidden="1">
      <c r="A260" s="1805" t="s">
        <v>257</v>
      </c>
      <c r="B260" s="1805" t="s">
        <v>258</v>
      </c>
      <c r="C260" s="361"/>
      <c r="D260" s="2293"/>
      <c r="E260" s="2038"/>
      <c r="F260" s="2202" t="str">
        <f>INDEX(PT_DIFFERENTIATION_VTAR,MATCH(A260,PT_DIFFERENTIATION_VTAR_ID,0))</f>
        <v>Тариф на подключение (технологическое присоединение) к централизованной системе холодного водоснабжения</v>
      </c>
      <c r="G260" s="2248" t="str">
        <f>INDEX(PT_DIFFERENTIATION_NTAR,MATCH(B260,PT_DIFFERENTIATION_NTAR_ID,0))</f>
        <v/>
      </c>
      <c r="H260" s="1887"/>
      <c r="I260" s="1763"/>
      <c r="J260" s="1798"/>
      <c r="K260" s="1803"/>
      <c r="L260" s="1887" t="s">
        <v>318</v>
      </c>
      <c r="M260" s="329"/>
      <c r="N260" s="322"/>
      <c r="O260" s="1649"/>
      <c r="P260" s="1649"/>
    </row>
    <row s="1660" customFormat="1" customHeight="1" ht="18.75" hidden="1">
      <c r="A261" s="1805"/>
      <c r="B261" s="1805"/>
      <c r="C261" s="361" t="s">
        <v>1082</v>
      </c>
      <c r="D261" s="2293"/>
      <c r="E261" s="2038"/>
      <c r="F261" s="2202"/>
      <c r="G261" s="2248"/>
      <c r="H261" s="1517"/>
      <c r="I261" s="646" t="s">
        <v>1081</v>
      </c>
      <c r="J261" s="567"/>
      <c r="K261" s="1517"/>
      <c r="L261" s="193"/>
      <c r="M261" s="329"/>
      <c r="N261" s="322"/>
      <c r="O261" s="1649"/>
      <c r="P261" s="1649"/>
    </row>
    <row s="1660" customFormat="1" customHeight="1" ht="0.75" hidden="1">
      <c r="A262" s="1805"/>
      <c r="B262" s="1805"/>
      <c r="C262" s="361" t="s">
        <v>1089</v>
      </c>
      <c r="D262" s="2293"/>
      <c r="E262" s="2038"/>
      <c r="F262" s="2202"/>
      <c r="G262" s="397"/>
      <c r="H262" s="1517"/>
      <c r="I262" s="646"/>
      <c r="J262" s="567"/>
      <c r="K262" s="1517"/>
      <c r="L262" s="193"/>
      <c r="M262" s="329"/>
      <c r="N262" s="322"/>
      <c r="O262" s="1649"/>
      <c r="P262" s="1649"/>
    </row>
    <row s="1660" customFormat="1" customHeight="1" ht="18.75" hidden="1">
      <c r="A263" s="1805" t="s">
        <v>262</v>
      </c>
      <c r="B263" s="1805" t="s">
        <v>263</v>
      </c>
      <c r="C263" s="361"/>
      <c r="D263" s="2293"/>
      <c r="E263" s="2038"/>
      <c r="F263" s="2202" t="str">
        <f>INDEX(PT_DIFFERENTIATION_VTAR,MATCH(A263,PT_DIFFERENTIATION_VTAR_ID,0))</f>
        <v>Тариф на горячую воду (горячее водоснабжение)</v>
      </c>
      <c r="G263" s="2248" t="str">
        <f>INDEX(PT_DIFFERENTIATION_NTAR,MATCH(B263,PT_DIFFERENTIATION_NTAR_ID,0))</f>
        <v/>
      </c>
      <c r="H263" s="1887"/>
      <c r="I263" s="1763"/>
      <c r="J263" s="1798"/>
      <c r="K263" s="1803"/>
      <c r="L263" s="1887" t="s">
        <v>318</v>
      </c>
      <c r="M263" s="329"/>
      <c r="N263" s="322"/>
      <c r="O263" s="1649"/>
      <c r="P263" s="1649"/>
    </row>
    <row s="1660" customFormat="1" customHeight="1" ht="18.75" hidden="1">
      <c r="A264" s="1805"/>
      <c r="B264" s="1805"/>
      <c r="C264" s="361" t="s">
        <v>1082</v>
      </c>
      <c r="D264" s="2293"/>
      <c r="E264" s="2038"/>
      <c r="F264" s="2202"/>
      <c r="G264" s="2248"/>
      <c r="H264" s="1517"/>
      <c r="I264" s="646" t="s">
        <v>1081</v>
      </c>
      <c r="J264" s="567"/>
      <c r="K264" s="1517"/>
      <c r="L264" s="193"/>
      <c r="M264" s="329"/>
      <c r="N264" s="322"/>
      <c r="O264" s="1649"/>
      <c r="P264" s="1649"/>
    </row>
    <row s="1660" customFormat="1" customHeight="1" ht="0.75" hidden="1">
      <c r="A265" s="1805"/>
      <c r="B265" s="1805"/>
      <c r="C265" s="361" t="s">
        <v>1089</v>
      </c>
      <c r="D265" s="2293"/>
      <c r="E265" s="2038"/>
      <c r="F265" s="2202"/>
      <c r="G265" s="397"/>
      <c r="H265" s="1517"/>
      <c r="I265" s="646"/>
      <c r="J265" s="567"/>
      <c r="K265" s="1517"/>
      <c r="L265" s="193"/>
      <c r="M265" s="329"/>
      <c r="N265" s="322"/>
      <c r="O265" s="1649"/>
      <c r="P265" s="1649"/>
    </row>
    <row s="1660" customFormat="1" customHeight="1" ht="18.75" hidden="1">
      <c r="A266" s="1805" t="s">
        <v>267</v>
      </c>
      <c r="B266" s="1805" t="s">
        <v>268</v>
      </c>
      <c r="C266" s="361"/>
      <c r="D266" s="2293"/>
      <c r="E266" s="2038"/>
      <c r="F266" s="2202" t="str">
        <f>INDEX(PT_DIFFERENTIATION_VTAR,MATCH(A266,PT_DIFFERENTIATION_VTAR_ID,0))</f>
        <v>Тариф на транспортировку горячей воды</v>
      </c>
      <c r="G266" s="2248" t="str">
        <f>INDEX(PT_DIFFERENTIATION_NTAR,MATCH(B266,PT_DIFFERENTIATION_NTAR_ID,0))</f>
        <v/>
      </c>
      <c r="H266" s="1887"/>
      <c r="I266" s="1763"/>
      <c r="J266" s="1798"/>
      <c r="K266" s="1803"/>
      <c r="L266" s="1887" t="s">
        <v>318</v>
      </c>
      <c r="M266" s="329"/>
      <c r="N266" s="322"/>
      <c r="O266" s="1649"/>
      <c r="P266" s="1649"/>
    </row>
    <row s="1660" customFormat="1" customHeight="1" ht="18.75" hidden="1">
      <c r="A267" s="1805"/>
      <c r="B267" s="1805"/>
      <c r="C267" s="361" t="s">
        <v>1082</v>
      </c>
      <c r="D267" s="2293"/>
      <c r="E267" s="2038"/>
      <c r="F267" s="2202"/>
      <c r="G267" s="2248"/>
      <c r="H267" s="1517"/>
      <c r="I267" s="646" t="s">
        <v>1081</v>
      </c>
      <c r="J267" s="567"/>
      <c r="K267" s="1517"/>
      <c r="L267" s="193"/>
      <c r="M267" s="329"/>
      <c r="N267" s="322"/>
      <c r="O267" s="1649"/>
      <c r="P267" s="1649"/>
    </row>
    <row s="1660" customFormat="1" customHeight="1" ht="0.75" hidden="1">
      <c r="A268" s="1805"/>
      <c r="B268" s="1805"/>
      <c r="C268" s="361" t="s">
        <v>1089</v>
      </c>
      <c r="D268" s="2293"/>
      <c r="E268" s="2038"/>
      <c r="F268" s="2202"/>
      <c r="G268" s="397"/>
      <c r="H268" s="1517"/>
      <c r="I268" s="646"/>
      <c r="J268" s="567"/>
      <c r="K268" s="1517"/>
      <c r="L268" s="193"/>
      <c r="M268" s="329"/>
      <c r="N268" s="322"/>
      <c r="O268" s="1649"/>
      <c r="P268" s="1649"/>
    </row>
    <row s="1660" customFormat="1" customHeight="1" ht="18.75" hidden="1">
      <c r="A269" s="1805" t="s">
        <v>272</v>
      </c>
      <c r="B269" s="1805" t="s">
        <v>273</v>
      </c>
      <c r="C269" s="361"/>
      <c r="D269" s="2293"/>
      <c r="E269" s="2038"/>
      <c r="F269" s="2202" t="str">
        <f>INDEX(PT_DIFFERENTIATION_VTAR,MATCH(A269,PT_DIFFERENTIATION_VTAR_ID,0))</f>
        <v>Тариф на подключение (технологическое присоединение) к централизованной системе горячего водоснабжения</v>
      </c>
      <c r="G269" s="2248" t="str">
        <f>INDEX(PT_DIFFERENTIATION_NTAR,MATCH(B269,PT_DIFFERENTIATION_NTAR_ID,0))</f>
        <v/>
      </c>
      <c r="H269" s="1887"/>
      <c r="I269" s="1763"/>
      <c r="J269" s="1798"/>
      <c r="K269" s="1803"/>
      <c r="L269" s="1887" t="s">
        <v>318</v>
      </c>
      <c r="M269" s="329"/>
      <c r="N269" s="322"/>
      <c r="O269" s="1649"/>
      <c r="P269" s="1649"/>
    </row>
    <row s="1660" customFormat="1" customHeight="1" ht="18.75" hidden="1">
      <c r="A270" s="1805"/>
      <c r="B270" s="1805"/>
      <c r="C270" s="361" t="s">
        <v>1082</v>
      </c>
      <c r="D270" s="2293"/>
      <c r="E270" s="2038"/>
      <c r="F270" s="2202"/>
      <c r="G270" s="2248"/>
      <c r="H270" s="1517"/>
      <c r="I270" s="646" t="s">
        <v>1081</v>
      </c>
      <c r="J270" s="567"/>
      <c r="K270" s="1517"/>
      <c r="L270" s="193"/>
      <c r="M270" s="329"/>
      <c r="N270" s="322"/>
      <c r="O270" s="1649"/>
      <c r="P270" s="1649"/>
    </row>
    <row s="1660" customFormat="1" customHeight="1" ht="0.75" hidden="1">
      <c r="A271" s="1805"/>
      <c r="B271" s="1805"/>
      <c r="C271" s="361" t="s">
        <v>1089</v>
      </c>
      <c r="D271" s="2293"/>
      <c r="E271" s="2038"/>
      <c r="F271" s="2202"/>
      <c r="G271" s="397"/>
      <c r="H271" s="1517"/>
      <c r="I271" s="646"/>
      <c r="J271" s="567"/>
      <c r="K271" s="1517"/>
      <c r="L271" s="193"/>
      <c r="M271" s="329"/>
      <c r="N271" s="322"/>
      <c r="O271" s="1649"/>
      <c r="P271" s="1649"/>
    </row>
    <row s="1660" customFormat="1" customHeight="1" ht="18.75" hidden="1">
      <c r="A272" s="1805" t="s">
        <v>277</v>
      </c>
      <c r="B272" s="1805" t="s">
        <v>278</v>
      </c>
      <c r="C272" s="361"/>
      <c r="D272" s="2293"/>
      <c r="E272" s="2038"/>
      <c r="F272" s="2202" t="str">
        <f>INDEX(PT_DIFFERENTIATION_VTAR,MATCH(A272,PT_DIFFERENTIATION_VTAR_ID,0))</f>
        <v>Тариф на водоотведение</v>
      </c>
      <c r="G272" s="2248" t="str">
        <f>INDEX(PT_DIFFERENTIATION_NTAR,MATCH(B272,PT_DIFFERENTIATION_NTAR_ID,0))</f>
        <v/>
      </c>
      <c r="H272" s="1887"/>
      <c r="I272" s="1763"/>
      <c r="J272" s="1798"/>
      <c r="K272" s="1803"/>
      <c r="L272" s="1887" t="s">
        <v>318</v>
      </c>
      <c r="M272" s="329"/>
      <c r="N272" s="322"/>
      <c r="O272" s="1649"/>
      <c r="P272" s="1649"/>
    </row>
    <row s="1660" customFormat="1" customHeight="1" ht="18.75" hidden="1">
      <c r="A273" s="1805"/>
      <c r="B273" s="1805"/>
      <c r="C273" s="361" t="s">
        <v>1082</v>
      </c>
      <c r="D273" s="2293"/>
      <c r="E273" s="2038"/>
      <c r="F273" s="2202"/>
      <c r="G273" s="2248"/>
      <c r="H273" s="1517"/>
      <c r="I273" s="646" t="s">
        <v>1081</v>
      </c>
      <c r="J273" s="567"/>
      <c r="K273" s="1517"/>
      <c r="L273" s="193"/>
      <c r="M273" s="329"/>
      <c r="N273" s="322"/>
      <c r="O273" s="1649"/>
      <c r="P273" s="1649"/>
    </row>
    <row s="1660" customFormat="1" customHeight="1" ht="0.75" hidden="1">
      <c r="A274" s="1805"/>
      <c r="B274" s="1805"/>
      <c r="C274" s="361" t="s">
        <v>1089</v>
      </c>
      <c r="D274" s="2293"/>
      <c r="E274" s="2038"/>
      <c r="F274" s="2202"/>
      <c r="G274" s="397"/>
      <c r="H274" s="1517"/>
      <c r="I274" s="646"/>
      <c r="J274" s="567"/>
      <c r="K274" s="1517"/>
      <c r="L274" s="193"/>
      <c r="M274" s="329"/>
      <c r="N274" s="322"/>
      <c r="O274" s="1649"/>
      <c r="P274" s="1649"/>
    </row>
    <row s="1660" customFormat="1" customHeight="1" ht="18.75" hidden="1">
      <c r="A275" s="1805" t="s">
        <v>282</v>
      </c>
      <c r="B275" s="1805" t="s">
        <v>283</v>
      </c>
      <c r="C275" s="361"/>
      <c r="D275" s="2293"/>
      <c r="E275" s="2038"/>
      <c r="F275" s="2202" t="str">
        <f>INDEX(PT_DIFFERENTIATION_VTAR,MATCH(A275,PT_DIFFERENTIATION_VTAR_ID,0))</f>
        <v>Тариф на транспортировку сточных вод</v>
      </c>
      <c r="G275" s="2248" t="str">
        <f>INDEX(PT_DIFFERENTIATION_NTAR,MATCH(B275,PT_DIFFERENTIATION_NTAR_ID,0))</f>
        <v/>
      </c>
      <c r="H275" s="1887"/>
      <c r="I275" s="1763"/>
      <c r="J275" s="1798"/>
      <c r="K275" s="1803"/>
      <c r="L275" s="1887" t="s">
        <v>318</v>
      </c>
      <c r="M275" s="329"/>
      <c r="N275" s="322"/>
      <c r="O275" s="1649"/>
      <c r="P275" s="1649"/>
    </row>
    <row s="1660" customFormat="1" customHeight="1" ht="18.75" hidden="1">
      <c r="A276" s="1805"/>
      <c r="B276" s="1805"/>
      <c r="C276" s="361" t="s">
        <v>1082</v>
      </c>
      <c r="D276" s="2293"/>
      <c r="E276" s="2038"/>
      <c r="F276" s="2202"/>
      <c r="G276" s="2248"/>
      <c r="H276" s="1517"/>
      <c r="I276" s="646" t="s">
        <v>1081</v>
      </c>
      <c r="J276" s="567"/>
      <c r="K276" s="1517"/>
      <c r="L276" s="193"/>
      <c r="M276" s="329"/>
      <c r="N276" s="322"/>
      <c r="O276" s="1649"/>
      <c r="P276" s="1649"/>
    </row>
    <row s="1660" customFormat="1" customHeight="1" ht="0.75" hidden="1">
      <c r="A277" s="1805"/>
      <c r="B277" s="1805"/>
      <c r="C277" s="361" t="s">
        <v>1089</v>
      </c>
      <c r="D277" s="2293"/>
      <c r="E277" s="2038"/>
      <c r="F277" s="2202"/>
      <c r="G277" s="397"/>
      <c r="H277" s="1517"/>
      <c r="I277" s="646"/>
      <c r="J277" s="567"/>
      <c r="K277" s="1517"/>
      <c r="L277" s="193"/>
      <c r="M277" s="329"/>
      <c r="N277" s="322"/>
      <c r="O277" s="1649"/>
      <c r="P277" s="1649"/>
    </row>
    <row s="1660" customFormat="1" customHeight="1" ht="18.75" hidden="1">
      <c r="A278" s="1805" t="s">
        <v>287</v>
      </c>
      <c r="B278" s="1805" t="s">
        <v>288</v>
      </c>
      <c r="C278" s="361"/>
      <c r="D278" s="2293"/>
      <c r="E278" s="2038"/>
      <c r="F278" s="2202" t="str">
        <f>INDEX(PT_DIFFERENTIATION_VTAR,MATCH(A278,PT_DIFFERENTIATION_VTAR_ID,0))</f>
        <v>Тариф на подключение (технологическое присоединение) к централизованной системе водоотведения</v>
      </c>
      <c r="G278" s="2248" t="str">
        <f>INDEX(PT_DIFFERENTIATION_NTAR,MATCH(B278,PT_DIFFERENTIATION_NTAR_ID,0))</f>
        <v/>
      </c>
      <c r="H278" s="1887"/>
      <c r="I278" s="1763"/>
      <c r="J278" s="1798"/>
      <c r="K278" s="1803"/>
      <c r="L278" s="1887" t="s">
        <v>318</v>
      </c>
      <c r="M278" s="329"/>
      <c r="N278" s="322"/>
      <c r="O278" s="1649"/>
      <c r="P278" s="1649"/>
    </row>
    <row s="1660" customFormat="1" customHeight="1" ht="18.75" hidden="1">
      <c r="A279" s="1805"/>
      <c r="B279" s="1805"/>
      <c r="C279" s="361" t="s">
        <v>1082</v>
      </c>
      <c r="D279" s="2293"/>
      <c r="E279" s="2038"/>
      <c r="F279" s="2202"/>
      <c r="G279" s="2248"/>
      <c r="H279" s="1517"/>
      <c r="I279" s="646" t="s">
        <v>1081</v>
      </c>
      <c r="J279" s="567"/>
      <c r="K279" s="1517"/>
      <c r="L279" s="193"/>
      <c r="M279" s="329"/>
      <c r="N279" s="322"/>
      <c r="O279" s="1649"/>
      <c r="P279" s="1649"/>
    </row>
    <row s="1660" customFormat="1" customHeight="1" ht="0.75">
      <c r="A280" s="1805"/>
      <c r="B280" s="1805"/>
      <c r="C280" s="361" t="s">
        <v>1089</v>
      </c>
      <c r="D280" s="2293"/>
      <c r="E280" s="2038"/>
      <c r="F280" s="2202"/>
      <c r="G280" s="397"/>
      <c r="H280" s="1517"/>
      <c r="I280" s="646"/>
      <c r="J280" s="567"/>
      <c r="K280" s="1517"/>
      <c r="L280" s="193"/>
      <c r="M280" s="329"/>
      <c r="N280" s="322"/>
      <c r="O280" s="1649"/>
      <c r="P280" s="1649"/>
    </row>
    <row customHeight="1" ht="25.5">
      <c r="A281" s="1805"/>
      <c r="B281" s="1805"/>
      <c r="D281" s="368"/>
      <c r="E281" s="127" t="s">
        <v>91</v>
      </c>
      <c r="F281" s="2285"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81" s="2285"/>
      <c r="H281" s="2285"/>
      <c r="I281" s="2285"/>
      <c r="J281" s="2285"/>
      <c r="K281" s="2285"/>
      <c r="L281" s="2285"/>
      <c r="M281" s="277"/>
      <c r="N281" s="322"/>
    </row>
    <row s="1660" customFormat="1" customHeight="1" ht="60.75" hidden="1">
      <c r="A282" s="1805" t="s">
        <v>155</v>
      </c>
      <c r="B282" s="1805" t="s">
        <v>156</v>
      </c>
      <c r="C282" s="361"/>
      <c r="D282" s="2293"/>
      <c r="E282" s="2038"/>
      <c r="F282" s="2202" t="str">
        <f>INDEX(PT_DIFFERENTIATION_VTAR,MATCH(A282,PT_DIFFERENTIATION_VTAR_ID,0))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82" s="2248" t="str">
        <f>INDEX(PT_DIFFERENTIATION_NTAR,MATCH(B282,PT_DIFFERENTIATION_NTAR_ID,0))</f>
        <v>Тариф на тепловую энергию, поставляемую ПАО "ТГК-1" потребителям, расположенным на территории Санкт-Петербурга</v>
      </c>
      <c r="H282" s="1887"/>
      <c r="I282" s="1763"/>
      <c r="J282" s="1798"/>
      <c r="K282" s="1803"/>
      <c r="L282" s="1887" t="s">
        <v>318</v>
      </c>
      <c r="M282" s="19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82" s="322"/>
      <c r="O282" s="1649"/>
      <c r="P282" s="1649"/>
    </row>
    <row s="1660" customFormat="1" customHeight="1" ht="18.75" hidden="1">
      <c r="A283" s="1805"/>
      <c r="B283" s="1805"/>
      <c r="C283" s="361" t="s">
        <v>1082</v>
      </c>
      <c r="D283" s="2293"/>
      <c r="E283" s="2038"/>
      <c r="F283" s="2202"/>
      <c r="G283" s="2248"/>
      <c r="H283" s="1517"/>
      <c r="I283" s="646" t="s">
        <v>1081</v>
      </c>
      <c r="J283" s="567"/>
      <c r="K283" s="1517"/>
      <c r="L283" s="193"/>
      <c r="M283" s="1998"/>
      <c r="N283" s="322"/>
      <c r="O283" s="1649"/>
      <c r="P283" s="1649"/>
    </row>
    <row s="1660" customFormat="1" customHeight="1" ht="18.75">
      <c r="A284" s="1848" t="s">
        <v>155</v>
      </c>
      <c r="B284" s="1848" t="s">
        <v>165</v>
      </c>
      <c r="C284" s="1712"/>
      <c r="D284" s="332"/>
      <c r="E284" s="1026"/>
      <c r="F284" s="1026"/>
      <c r="G284" s="2248" t="str">
        <f>INDEX(PT_DIFFERENTIATION_NTAR,MATCH(B284,PT_DIFFERENTIATION_NTAR_ID,0))</f>
        <v>Тариф на тепловую энергию, поставляемую ПАО "ТГК-1" на коллекторах источников тепловой энергии потребителям, расположенным на территории Санкт-Петербурга</v>
      </c>
      <c r="H284" s="2066"/>
      <c r="I284" s="1763"/>
      <c r="J284" s="1798"/>
      <c r="K284" s="1803"/>
      <c r="L284" s="2066" t="s">
        <v>318</v>
      </c>
      <c r="M284" s="1900"/>
      <c r="N284" s="614"/>
      <c r="O284" s="1649"/>
      <c r="P284" s="1649"/>
      <c r="Q284" s="1660"/>
      <c r="R284" s="1660"/>
      <c r="S284" s="1660"/>
      <c r="T284" s="1660"/>
      <c r="U284" s="1660"/>
      <c r="V284" s="1660"/>
      <c r="W284" s="1660"/>
      <c r="X284" s="1660"/>
      <c r="Y284" s="1660"/>
      <c r="Z284" s="1660"/>
      <c r="AA284" s="1660"/>
      <c r="AB284" s="1660"/>
      <c r="AC284" s="1660"/>
      <c r="AD284" s="1660"/>
      <c r="AE284" s="1660"/>
      <c r="AF284" s="1660"/>
      <c r="AG284" s="1660"/>
    </row>
    <row s="1660" customFormat="1" customHeight="1" ht="18.75">
      <c r="A285" s="1848"/>
      <c r="B285" s="1848"/>
      <c r="C285" s="1712" t="s">
        <v>1082</v>
      </c>
      <c r="D285" s="332"/>
      <c r="E285" s="1026"/>
      <c r="F285" s="1026"/>
      <c r="G285" s="2248"/>
      <c r="H285" s="5587"/>
      <c r="I285" s="5588" t="s">
        <v>1081</v>
      </c>
      <c r="J285" s="5589"/>
      <c r="K285" s="5590"/>
      <c r="L285" s="5591"/>
      <c r="M285" s="1900"/>
      <c r="N285" s="614"/>
      <c r="O285" s="1649"/>
      <c r="P285" s="1649"/>
      <c r="Q285" s="1660"/>
      <c r="R285" s="1660"/>
      <c r="S285" s="1660"/>
      <c r="T285" s="1660"/>
      <c r="U285" s="1660"/>
      <c r="V285" s="1660"/>
      <c r="W285" s="1660"/>
      <c r="X285" s="1660"/>
      <c r="Y285" s="1660"/>
      <c r="Z285" s="1660"/>
      <c r="AA285" s="1660"/>
      <c r="AB285" s="1660"/>
      <c r="AC285" s="1660"/>
      <c r="AD285" s="1660"/>
      <c r="AE285" s="1660"/>
      <c r="AF285" s="1660"/>
      <c r="AG285" s="1660"/>
    </row>
    <row s="1660" customFormat="1" customHeight="1" ht="18.75">
      <c r="A286" s="1848" t="s">
        <v>155</v>
      </c>
      <c r="B286" s="1848" t="s">
        <v>170</v>
      </c>
      <c r="C286" s="1712"/>
      <c r="D286" s="332"/>
      <c r="E286" s="1026"/>
      <c r="F286" s="1026"/>
      <c r="G286" s="2248" t="str">
        <f>INDEX(PT_DIFFERENTIATION_NTAR,MATCH(B286,PT_DIFFERENTIATION_NTAR_ID,0))</f>
        <v>Тариф на тепловую энергию (мощность), поставляемую ПАО "ТГК-1" теплоснабжающим, теплосетевым организациям, приобретающим тепловую энергию с целью компенсации потерь тепловой энергии</v>
      </c>
      <c r="H286" s="2066"/>
      <c r="I286" s="1763"/>
      <c r="J286" s="1798"/>
      <c r="K286" s="1803"/>
      <c r="L286" s="2066" t="s">
        <v>318</v>
      </c>
      <c r="M286" s="1900"/>
      <c r="N286" s="614"/>
      <c r="O286" s="1649"/>
      <c r="P286" s="1649"/>
      <c r="Q286" s="1660"/>
      <c r="R286" s="1660"/>
      <c r="S286" s="1660"/>
      <c r="T286" s="1660"/>
      <c r="U286" s="1660"/>
      <c r="V286" s="1660"/>
      <c r="W286" s="1660"/>
      <c r="X286" s="1660"/>
      <c r="Y286" s="1660"/>
      <c r="Z286" s="1660"/>
      <c r="AA286" s="1660"/>
      <c r="AB286" s="1660"/>
      <c r="AC286" s="1660"/>
      <c r="AD286" s="1660"/>
      <c r="AE286" s="1660"/>
      <c r="AF286" s="1660"/>
      <c r="AG286" s="1660"/>
    </row>
    <row s="1660" customFormat="1" customHeight="1" ht="18.75">
      <c r="A287" s="1848"/>
      <c r="B287" s="1848"/>
      <c r="C287" s="1712" t="s">
        <v>1082</v>
      </c>
      <c r="D287" s="332"/>
      <c r="E287" s="1026"/>
      <c r="F287" s="1026"/>
      <c r="G287" s="2248"/>
      <c r="H287" s="5592"/>
      <c r="I287" s="5593" t="s">
        <v>1081</v>
      </c>
      <c r="J287" s="5594"/>
      <c r="K287" s="5595"/>
      <c r="L287" s="5596"/>
      <c r="M287" s="1900"/>
      <c r="N287" s="614"/>
      <c r="O287" s="1649"/>
      <c r="P287" s="1649"/>
      <c r="Q287" s="1660"/>
      <c r="R287" s="1660"/>
      <c r="S287" s="1660"/>
      <c r="T287" s="1660"/>
      <c r="U287" s="1660"/>
      <c r="V287" s="1660"/>
      <c r="W287" s="1660"/>
      <c r="X287" s="1660"/>
      <c r="Y287" s="1660"/>
      <c r="Z287" s="1660"/>
      <c r="AA287" s="1660"/>
      <c r="AB287" s="1660"/>
      <c r="AC287" s="1660"/>
      <c r="AD287" s="1660"/>
      <c r="AE287" s="1660"/>
      <c r="AF287" s="1660"/>
      <c r="AG287" s="1660"/>
    </row>
    <row s="1660" customFormat="1" customHeight="1" ht="18.75">
      <c r="A288" s="1848" t="s">
        <v>155</v>
      </c>
      <c r="B288" s="1848" t="s">
        <v>175</v>
      </c>
      <c r="C288" s="1712"/>
      <c r="D288" s="332"/>
      <c r="E288" s="1026"/>
      <c r="F288" s="1026"/>
      <c r="G288" s="2248" t="str">
        <f>INDEX(PT_DIFFERENTIATION_NTAR,MATCH(B288,PT_DIFFERENTIATION_NTAR_ID,0))</f>
        <v>Льготные тарифы на тепловую энергию, поставляемую ПАО "ТГК-1" потребителям, расположенным на территории Санкт-Петербурга</v>
      </c>
      <c r="H288" s="2066"/>
      <c r="I288" s="1763"/>
      <c r="J288" s="1798"/>
      <c r="K288" s="1803"/>
      <c r="L288" s="2066" t="s">
        <v>318</v>
      </c>
      <c r="M288" s="1900"/>
      <c r="N288" s="614"/>
      <c r="O288" s="1649"/>
      <c r="P288" s="1649"/>
      <c r="Q288" s="1660"/>
      <c r="R288" s="1660"/>
      <c r="S288" s="1660"/>
      <c r="T288" s="1660"/>
      <c r="U288" s="1660"/>
      <c r="V288" s="1660"/>
      <c r="W288" s="1660"/>
      <c r="X288" s="1660"/>
      <c r="Y288" s="1660"/>
      <c r="Z288" s="1660"/>
      <c r="AA288" s="1660"/>
      <c r="AB288" s="1660"/>
      <c r="AC288" s="1660"/>
      <c r="AD288" s="1660"/>
      <c r="AE288" s="1660"/>
      <c r="AF288" s="1660"/>
      <c r="AG288" s="1660"/>
    </row>
    <row s="1660" customFormat="1" customHeight="1" ht="18.75">
      <c r="A289" s="1848"/>
      <c r="B289" s="1848"/>
      <c r="C289" s="1712" t="s">
        <v>1082</v>
      </c>
      <c r="D289" s="332"/>
      <c r="E289" s="1026"/>
      <c r="F289" s="1026"/>
      <c r="G289" s="2248"/>
      <c r="H289" s="5597"/>
      <c r="I289" s="5598" t="s">
        <v>1081</v>
      </c>
      <c r="J289" s="5599"/>
      <c r="K289" s="5600"/>
      <c r="L289" s="5601"/>
      <c r="M289" s="1900"/>
      <c r="N289" s="614"/>
      <c r="O289" s="1649"/>
      <c r="P289" s="1649"/>
      <c r="Q289" s="1660"/>
      <c r="R289" s="1660"/>
      <c r="S289" s="1660"/>
      <c r="T289" s="1660"/>
      <c r="U289" s="1660"/>
      <c r="V289" s="1660"/>
      <c r="W289" s="1660"/>
      <c r="X289" s="1660"/>
      <c r="Y289" s="1660"/>
      <c r="Z289" s="1660"/>
      <c r="AA289" s="1660"/>
      <c r="AB289" s="1660"/>
      <c r="AC289" s="1660"/>
      <c r="AD289" s="1660"/>
      <c r="AE289" s="1660"/>
      <c r="AF289" s="1660"/>
      <c r="AG289" s="1660"/>
    </row>
    <row s="1660" customFormat="1" customHeight="1" ht="0.75" hidden="1">
      <c r="A290" s="1805"/>
      <c r="B290" s="1805"/>
      <c r="C290" s="361" t="s">
        <v>1089</v>
      </c>
      <c r="D290" s="2293"/>
      <c r="E290" s="2038"/>
      <c r="F290" s="2202"/>
      <c r="G290" s="397"/>
      <c r="H290" s="1517"/>
      <c r="I290" s="646"/>
      <c r="J290" s="567"/>
      <c r="K290" s="1517"/>
      <c r="L290" s="193"/>
      <c r="M290" s="1998"/>
      <c r="N290" s="322"/>
      <c r="O290" s="1649"/>
      <c r="P290" s="1649"/>
    </row>
    <row s="1660" customFormat="1" customHeight="1" ht="45" hidden="1">
      <c r="A291" s="1805" t="s">
        <v>181</v>
      </c>
      <c r="B291" s="1805" t="s">
        <v>182</v>
      </c>
      <c r="C291" s="361"/>
      <c r="D291" s="2293"/>
      <c r="E291" s="2038"/>
      <c r="F291" s="2202" t="str">
        <f>INDEX(PT_DIFFERENTIATION_VTAR,MATCH(A291,PT_DIFFERENTIATION_VTAR_ID,0))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91" s="2248" t="str">
        <f>INDEX(PT_DIFFERENTIATION_NTAR,MATCH(B291,PT_DIFFERENTIATION_NTAR_ID,0))</f>
        <v/>
      </c>
      <c r="H291" s="1887"/>
      <c r="I291" s="1763"/>
      <c r="J291" s="1798"/>
      <c r="K291" s="1803"/>
      <c r="L291" s="1887" t="s">
        <v>318</v>
      </c>
      <c r="M291" s="1999"/>
      <c r="N291" s="322"/>
      <c r="O291" s="1649"/>
      <c r="P291" s="1649"/>
    </row>
    <row s="1660" customFormat="1" customHeight="1" ht="18.75" hidden="1">
      <c r="A292" s="1805"/>
      <c r="B292" s="1805"/>
      <c r="C292" s="361" t="s">
        <v>1082</v>
      </c>
      <c r="D292" s="2293"/>
      <c r="E292" s="2038"/>
      <c r="F292" s="2202"/>
      <c r="G292" s="2248"/>
      <c r="H292" s="1517"/>
      <c r="I292" s="646" t="s">
        <v>1081</v>
      </c>
      <c r="J292" s="567"/>
      <c r="K292" s="1517"/>
      <c r="L292" s="193"/>
      <c r="M292" s="1886"/>
      <c r="N292" s="322"/>
      <c r="O292" s="1649"/>
      <c r="P292" s="1649"/>
    </row>
    <row s="1660" customFormat="1" customHeight="1" ht="0.75" hidden="1">
      <c r="A293" s="1805"/>
      <c r="B293" s="1805"/>
      <c r="C293" s="361" t="s">
        <v>1089</v>
      </c>
      <c r="D293" s="2293"/>
      <c r="E293" s="2038"/>
      <c r="F293" s="2202"/>
      <c r="G293" s="397"/>
      <c r="H293" s="1517"/>
      <c r="I293" s="646"/>
      <c r="J293" s="567"/>
      <c r="K293" s="1517"/>
      <c r="L293" s="193"/>
      <c r="M293" s="329"/>
      <c r="N293" s="322"/>
      <c r="O293" s="1649"/>
      <c r="P293" s="1649"/>
    </row>
    <row s="1660" customFormat="1" customHeight="1" ht="45" hidden="1">
      <c r="A294" s="1805" t="s">
        <v>189</v>
      </c>
      <c r="B294" s="1805" t="s">
        <v>190</v>
      </c>
      <c r="C294" s="361"/>
      <c r="D294" s="2293"/>
      <c r="E294" s="2038"/>
      <c r="F294" s="2202" t="str">
        <f>INDEX(PT_DIFFERENTIATION_VTAR,MATCH(A294,PT_DIFFERENTIATION_VTAR_ID,0))</f>
        <v>Тарифы на теплоноситель, поставляемый теплоснабжающими организациями потребителям, другим теплоснабжающим организациям</v>
      </c>
      <c r="G294" s="2248" t="str">
        <f>INDEX(PT_DIFFERENTIATION_NTAR,MATCH(B294,PT_DIFFERENTIATION_NTAR_ID,0))</f>
        <v>Тариф на теплоноситель, поставляемый ПАО "ТГК-1" потребителям, расположенным на территории Санкт-Петербурга</v>
      </c>
      <c r="H294" s="1887"/>
      <c r="I294" s="1763"/>
      <c r="J294" s="1798"/>
      <c r="K294" s="1803"/>
      <c r="L294" s="1887" t="s">
        <v>318</v>
      </c>
      <c r="M294" s="329"/>
      <c r="N294" s="322"/>
      <c r="O294" s="1649"/>
      <c r="P294" s="1649"/>
    </row>
    <row s="1660" customFormat="1" customHeight="1" ht="18.75" hidden="1">
      <c r="A295" s="1805"/>
      <c r="B295" s="1805"/>
      <c r="C295" s="361" t="s">
        <v>1082</v>
      </c>
      <c r="D295" s="2293"/>
      <c r="E295" s="2038"/>
      <c r="F295" s="2202"/>
      <c r="G295" s="2248"/>
      <c r="H295" s="1517"/>
      <c r="I295" s="646" t="s">
        <v>1081</v>
      </c>
      <c r="J295" s="567"/>
      <c r="K295" s="1517"/>
      <c r="L295" s="193"/>
      <c r="M295" s="329"/>
      <c r="N295" s="322"/>
      <c r="O295" s="1649"/>
      <c r="P295" s="1649"/>
    </row>
    <row s="1660" customFormat="1" customHeight="1" ht="0.75" hidden="1">
      <c r="A296" s="1805"/>
      <c r="B296" s="1805"/>
      <c r="C296" s="361" t="s">
        <v>1089</v>
      </c>
      <c r="D296" s="2293"/>
      <c r="E296" s="2038"/>
      <c r="F296" s="2202"/>
      <c r="G296" s="397"/>
      <c r="H296" s="1517"/>
      <c r="I296" s="646"/>
      <c r="J296" s="567"/>
      <c r="K296" s="1517"/>
      <c r="L296" s="193"/>
      <c r="M296" s="329"/>
      <c r="N296" s="322"/>
      <c r="O296" s="1649"/>
      <c r="P296" s="1649"/>
    </row>
    <row s="1660" customFormat="1" customHeight="1" ht="45" hidden="1">
      <c r="A297" s="1805" t="s">
        <v>197</v>
      </c>
      <c r="B297" s="1805" t="s">
        <v>198</v>
      </c>
      <c r="C297" s="361"/>
      <c r="D297" s="2293"/>
      <c r="E297" s="2038"/>
      <c r="F297" s="2202" t="str">
        <f>INDEX(PT_DIFFERENTIATION_VTAR,MATCH(A297,PT_DIFFERENTIATION_VTAR_ID,0))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97" s="2248" t="str">
        <f>INDEX(PT_DIFFERENTIATION_NTAR,MATCH(B297,PT_DIFFERENTIATION_NTAR_ID,0))</f>
        <v>Тариф на горячую воду (горячее водоснабжение), поставляемую ПАО "ТГК-1" в открытых системах теплоснабжения потребителям, расположенным на территории Санкт-Петербурга</v>
      </c>
      <c r="H297" s="1887"/>
      <c r="I297" s="1763"/>
      <c r="J297" s="1798"/>
      <c r="K297" s="1803"/>
      <c r="L297" s="1887" t="s">
        <v>318</v>
      </c>
      <c r="M297" s="329"/>
      <c r="N297" s="322"/>
      <c r="O297" s="1649"/>
      <c r="P297" s="1649"/>
    </row>
    <row s="1660" customFormat="1" customHeight="1" ht="18.75" hidden="1">
      <c r="A298" s="1805"/>
      <c r="B298" s="1805"/>
      <c r="C298" s="361" t="s">
        <v>1082</v>
      </c>
      <c r="D298" s="2293"/>
      <c r="E298" s="2038"/>
      <c r="F298" s="2202"/>
      <c r="G298" s="2248"/>
      <c r="H298" s="1517"/>
      <c r="I298" s="646" t="s">
        <v>1081</v>
      </c>
      <c r="J298" s="567"/>
      <c r="K298" s="1517"/>
      <c r="L298" s="193"/>
      <c r="M298" s="329"/>
      <c r="N298" s="322"/>
      <c r="O298" s="1649"/>
      <c r="P298" s="1649"/>
    </row>
    <row s="1660" customFormat="1" customHeight="1" ht="0.75" hidden="1">
      <c r="A299" s="1805"/>
      <c r="B299" s="1805"/>
      <c r="C299" s="361" t="s">
        <v>1089</v>
      </c>
      <c r="D299" s="2293"/>
      <c r="E299" s="2038"/>
      <c r="F299" s="2202"/>
      <c r="G299" s="397"/>
      <c r="H299" s="1517"/>
      <c r="I299" s="646"/>
      <c r="J299" s="567"/>
      <c r="K299" s="1517"/>
      <c r="L299" s="193"/>
      <c r="M299" s="329"/>
      <c r="N299" s="322"/>
      <c r="O299" s="1649"/>
      <c r="P299" s="1649"/>
    </row>
    <row s="1660" customFormat="1" customHeight="1" ht="18.75" hidden="1">
      <c r="A300" s="1805" t="s">
        <v>203</v>
      </c>
      <c r="B300" s="1805" t="s">
        <v>204</v>
      </c>
      <c r="C300" s="361"/>
      <c r="D300" s="2293"/>
      <c r="E300" s="2038"/>
      <c r="F300" s="2202" t="str">
        <f>INDEX(PT_DIFFERENTIATION_VTAR,MATCH(A300,PT_DIFFERENTIATION_VTAR_ID,0))</f>
        <v>Тарифы на услуги по передаче тепловой энергии</v>
      </c>
      <c r="G300" s="2248" t="str">
        <f>INDEX(PT_DIFFERENTIATION_NTAR,MATCH(B300,PT_DIFFERENTIATION_NTAR_ID,0))</f>
        <v/>
      </c>
      <c r="H300" s="1887"/>
      <c r="I300" s="1763"/>
      <c r="J300" s="1798"/>
      <c r="K300" s="1803"/>
      <c r="L300" s="1887" t="s">
        <v>318</v>
      </c>
      <c r="M300" s="329"/>
      <c r="N300" s="322"/>
      <c r="O300" s="1649"/>
      <c r="P300" s="1649"/>
    </row>
    <row s="1660" customFormat="1" customHeight="1" ht="18.75" hidden="1">
      <c r="A301" s="1805"/>
      <c r="B301" s="1805"/>
      <c r="C301" s="361" t="s">
        <v>1082</v>
      </c>
      <c r="D301" s="2293"/>
      <c r="E301" s="2038"/>
      <c r="F301" s="2202"/>
      <c r="G301" s="2248"/>
      <c r="H301" s="1517"/>
      <c r="I301" s="646" t="s">
        <v>1081</v>
      </c>
      <c r="J301" s="567"/>
      <c r="K301" s="1517"/>
      <c r="L301" s="193"/>
      <c r="M301" s="329"/>
      <c r="N301" s="322"/>
      <c r="O301" s="1649"/>
      <c r="P301" s="1649"/>
    </row>
    <row s="1660" customFormat="1" customHeight="1" ht="0.75" hidden="1">
      <c r="A302" s="1805"/>
      <c r="B302" s="1805"/>
      <c r="C302" s="361" t="s">
        <v>1089</v>
      </c>
      <c r="D302" s="2293"/>
      <c r="E302" s="2038"/>
      <c r="F302" s="2202"/>
      <c r="G302" s="397"/>
      <c r="H302" s="1517"/>
      <c r="I302" s="646"/>
      <c r="J302" s="567"/>
      <c r="K302" s="1517"/>
      <c r="L302" s="193"/>
      <c r="M302" s="329"/>
      <c r="N302" s="322"/>
      <c r="O302" s="1649"/>
      <c r="P302" s="1649"/>
    </row>
    <row s="1660" customFormat="1" customHeight="1" ht="18.75" hidden="1">
      <c r="A303" s="1805" t="s">
        <v>209</v>
      </c>
      <c r="B303" s="1805" t="s">
        <v>210</v>
      </c>
      <c r="C303" s="361"/>
      <c r="D303" s="2293"/>
      <c r="E303" s="2038"/>
      <c r="F303" s="2202" t="str">
        <f>INDEX(PT_DIFFERENTIATION_VTAR,MATCH(A303,PT_DIFFERENTIATION_VTAR_ID,0))</f>
        <v>Тарифы на услуги по передаче теплоносителя</v>
      </c>
      <c r="G303" s="2248" t="str">
        <f>INDEX(PT_DIFFERENTIATION_NTAR,MATCH(B303,PT_DIFFERENTIATION_NTAR_ID,0))</f>
        <v/>
      </c>
      <c r="H303" s="1887"/>
      <c r="I303" s="1763"/>
      <c r="J303" s="1798"/>
      <c r="K303" s="1803"/>
      <c r="L303" s="1887" t="s">
        <v>318</v>
      </c>
      <c r="M303" s="329"/>
      <c r="N303" s="322"/>
      <c r="O303" s="1649"/>
      <c r="P303" s="1649"/>
    </row>
    <row s="1660" customFormat="1" customHeight="1" ht="18.75" hidden="1">
      <c r="A304" s="1805"/>
      <c r="B304" s="1805"/>
      <c r="C304" s="361" t="s">
        <v>1082</v>
      </c>
      <c r="D304" s="2293"/>
      <c r="E304" s="2038"/>
      <c r="F304" s="2202"/>
      <c r="G304" s="2248"/>
      <c r="H304" s="1517"/>
      <c r="I304" s="646" t="s">
        <v>1081</v>
      </c>
      <c r="J304" s="567"/>
      <c r="K304" s="1517"/>
      <c r="L304" s="193"/>
      <c r="M304" s="329"/>
      <c r="N304" s="322"/>
      <c r="O304" s="1649"/>
      <c r="P304" s="1649"/>
    </row>
    <row s="1660" customFormat="1" customHeight="1" ht="0.75" hidden="1">
      <c r="A305" s="1805"/>
      <c r="B305" s="1805"/>
      <c r="C305" s="361" t="s">
        <v>1089</v>
      </c>
      <c r="D305" s="2293"/>
      <c r="E305" s="2038"/>
      <c r="F305" s="2202"/>
      <c r="G305" s="397"/>
      <c r="H305" s="1517"/>
      <c r="I305" s="646"/>
      <c r="J305" s="567"/>
      <c r="K305" s="1517"/>
      <c r="L305" s="193"/>
      <c r="M305" s="329"/>
      <c r="N305" s="322"/>
      <c r="O305" s="1649"/>
      <c r="P305" s="1649"/>
    </row>
    <row s="1660" customFormat="1" customHeight="1" ht="18.75" hidden="1">
      <c r="A306" s="1805" t="s">
        <v>217</v>
      </c>
      <c r="B306" s="1805" t="s">
        <v>218</v>
      </c>
      <c r="C306" s="361"/>
      <c r="D306" s="2293"/>
      <c r="E306" s="2038"/>
      <c r="F306" s="2202" t="str">
        <f>INDEX(PT_DIFFERENTIATION_VTAR,MATCH(A306,PT_DIFFERENTIATION_VTAR_ID,0))</f>
        <v>Плата за услуги по поддержанию резервной тепловой мощности при отсутствии потребления тепловой энергии</v>
      </c>
      <c r="G306" s="2248" t="str">
        <f>INDEX(PT_DIFFERENTIATION_NTAR,MATCH(B306,PT_DIFFERENTIATION_NTAR_ID,0))</f>
        <v>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v>
      </c>
      <c r="H306" s="1887"/>
      <c r="I306" s="1763"/>
      <c r="J306" s="1798"/>
      <c r="K306" s="1803"/>
      <c r="L306" s="1887" t="s">
        <v>318</v>
      </c>
      <c r="M306" s="329"/>
      <c r="N306" s="322"/>
      <c r="O306" s="1649"/>
      <c r="P306" s="1649"/>
    </row>
    <row s="1660" customFormat="1" customHeight="1" ht="18.75" hidden="1">
      <c r="A307" s="1805"/>
      <c r="B307" s="1805"/>
      <c r="C307" s="361" t="s">
        <v>1082</v>
      </c>
      <c r="D307" s="2293"/>
      <c r="E307" s="2038"/>
      <c r="F307" s="2202"/>
      <c r="G307" s="2248"/>
      <c r="H307" s="1517"/>
      <c r="I307" s="646" t="s">
        <v>1081</v>
      </c>
      <c r="J307" s="567"/>
      <c r="K307" s="1517"/>
      <c r="L307" s="193"/>
      <c r="M307" s="329"/>
      <c r="N307" s="322"/>
      <c r="O307" s="1649"/>
      <c r="P307" s="1649"/>
    </row>
    <row s="1660" customFormat="1" customHeight="1" ht="0.75" hidden="1">
      <c r="A308" s="1805"/>
      <c r="B308" s="1805"/>
      <c r="C308" s="361" t="s">
        <v>1089</v>
      </c>
      <c r="D308" s="2293"/>
      <c r="E308" s="2038"/>
      <c r="F308" s="2202"/>
      <c r="G308" s="397"/>
      <c r="H308" s="1517"/>
      <c r="I308" s="646"/>
      <c r="J308" s="567"/>
      <c r="K308" s="1517"/>
      <c r="L308" s="193"/>
      <c r="M308" s="329"/>
      <c r="N308" s="322"/>
      <c r="O308" s="1649"/>
      <c r="P308" s="1649"/>
    </row>
    <row s="1660" customFormat="1" customHeight="1" ht="18.75" hidden="1">
      <c r="A309" s="1805" t="s">
        <v>223</v>
      </c>
      <c r="B309" s="1805" t="s">
        <v>224</v>
      </c>
      <c r="C309" s="361"/>
      <c r="D309" s="2293"/>
      <c r="E309" s="2038"/>
      <c r="F309" s="2202" t="str">
        <f>INDEX(PT_DIFFERENTIATION_VTAR,MATCH(A309,PT_DIFFERENTIATION_VTAR_ID,0))</f>
        <v>Плата за подключение (технологическое присоединение) к системе теплоснабжения</v>
      </c>
      <c r="G309" s="2248" t="str">
        <f>INDEX(PT_DIFFERENTIATION_NTAR,MATCH(B309,PT_DIFFERENTIATION_NTAR_ID,0))</f>
        <v/>
      </c>
      <c r="H309" s="1887"/>
      <c r="I309" s="1763"/>
      <c r="J309" s="1798"/>
      <c r="K309" s="1803"/>
      <c r="L309" s="1887" t="s">
        <v>318</v>
      </c>
      <c r="M309" s="329"/>
      <c r="N309" s="322"/>
      <c r="O309" s="1649"/>
      <c r="P309" s="1649"/>
    </row>
    <row s="1660" customFormat="1" customHeight="1" ht="18.75" hidden="1">
      <c r="A310" s="1805"/>
      <c r="B310" s="1805"/>
      <c r="C310" s="361" t="s">
        <v>1082</v>
      </c>
      <c r="D310" s="2293"/>
      <c r="E310" s="2038"/>
      <c r="F310" s="2202"/>
      <c r="G310" s="2248"/>
      <c r="H310" s="1517"/>
      <c r="I310" s="646" t="s">
        <v>1081</v>
      </c>
      <c r="J310" s="567"/>
      <c r="K310" s="1517"/>
      <c r="L310" s="193"/>
      <c r="M310" s="329"/>
      <c r="N310" s="322"/>
      <c r="O310" s="1649"/>
      <c r="P310" s="1649"/>
    </row>
    <row s="1660" customFormat="1" customHeight="1" ht="0.75" hidden="1">
      <c r="A311" s="1805"/>
      <c r="B311" s="1805"/>
      <c r="C311" s="361" t="s">
        <v>1089</v>
      </c>
      <c r="D311" s="2293"/>
      <c r="E311" s="2038"/>
      <c r="F311" s="2202"/>
      <c r="G311" s="397"/>
      <c r="H311" s="1517"/>
      <c r="I311" s="646"/>
      <c r="J311" s="567"/>
      <c r="K311" s="1517"/>
      <c r="L311" s="193"/>
      <c r="M311" s="329"/>
      <c r="N311" s="322"/>
      <c r="O311" s="1649"/>
      <c r="P311" s="1649"/>
    </row>
    <row s="1660" customFormat="1" customHeight="1" ht="18.75" hidden="1">
      <c r="A312" s="1805" t="s">
        <v>237</v>
      </c>
      <c r="B312" s="1805" t="s">
        <v>238</v>
      </c>
      <c r="C312" s="361"/>
      <c r="D312" s="2293"/>
      <c r="E312" s="2038"/>
      <c r="F312" s="2202" t="str">
        <f>INDEX(PT_DIFFERENTIATION_VTAR,MATCH(A312,PT_DIFFERENTIATION_VTAR_ID,0))</f>
        <v>Тариф на питьевую воду (питьевое водоснабжение)</v>
      </c>
      <c r="G312" s="2248" t="str">
        <f>INDEX(PT_DIFFERENTIATION_NTAR,MATCH(B312,PT_DIFFERENTIATION_NTAR_ID,0))</f>
        <v/>
      </c>
      <c r="H312" s="1887"/>
      <c r="I312" s="1763"/>
      <c r="J312" s="1798"/>
      <c r="K312" s="1803"/>
      <c r="L312" s="1887" t="s">
        <v>318</v>
      </c>
      <c r="M312" s="329"/>
      <c r="N312" s="322"/>
      <c r="O312" s="1649"/>
      <c r="P312" s="1649"/>
    </row>
    <row s="1660" customFormat="1" customHeight="1" ht="18.75" hidden="1">
      <c r="A313" s="1805"/>
      <c r="B313" s="1805"/>
      <c r="C313" s="361" t="s">
        <v>1082</v>
      </c>
      <c r="D313" s="2293"/>
      <c r="E313" s="2038"/>
      <c r="F313" s="2202"/>
      <c r="G313" s="2248"/>
      <c r="H313" s="1517"/>
      <c r="I313" s="646" t="s">
        <v>1081</v>
      </c>
      <c r="J313" s="567"/>
      <c r="K313" s="1517"/>
      <c r="L313" s="193"/>
      <c r="M313" s="329"/>
      <c r="N313" s="322"/>
      <c r="O313" s="1649"/>
      <c r="P313" s="1649"/>
    </row>
    <row s="1660" customFormat="1" customHeight="1" ht="0.75" hidden="1">
      <c r="A314" s="1805"/>
      <c r="B314" s="1805"/>
      <c r="C314" s="361" t="s">
        <v>1089</v>
      </c>
      <c r="D314" s="2293"/>
      <c r="E314" s="2038"/>
      <c r="F314" s="2202"/>
      <c r="G314" s="397"/>
      <c r="H314" s="1517"/>
      <c r="I314" s="646"/>
      <c r="J314" s="567"/>
      <c r="K314" s="1517"/>
      <c r="L314" s="193"/>
      <c r="M314" s="329"/>
      <c r="N314" s="322"/>
      <c r="O314" s="1649"/>
      <c r="P314" s="1649"/>
    </row>
    <row s="1660" customFormat="1" customHeight="1" ht="18.75" hidden="1">
      <c r="A315" s="1805" t="s">
        <v>242</v>
      </c>
      <c r="B315" s="1805" t="s">
        <v>243</v>
      </c>
      <c r="C315" s="361"/>
      <c r="D315" s="2293"/>
      <c r="E315" s="2038"/>
      <c r="F315" s="2202" t="str">
        <f>INDEX(PT_DIFFERENTIATION_VTAR,MATCH(A315,PT_DIFFERENTIATION_VTAR_ID,0))</f>
        <v>Тариф на техническую воду</v>
      </c>
      <c r="G315" s="2248" t="str">
        <f>INDEX(PT_DIFFERENTIATION_NTAR,MATCH(B315,PT_DIFFERENTIATION_NTAR_ID,0))</f>
        <v/>
      </c>
      <c r="H315" s="1887"/>
      <c r="I315" s="1763"/>
      <c r="J315" s="1798"/>
      <c r="K315" s="1803"/>
      <c r="L315" s="1887" t="s">
        <v>318</v>
      </c>
      <c r="M315" s="329"/>
      <c r="N315" s="322"/>
      <c r="O315" s="1649"/>
      <c r="P315" s="1649"/>
    </row>
    <row s="1660" customFormat="1" customHeight="1" ht="18.75" hidden="1">
      <c r="A316" s="1805"/>
      <c r="B316" s="1805"/>
      <c r="C316" s="361" t="s">
        <v>1082</v>
      </c>
      <c r="D316" s="2293"/>
      <c r="E316" s="2038"/>
      <c r="F316" s="2202"/>
      <c r="G316" s="2248"/>
      <c r="H316" s="1517"/>
      <c r="I316" s="646" t="s">
        <v>1081</v>
      </c>
      <c r="J316" s="567"/>
      <c r="K316" s="1517"/>
      <c r="L316" s="193"/>
      <c r="M316" s="329"/>
      <c r="N316" s="322"/>
      <c r="O316" s="1649"/>
      <c r="P316" s="1649"/>
    </row>
    <row s="1660" customFormat="1" customHeight="1" ht="0.75" hidden="1">
      <c r="A317" s="1805"/>
      <c r="B317" s="1805"/>
      <c r="C317" s="361" t="s">
        <v>1089</v>
      </c>
      <c r="D317" s="2293"/>
      <c r="E317" s="2038"/>
      <c r="F317" s="2202"/>
      <c r="G317" s="397"/>
      <c r="H317" s="1517"/>
      <c r="I317" s="646"/>
      <c r="J317" s="567"/>
      <c r="K317" s="1517"/>
      <c r="L317" s="193"/>
      <c r="M317" s="329"/>
      <c r="N317" s="322"/>
      <c r="O317" s="1649"/>
      <c r="P317" s="1649"/>
    </row>
    <row s="1660" customFormat="1" customHeight="1" ht="18.75" hidden="1">
      <c r="A318" s="1805" t="s">
        <v>247</v>
      </c>
      <c r="B318" s="1805" t="s">
        <v>248</v>
      </c>
      <c r="C318" s="361"/>
      <c r="D318" s="2293"/>
      <c r="E318" s="2038"/>
      <c r="F318" s="2202" t="str">
        <f>INDEX(PT_DIFFERENTIATION_VTAR,MATCH(A318,PT_DIFFERENTIATION_VTAR_ID,0))</f>
        <v>Тариф на транспортировку воды</v>
      </c>
      <c r="G318" s="2248" t="str">
        <f>INDEX(PT_DIFFERENTIATION_NTAR,MATCH(B318,PT_DIFFERENTIATION_NTAR_ID,0))</f>
        <v/>
      </c>
      <c r="H318" s="1887"/>
      <c r="I318" s="1763"/>
      <c r="J318" s="1798"/>
      <c r="K318" s="1803"/>
      <c r="L318" s="1887" t="s">
        <v>318</v>
      </c>
      <c r="M318" s="329"/>
      <c r="N318" s="322"/>
      <c r="O318" s="1649"/>
      <c r="P318" s="1649"/>
    </row>
    <row s="1660" customFormat="1" customHeight="1" ht="18.75" hidden="1">
      <c r="A319" s="1805"/>
      <c r="B319" s="1805"/>
      <c r="C319" s="361" t="s">
        <v>1082</v>
      </c>
      <c r="D319" s="2293"/>
      <c r="E319" s="2038"/>
      <c r="F319" s="2202"/>
      <c r="G319" s="2248"/>
      <c r="H319" s="1517"/>
      <c r="I319" s="646" t="s">
        <v>1081</v>
      </c>
      <c r="J319" s="567"/>
      <c r="K319" s="1517"/>
      <c r="L319" s="193"/>
      <c r="M319" s="329"/>
      <c r="N319" s="322"/>
      <c r="O319" s="1649"/>
      <c r="P319" s="1649"/>
    </row>
    <row s="1660" customFormat="1" customHeight="1" ht="0.75" hidden="1">
      <c r="A320" s="1805"/>
      <c r="B320" s="1805"/>
      <c r="C320" s="361" t="s">
        <v>1089</v>
      </c>
      <c r="D320" s="2293"/>
      <c r="E320" s="2038"/>
      <c r="F320" s="2202"/>
      <c r="G320" s="397"/>
      <c r="H320" s="1517"/>
      <c r="I320" s="646"/>
      <c r="J320" s="567"/>
      <c r="K320" s="1517"/>
      <c r="L320" s="193"/>
      <c r="M320" s="329"/>
      <c r="N320" s="322"/>
      <c r="O320" s="1649"/>
      <c r="P320" s="1649"/>
    </row>
    <row s="1660" customFormat="1" customHeight="1" ht="18.75" hidden="1">
      <c r="A321" s="1805" t="s">
        <v>252</v>
      </c>
      <c r="B321" s="1805" t="s">
        <v>253</v>
      </c>
      <c r="C321" s="361"/>
      <c r="D321" s="2293"/>
      <c r="E321" s="2038"/>
      <c r="F321" s="2202" t="str">
        <f>INDEX(PT_DIFFERENTIATION_VTAR,MATCH(A321,PT_DIFFERENTIATION_VTAR_ID,0))</f>
        <v>Тариф на подвоз воды</v>
      </c>
      <c r="G321" s="2248" t="str">
        <f>INDEX(PT_DIFFERENTIATION_NTAR,MATCH(B321,PT_DIFFERENTIATION_NTAR_ID,0))</f>
        <v/>
      </c>
      <c r="H321" s="1887"/>
      <c r="I321" s="1763"/>
      <c r="J321" s="1798"/>
      <c r="K321" s="1803"/>
      <c r="L321" s="1887" t="s">
        <v>318</v>
      </c>
      <c r="M321" s="329"/>
      <c r="N321" s="322"/>
      <c r="O321" s="1649"/>
      <c r="P321" s="1649"/>
    </row>
    <row s="1660" customFormat="1" customHeight="1" ht="18.75" hidden="1">
      <c r="A322" s="1805"/>
      <c r="B322" s="1805"/>
      <c r="C322" s="361" t="s">
        <v>1082</v>
      </c>
      <c r="D322" s="2293"/>
      <c r="E322" s="2038"/>
      <c r="F322" s="2202"/>
      <c r="G322" s="2248"/>
      <c r="H322" s="1517"/>
      <c r="I322" s="646" t="s">
        <v>1081</v>
      </c>
      <c r="J322" s="567"/>
      <c r="K322" s="1517"/>
      <c r="L322" s="193"/>
      <c r="M322" s="329"/>
      <c r="N322" s="322"/>
      <c r="O322" s="1649"/>
      <c r="P322" s="1649"/>
    </row>
    <row s="1660" customFormat="1" customHeight="1" ht="0.75" hidden="1">
      <c r="A323" s="1805"/>
      <c r="B323" s="1805"/>
      <c r="C323" s="361" t="s">
        <v>1089</v>
      </c>
      <c r="D323" s="2293"/>
      <c r="E323" s="2038"/>
      <c r="F323" s="2202"/>
      <c r="G323" s="397"/>
      <c r="H323" s="1517"/>
      <c r="I323" s="646"/>
      <c r="J323" s="567"/>
      <c r="K323" s="1517"/>
      <c r="L323" s="193"/>
      <c r="M323" s="329"/>
      <c r="N323" s="322"/>
      <c r="O323" s="1649"/>
      <c r="P323" s="1649"/>
    </row>
    <row s="1660" customFormat="1" customHeight="1" ht="18.75" hidden="1">
      <c r="A324" s="1805" t="s">
        <v>257</v>
      </c>
      <c r="B324" s="1805" t="s">
        <v>258</v>
      </c>
      <c r="C324" s="361"/>
      <c r="D324" s="2293"/>
      <c r="E324" s="2038"/>
      <c r="F324" s="2202" t="str">
        <f>INDEX(PT_DIFFERENTIATION_VTAR,MATCH(A324,PT_DIFFERENTIATION_VTAR_ID,0))</f>
        <v>Тариф на подключение (технологическое присоединение) к централизованной системе холодного водоснабжения</v>
      </c>
      <c r="G324" s="2248" t="str">
        <f>INDEX(PT_DIFFERENTIATION_NTAR,MATCH(B324,PT_DIFFERENTIATION_NTAR_ID,0))</f>
        <v/>
      </c>
      <c r="H324" s="1887"/>
      <c r="I324" s="1763"/>
      <c r="J324" s="1798"/>
      <c r="K324" s="1803"/>
      <c r="L324" s="1887" t="s">
        <v>318</v>
      </c>
      <c r="M324" s="329"/>
      <c r="N324" s="322"/>
      <c r="O324" s="1649"/>
      <c r="P324" s="1649"/>
    </row>
    <row s="1660" customFormat="1" customHeight="1" ht="18.75" hidden="1">
      <c r="A325" s="1805"/>
      <c r="B325" s="1805"/>
      <c r="C325" s="361" t="s">
        <v>1082</v>
      </c>
      <c r="D325" s="2293"/>
      <c r="E325" s="2038"/>
      <c r="F325" s="2202"/>
      <c r="G325" s="2248"/>
      <c r="H325" s="1517"/>
      <c r="I325" s="646" t="s">
        <v>1081</v>
      </c>
      <c r="J325" s="567"/>
      <c r="K325" s="1517"/>
      <c r="L325" s="193"/>
      <c r="M325" s="329"/>
      <c r="N325" s="322"/>
      <c r="O325" s="1649"/>
      <c r="P325" s="1649"/>
    </row>
    <row s="1660" customFormat="1" customHeight="1" ht="0.75" hidden="1">
      <c r="A326" s="1805"/>
      <c r="B326" s="1805"/>
      <c r="C326" s="361" t="s">
        <v>1089</v>
      </c>
      <c r="D326" s="2293"/>
      <c r="E326" s="2038"/>
      <c r="F326" s="2202"/>
      <c r="G326" s="397"/>
      <c r="H326" s="1517"/>
      <c r="I326" s="646"/>
      <c r="J326" s="567"/>
      <c r="K326" s="1517"/>
      <c r="L326" s="193"/>
      <c r="M326" s="329"/>
      <c r="N326" s="322"/>
      <c r="O326" s="1649"/>
      <c r="P326" s="1649"/>
    </row>
    <row s="1660" customFormat="1" customHeight="1" ht="18.75" hidden="1">
      <c r="A327" s="1805" t="s">
        <v>262</v>
      </c>
      <c r="B327" s="1805" t="s">
        <v>263</v>
      </c>
      <c r="C327" s="361"/>
      <c r="D327" s="2293"/>
      <c r="E327" s="2038"/>
      <c r="F327" s="2202" t="str">
        <f>INDEX(PT_DIFFERENTIATION_VTAR,MATCH(A327,PT_DIFFERENTIATION_VTAR_ID,0))</f>
        <v>Тариф на горячую воду (горячее водоснабжение)</v>
      </c>
      <c r="G327" s="2248" t="str">
        <f>INDEX(PT_DIFFERENTIATION_NTAR,MATCH(B327,PT_DIFFERENTIATION_NTAR_ID,0))</f>
        <v/>
      </c>
      <c r="H327" s="1887"/>
      <c r="I327" s="1763"/>
      <c r="J327" s="1798"/>
      <c r="K327" s="1803"/>
      <c r="L327" s="1887" t="s">
        <v>318</v>
      </c>
      <c r="M327" s="329"/>
      <c r="N327" s="322"/>
      <c r="O327" s="1649"/>
      <c r="P327" s="1649"/>
    </row>
    <row s="1660" customFormat="1" customHeight="1" ht="18.75" hidden="1">
      <c r="A328" s="1805"/>
      <c r="B328" s="1805"/>
      <c r="C328" s="361" t="s">
        <v>1082</v>
      </c>
      <c r="D328" s="2293"/>
      <c r="E328" s="2038"/>
      <c r="F328" s="2202"/>
      <c r="G328" s="2248"/>
      <c r="H328" s="1517"/>
      <c r="I328" s="646" t="s">
        <v>1081</v>
      </c>
      <c r="J328" s="567"/>
      <c r="K328" s="1517"/>
      <c r="L328" s="193"/>
      <c r="M328" s="329"/>
      <c r="N328" s="322"/>
      <c r="O328" s="1649"/>
      <c r="P328" s="1649"/>
    </row>
    <row s="1660" customFormat="1" customHeight="1" ht="0.75" hidden="1">
      <c r="A329" s="1805"/>
      <c r="B329" s="1805"/>
      <c r="C329" s="361" t="s">
        <v>1089</v>
      </c>
      <c r="D329" s="2293"/>
      <c r="E329" s="2038"/>
      <c r="F329" s="2202"/>
      <c r="G329" s="397"/>
      <c r="H329" s="1517"/>
      <c r="I329" s="646"/>
      <c r="J329" s="567"/>
      <c r="K329" s="1517"/>
      <c r="L329" s="193"/>
      <c r="M329" s="329"/>
      <c r="N329" s="322"/>
      <c r="O329" s="1649"/>
      <c r="P329" s="1649"/>
    </row>
    <row s="1660" customFormat="1" customHeight="1" ht="18.75" hidden="1">
      <c r="A330" s="1805" t="s">
        <v>267</v>
      </c>
      <c r="B330" s="1805" t="s">
        <v>268</v>
      </c>
      <c r="C330" s="361"/>
      <c r="D330" s="2293"/>
      <c r="E330" s="2038"/>
      <c r="F330" s="2202" t="str">
        <f>INDEX(PT_DIFFERENTIATION_VTAR,MATCH(A330,PT_DIFFERENTIATION_VTAR_ID,0))</f>
        <v>Тариф на транспортировку горячей воды</v>
      </c>
      <c r="G330" s="2248" t="str">
        <f>INDEX(PT_DIFFERENTIATION_NTAR,MATCH(B330,PT_DIFFERENTIATION_NTAR_ID,0))</f>
        <v/>
      </c>
      <c r="H330" s="1887"/>
      <c r="I330" s="1763"/>
      <c r="J330" s="1798"/>
      <c r="K330" s="1803"/>
      <c r="L330" s="1887" t="s">
        <v>318</v>
      </c>
      <c r="M330" s="329"/>
      <c r="N330" s="322"/>
      <c r="O330" s="1649"/>
      <c r="P330" s="1649"/>
    </row>
    <row s="1660" customFormat="1" customHeight="1" ht="18.75" hidden="1">
      <c r="A331" s="1805"/>
      <c r="B331" s="1805"/>
      <c r="C331" s="361" t="s">
        <v>1082</v>
      </c>
      <c r="D331" s="2293"/>
      <c r="E331" s="2038"/>
      <c r="F331" s="2202"/>
      <c r="G331" s="2248"/>
      <c r="H331" s="1517"/>
      <c r="I331" s="646" t="s">
        <v>1081</v>
      </c>
      <c r="J331" s="567"/>
      <c r="K331" s="1517"/>
      <c r="L331" s="193"/>
      <c r="M331" s="329"/>
      <c r="N331" s="322"/>
      <c r="O331" s="1649"/>
      <c r="P331" s="1649"/>
    </row>
    <row s="1660" customFormat="1" customHeight="1" ht="0.75" hidden="1">
      <c r="A332" s="1805"/>
      <c r="B332" s="1805"/>
      <c r="C332" s="361" t="s">
        <v>1089</v>
      </c>
      <c r="D332" s="2293"/>
      <c r="E332" s="2038"/>
      <c r="F332" s="2202"/>
      <c r="G332" s="397"/>
      <c r="H332" s="1517"/>
      <c r="I332" s="646"/>
      <c r="J332" s="567"/>
      <c r="K332" s="1517"/>
      <c r="L332" s="193"/>
      <c r="M332" s="329"/>
      <c r="N332" s="322"/>
      <c r="O332" s="1649"/>
      <c r="P332" s="1649"/>
    </row>
    <row s="1660" customFormat="1" customHeight="1" ht="18.75" hidden="1">
      <c r="A333" s="1805" t="s">
        <v>272</v>
      </c>
      <c r="B333" s="1805" t="s">
        <v>273</v>
      </c>
      <c r="C333" s="361"/>
      <c r="D333" s="2293"/>
      <c r="E333" s="2038"/>
      <c r="F333" s="2202" t="str">
        <f>INDEX(PT_DIFFERENTIATION_VTAR,MATCH(A333,PT_DIFFERENTIATION_VTAR_ID,0))</f>
        <v>Тариф на подключение (технологическое присоединение) к централизованной системе горячего водоснабжения</v>
      </c>
      <c r="G333" s="2248" t="str">
        <f>INDEX(PT_DIFFERENTIATION_NTAR,MATCH(B333,PT_DIFFERENTIATION_NTAR_ID,0))</f>
        <v/>
      </c>
      <c r="H333" s="1887"/>
      <c r="I333" s="1763"/>
      <c r="J333" s="1798"/>
      <c r="K333" s="1803"/>
      <c r="L333" s="1887" t="s">
        <v>318</v>
      </c>
      <c r="M333" s="329"/>
      <c r="N333" s="322"/>
      <c r="O333" s="1649"/>
      <c r="P333" s="1649"/>
    </row>
    <row s="1660" customFormat="1" customHeight="1" ht="18.75" hidden="1">
      <c r="A334" s="1805"/>
      <c r="B334" s="1805"/>
      <c r="C334" s="361" t="s">
        <v>1082</v>
      </c>
      <c r="D334" s="2293"/>
      <c r="E334" s="2038"/>
      <c r="F334" s="2202"/>
      <c r="G334" s="2248"/>
      <c r="H334" s="1517"/>
      <c r="I334" s="646" t="s">
        <v>1081</v>
      </c>
      <c r="J334" s="567"/>
      <c r="K334" s="1517"/>
      <c r="L334" s="193"/>
      <c r="M334" s="329"/>
      <c r="N334" s="322"/>
      <c r="O334" s="1649"/>
      <c r="P334" s="1649"/>
    </row>
    <row s="1660" customFormat="1" customHeight="1" ht="0.75" hidden="1">
      <c r="A335" s="1805"/>
      <c r="B335" s="1805"/>
      <c r="C335" s="361" t="s">
        <v>1089</v>
      </c>
      <c r="D335" s="2293"/>
      <c r="E335" s="2038"/>
      <c r="F335" s="2202"/>
      <c r="G335" s="397"/>
      <c r="H335" s="1517"/>
      <c r="I335" s="646"/>
      <c r="J335" s="567"/>
      <c r="K335" s="1517"/>
      <c r="L335" s="193"/>
      <c r="M335" s="329"/>
      <c r="N335" s="322"/>
      <c r="O335" s="1649"/>
      <c r="P335" s="1649"/>
    </row>
    <row s="1660" customFormat="1" customHeight="1" ht="18.75" hidden="1">
      <c r="A336" s="1805" t="s">
        <v>277</v>
      </c>
      <c r="B336" s="1805" t="s">
        <v>278</v>
      </c>
      <c r="C336" s="361"/>
      <c r="D336" s="2293"/>
      <c r="E336" s="2038"/>
      <c r="F336" s="2202" t="str">
        <f>INDEX(PT_DIFFERENTIATION_VTAR,MATCH(A336,PT_DIFFERENTIATION_VTAR_ID,0))</f>
        <v>Тариф на водоотведение</v>
      </c>
      <c r="G336" s="2248" t="str">
        <f>INDEX(PT_DIFFERENTIATION_NTAR,MATCH(B336,PT_DIFFERENTIATION_NTAR_ID,0))</f>
        <v/>
      </c>
      <c r="H336" s="1887"/>
      <c r="I336" s="1763"/>
      <c r="J336" s="1798"/>
      <c r="K336" s="1803"/>
      <c r="L336" s="1887" t="s">
        <v>318</v>
      </c>
      <c r="M336" s="329"/>
      <c r="N336" s="322"/>
      <c r="O336" s="1649"/>
      <c r="P336" s="1649"/>
    </row>
    <row s="1660" customFormat="1" customHeight="1" ht="18.75" hidden="1">
      <c r="A337" s="1805"/>
      <c r="B337" s="1805"/>
      <c r="C337" s="361" t="s">
        <v>1082</v>
      </c>
      <c r="D337" s="2293"/>
      <c r="E337" s="2038"/>
      <c r="F337" s="2202"/>
      <c r="G337" s="2248"/>
      <c r="H337" s="1517"/>
      <c r="I337" s="646" t="s">
        <v>1081</v>
      </c>
      <c r="J337" s="567"/>
      <c r="K337" s="1517"/>
      <c r="L337" s="193"/>
      <c r="M337" s="329"/>
      <c r="N337" s="322"/>
      <c r="O337" s="1649"/>
      <c r="P337" s="1649"/>
    </row>
    <row s="1660" customFormat="1" customHeight="1" ht="0.75" hidden="1">
      <c r="A338" s="1805"/>
      <c r="B338" s="1805"/>
      <c r="C338" s="361" t="s">
        <v>1089</v>
      </c>
      <c r="D338" s="2293"/>
      <c r="E338" s="2038"/>
      <c r="F338" s="2202"/>
      <c r="G338" s="397"/>
      <c r="H338" s="1517"/>
      <c r="I338" s="646"/>
      <c r="J338" s="567"/>
      <c r="K338" s="1517"/>
      <c r="L338" s="193"/>
      <c r="M338" s="329"/>
      <c r="N338" s="322"/>
      <c r="O338" s="1649"/>
      <c r="P338" s="1649"/>
    </row>
    <row s="1660" customFormat="1" customHeight="1" ht="18.75" hidden="1">
      <c r="A339" s="1805" t="s">
        <v>282</v>
      </c>
      <c r="B339" s="1805" t="s">
        <v>283</v>
      </c>
      <c r="C339" s="361"/>
      <c r="D339" s="2293"/>
      <c r="E339" s="2038"/>
      <c r="F339" s="2202" t="str">
        <f>INDEX(PT_DIFFERENTIATION_VTAR,MATCH(A339,PT_DIFFERENTIATION_VTAR_ID,0))</f>
        <v>Тариф на транспортировку сточных вод</v>
      </c>
      <c r="G339" s="2248" t="str">
        <f>INDEX(PT_DIFFERENTIATION_NTAR,MATCH(B339,PT_DIFFERENTIATION_NTAR_ID,0))</f>
        <v/>
      </c>
      <c r="H339" s="1887"/>
      <c r="I339" s="1763"/>
      <c r="J339" s="1798"/>
      <c r="K339" s="1803"/>
      <c r="L339" s="1887" t="s">
        <v>318</v>
      </c>
      <c r="M339" s="329"/>
      <c r="N339" s="322"/>
      <c r="O339" s="1649"/>
      <c r="P339" s="1649"/>
    </row>
    <row s="1660" customFormat="1" customHeight="1" ht="18.75" hidden="1">
      <c r="A340" s="1805"/>
      <c r="B340" s="1805"/>
      <c r="C340" s="361" t="s">
        <v>1082</v>
      </c>
      <c r="D340" s="2293"/>
      <c r="E340" s="2038"/>
      <c r="F340" s="2202"/>
      <c r="G340" s="2248"/>
      <c r="H340" s="1517"/>
      <c r="I340" s="646" t="s">
        <v>1081</v>
      </c>
      <c r="J340" s="567"/>
      <c r="K340" s="1517"/>
      <c r="L340" s="193"/>
      <c r="M340" s="329"/>
      <c r="N340" s="322"/>
      <c r="O340" s="1649"/>
      <c r="P340" s="1649"/>
    </row>
    <row s="1660" customFormat="1" customHeight="1" ht="0.75" hidden="1">
      <c r="A341" s="1805"/>
      <c r="B341" s="1805"/>
      <c r="C341" s="361" t="s">
        <v>1089</v>
      </c>
      <c r="D341" s="2293"/>
      <c r="E341" s="2038"/>
      <c r="F341" s="2202"/>
      <c r="G341" s="397"/>
      <c r="H341" s="1517"/>
      <c r="I341" s="646"/>
      <c r="J341" s="567"/>
      <c r="K341" s="1517"/>
      <c r="L341" s="193"/>
      <c r="M341" s="329"/>
      <c r="N341" s="322"/>
      <c r="O341" s="1649"/>
      <c r="P341" s="1649"/>
    </row>
    <row s="1660" customFormat="1" customHeight="1" ht="18.75" hidden="1">
      <c r="A342" s="1805" t="s">
        <v>287</v>
      </c>
      <c r="B342" s="1805" t="s">
        <v>288</v>
      </c>
      <c r="C342" s="361"/>
      <c r="D342" s="2293"/>
      <c r="E342" s="2038"/>
      <c r="F342" s="2202" t="str">
        <f>INDEX(PT_DIFFERENTIATION_VTAR,MATCH(A342,PT_DIFFERENTIATION_VTAR_ID,0))</f>
        <v>Тариф на подключение (технологическое присоединение) к централизованной системе водоотведения</v>
      </c>
      <c r="G342" s="2248" t="str">
        <f>INDEX(PT_DIFFERENTIATION_NTAR,MATCH(B342,PT_DIFFERENTIATION_NTAR_ID,0))</f>
        <v/>
      </c>
      <c r="H342" s="1887"/>
      <c r="I342" s="1763"/>
      <c r="J342" s="1798"/>
      <c r="K342" s="1803"/>
      <c r="L342" s="1887" t="s">
        <v>318</v>
      </c>
      <c r="M342" s="329"/>
      <c r="N342" s="322"/>
      <c r="O342" s="1649"/>
      <c r="P342" s="1649"/>
    </row>
    <row s="1660" customFormat="1" customHeight="1" ht="18.75" hidden="1">
      <c r="A343" s="1805"/>
      <c r="B343" s="1805"/>
      <c r="C343" s="361" t="s">
        <v>1082</v>
      </c>
      <c r="D343" s="2293"/>
      <c r="E343" s="2038"/>
      <c r="F343" s="2202"/>
      <c r="G343" s="2248"/>
      <c r="H343" s="1517"/>
      <c r="I343" s="646" t="s">
        <v>1081</v>
      </c>
      <c r="J343" s="567"/>
      <c r="K343" s="1517"/>
      <c r="L343" s="193"/>
      <c r="M343" s="329"/>
      <c r="N343" s="322"/>
      <c r="O343" s="1649"/>
      <c r="P343" s="1649"/>
    </row>
    <row s="1660" customFormat="1" customHeight="1" ht="0.75">
      <c r="A344" s="1805"/>
      <c r="B344" s="1805"/>
      <c r="C344" s="361" t="s">
        <v>1089</v>
      </c>
      <c r="D344" s="2293"/>
      <c r="E344" s="2038"/>
      <c r="F344" s="2202"/>
      <c r="G344" s="397"/>
      <c r="H344" s="1517"/>
      <c r="I344" s="646"/>
      <c r="J344" s="567"/>
      <c r="K344" s="1517"/>
      <c r="L344" s="193"/>
      <c r="M344" s="329"/>
      <c r="N344" s="322"/>
      <c r="O344" s="1649"/>
      <c r="P344" s="1649"/>
    </row>
    <row s="1848" customFormat="1" customHeight="1" ht="3">
      <c r="A345" s="1805"/>
      <c r="B345" s="1805"/>
      <c r="C345" s="1806"/>
      <c r="E345" s="399"/>
      <c r="F345" s="399"/>
      <c r="G345" s="399"/>
      <c r="H345" s="399"/>
      <c r="I345" s="399"/>
      <c r="J345" s="399"/>
      <c r="K345" s="399"/>
      <c r="L345" s="399"/>
      <c r="M345" s="399"/>
      <c r="O345" s="175"/>
      <c r="P345" s="175"/>
    </row>
    <row customHeight="1" ht="24.75">
      <c r="E346" s="181"/>
      <c r="F346" s="2088"/>
      <c r="G346" s="2088"/>
      <c r="H346" s="2088"/>
      <c r="I346" s="2088"/>
      <c r="J346" s="2088"/>
      <c r="K346" s="2088"/>
      <c r="L346" s="2088"/>
      <c r="M346" s="2088"/>
    </row>
  </sheetData>
  <sheetProtection formatColumns="0" formatRows="0" autoFilter="0" sort="0" insertRows="0" insertColumns="1" deleteRows="0" deleteColumns="0"/>
  <mergeCells count="423">
    <mergeCell ref="G330:G331"/>
    <mergeCell ref="G333:G334"/>
    <mergeCell ref="G336:G337"/>
    <mergeCell ref="G339:G340"/>
    <mergeCell ref="G342:G343"/>
    <mergeCell ref="G282:G283"/>
    <mergeCell ref="G291:G292"/>
    <mergeCell ref="G294:G295"/>
    <mergeCell ref="G297:G298"/>
    <mergeCell ref="G300:G301"/>
    <mergeCell ref="G303:G304"/>
    <mergeCell ref="G306:G307"/>
    <mergeCell ref="G309:G310"/>
    <mergeCell ref="G312:G313"/>
    <mergeCell ref="G99:G100"/>
    <mergeCell ref="G102:G103"/>
    <mergeCell ref="G105:G106"/>
    <mergeCell ref="G108:G109"/>
    <mergeCell ref="G111:G112"/>
    <mergeCell ref="G114:G115"/>
    <mergeCell ref="G117:G118"/>
    <mergeCell ref="G120:G121"/>
    <mergeCell ref="G123:G124"/>
    <mergeCell ref="G63:G64"/>
    <mergeCell ref="G66:G67"/>
    <mergeCell ref="G69:G70"/>
    <mergeCell ref="G72:G73"/>
    <mergeCell ref="G75:G76"/>
    <mergeCell ref="G78:G79"/>
    <mergeCell ref="G81:G82"/>
    <mergeCell ref="G84:G85"/>
    <mergeCell ref="G90:G91"/>
    <mergeCell ref="D342:D344"/>
    <mergeCell ref="E342:E344"/>
    <mergeCell ref="F342:F344"/>
    <mergeCell ref="M282:M291"/>
    <mergeCell ref="D336:D338"/>
    <mergeCell ref="E336:E338"/>
    <mergeCell ref="F336:F338"/>
    <mergeCell ref="D339:D341"/>
    <mergeCell ref="E339:E341"/>
    <mergeCell ref="F339:F341"/>
    <mergeCell ref="D330:D332"/>
    <mergeCell ref="E330:E332"/>
    <mergeCell ref="F330:F332"/>
    <mergeCell ref="D333:D335"/>
    <mergeCell ref="E333:E335"/>
    <mergeCell ref="F333:F335"/>
    <mergeCell ref="D324:D326"/>
    <mergeCell ref="E324:E326"/>
    <mergeCell ref="F324:F326"/>
    <mergeCell ref="D327:D329"/>
    <mergeCell ref="E327:E329"/>
    <mergeCell ref="F327:F329"/>
    <mergeCell ref="D318:D320"/>
    <mergeCell ref="E318:E320"/>
    <mergeCell ref="F318:F320"/>
    <mergeCell ref="D321:D323"/>
    <mergeCell ref="E321:E323"/>
    <mergeCell ref="F321:F323"/>
    <mergeCell ref="G318:G319"/>
    <mergeCell ref="G321:G322"/>
    <mergeCell ref="G324:G325"/>
    <mergeCell ref="G327:G328"/>
    <mergeCell ref="F297:F299"/>
    <mergeCell ref="D312:D314"/>
    <mergeCell ref="E312:E314"/>
    <mergeCell ref="F312:F314"/>
    <mergeCell ref="D315:D317"/>
    <mergeCell ref="E315:E317"/>
    <mergeCell ref="F315:F317"/>
    <mergeCell ref="D306:D308"/>
    <mergeCell ref="E306:E308"/>
    <mergeCell ref="F306:F308"/>
    <mergeCell ref="D309:D311"/>
    <mergeCell ref="E309:E311"/>
    <mergeCell ref="F309:F311"/>
    <mergeCell ref="G315:G316"/>
    <mergeCell ref="G269:G270"/>
    <mergeCell ref="G272:G273"/>
    <mergeCell ref="G275:G276"/>
    <mergeCell ref="G278:G279"/>
    <mergeCell ref="D263:D265"/>
    <mergeCell ref="E263:E265"/>
    <mergeCell ref="F263:F265"/>
    <mergeCell ref="D266:D268"/>
    <mergeCell ref="E266:E268"/>
    <mergeCell ref="F266:F268"/>
    <mergeCell ref="G266:G267"/>
    <mergeCell ref="D275:D277"/>
    <mergeCell ref="E275:E277"/>
    <mergeCell ref="F275:F277"/>
    <mergeCell ref="D278:D280"/>
    <mergeCell ref="E278:E280"/>
    <mergeCell ref="F278:F280"/>
    <mergeCell ref="D269:D271"/>
    <mergeCell ref="E269:E271"/>
    <mergeCell ref="F269:F271"/>
    <mergeCell ref="D272:D274"/>
    <mergeCell ref="E272:E274"/>
    <mergeCell ref="F272:F274"/>
    <mergeCell ref="D257:D259"/>
    <mergeCell ref="E257:E259"/>
    <mergeCell ref="F257:F259"/>
    <mergeCell ref="D260:D262"/>
    <mergeCell ref="E260:E262"/>
    <mergeCell ref="F260:F262"/>
    <mergeCell ref="G257:G258"/>
    <mergeCell ref="G260:G261"/>
    <mergeCell ref="G263:G264"/>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08:G209"/>
    <mergeCell ref="G214:G215"/>
    <mergeCell ref="G218:G219"/>
    <mergeCell ref="G227:G228"/>
    <mergeCell ref="G230:G231"/>
    <mergeCell ref="D208:D210"/>
    <mergeCell ref="E208:E210"/>
    <mergeCell ref="F208:F210"/>
    <mergeCell ref="D211:D213"/>
    <mergeCell ref="E211:E213"/>
    <mergeCell ref="F211:F213"/>
    <mergeCell ref="G211:G212"/>
    <mergeCell ref="D227:D229"/>
    <mergeCell ref="E227:E229"/>
    <mergeCell ref="F227:F229"/>
    <mergeCell ref="D230:D232"/>
    <mergeCell ref="E230:E232"/>
    <mergeCell ref="F230:F232"/>
    <mergeCell ref="D214:D216"/>
    <mergeCell ref="E214:E216"/>
    <mergeCell ref="F214:F216"/>
    <mergeCell ref="D218:D226"/>
    <mergeCell ref="E218:E226"/>
    <mergeCell ref="F218:F226"/>
    <mergeCell ref="E193:E195"/>
    <mergeCell ref="F193:F195"/>
    <mergeCell ref="D202:D204"/>
    <mergeCell ref="E202:E204"/>
    <mergeCell ref="F202:F204"/>
    <mergeCell ref="D205:D207"/>
    <mergeCell ref="E205:E207"/>
    <mergeCell ref="F205:F207"/>
    <mergeCell ref="G202:G203"/>
    <mergeCell ref="G205:G206"/>
    <mergeCell ref="G178:G179"/>
    <mergeCell ref="G181:G182"/>
    <mergeCell ref="G184:G185"/>
    <mergeCell ref="G190:G191"/>
    <mergeCell ref="G193:G194"/>
    <mergeCell ref="G196:G197"/>
    <mergeCell ref="G199:G200"/>
    <mergeCell ref="D184:D186"/>
    <mergeCell ref="E184:E186"/>
    <mergeCell ref="F184:F186"/>
    <mergeCell ref="D187:D189"/>
    <mergeCell ref="E187:E189"/>
    <mergeCell ref="F187:F189"/>
    <mergeCell ref="G187:G188"/>
    <mergeCell ref="D196:D198"/>
    <mergeCell ref="E196:E198"/>
    <mergeCell ref="F196:F198"/>
    <mergeCell ref="D199:D201"/>
    <mergeCell ref="E199:E201"/>
    <mergeCell ref="F199:F201"/>
    <mergeCell ref="D190:D192"/>
    <mergeCell ref="E190:E192"/>
    <mergeCell ref="F190:F192"/>
    <mergeCell ref="D193:D195"/>
    <mergeCell ref="E166:E168"/>
    <mergeCell ref="F166:F168"/>
    <mergeCell ref="D169:D171"/>
    <mergeCell ref="E169:E171"/>
    <mergeCell ref="F169:F171"/>
    <mergeCell ref="D178:D180"/>
    <mergeCell ref="E178:E180"/>
    <mergeCell ref="F178:F180"/>
    <mergeCell ref="D181:D183"/>
    <mergeCell ref="E181:E183"/>
    <mergeCell ref="F181:F183"/>
    <mergeCell ref="G175:G176"/>
    <mergeCell ref="D163:D165"/>
    <mergeCell ref="E163:E165"/>
    <mergeCell ref="F163:F165"/>
    <mergeCell ref="D147:D149"/>
    <mergeCell ref="E147:E149"/>
    <mergeCell ref="F147:F149"/>
    <mergeCell ref="D150:D152"/>
    <mergeCell ref="E150:E152"/>
    <mergeCell ref="F150:F152"/>
    <mergeCell ref="D154:D162"/>
    <mergeCell ref="E154:E162"/>
    <mergeCell ref="F154:F162"/>
    <mergeCell ref="G147:G148"/>
    <mergeCell ref="G150:G151"/>
    <mergeCell ref="G154:G155"/>
    <mergeCell ref="G163:G164"/>
    <mergeCell ref="D172:D174"/>
    <mergeCell ref="E172:E174"/>
    <mergeCell ref="F172:F174"/>
    <mergeCell ref="D175:D177"/>
    <mergeCell ref="E175:E177"/>
    <mergeCell ref="F175:F177"/>
    <mergeCell ref="D166:D168"/>
    <mergeCell ref="D141:D143"/>
    <mergeCell ref="E141:E143"/>
    <mergeCell ref="F141:F143"/>
    <mergeCell ref="D144:D146"/>
    <mergeCell ref="E144:E146"/>
    <mergeCell ref="F144:F146"/>
    <mergeCell ref="D135:D137"/>
    <mergeCell ref="E135:E137"/>
    <mergeCell ref="F135:F137"/>
    <mergeCell ref="D138:D140"/>
    <mergeCell ref="E138:E140"/>
    <mergeCell ref="F138:F140"/>
    <mergeCell ref="D123:D125"/>
    <mergeCell ref="E123:E125"/>
    <mergeCell ref="F123:F125"/>
    <mergeCell ref="D126:D128"/>
    <mergeCell ref="E126:E128"/>
    <mergeCell ref="F126:F128"/>
    <mergeCell ref="G126:G127"/>
    <mergeCell ref="G129:G130"/>
    <mergeCell ref="G132:G133"/>
    <mergeCell ref="D129:D131"/>
    <mergeCell ref="E129:E131"/>
    <mergeCell ref="F129:F131"/>
    <mergeCell ref="D132:D134"/>
    <mergeCell ref="E132:E134"/>
    <mergeCell ref="F132:F134"/>
    <mergeCell ref="D117:D119"/>
    <mergeCell ref="E117:E119"/>
    <mergeCell ref="F117:F119"/>
    <mergeCell ref="D120:D122"/>
    <mergeCell ref="E120:E122"/>
    <mergeCell ref="F120:F122"/>
    <mergeCell ref="D111:D113"/>
    <mergeCell ref="E111:E113"/>
    <mergeCell ref="F111:F113"/>
    <mergeCell ref="D114:D116"/>
    <mergeCell ref="E114:E116"/>
    <mergeCell ref="F114:F116"/>
    <mergeCell ref="D75:D77"/>
    <mergeCell ref="E75:E77"/>
    <mergeCell ref="F75:F77"/>
    <mergeCell ref="F105:F107"/>
    <mergeCell ref="D108:D110"/>
    <mergeCell ref="E108:E110"/>
    <mergeCell ref="F108:F110"/>
    <mergeCell ref="D84:D86"/>
    <mergeCell ref="E84:E86"/>
    <mergeCell ref="F84:F86"/>
    <mergeCell ref="D90:D98"/>
    <mergeCell ref="E90:E98"/>
    <mergeCell ref="F90:F98"/>
    <mergeCell ref="D105:D107"/>
    <mergeCell ref="E105:E107"/>
    <mergeCell ref="F87:L87"/>
    <mergeCell ref="H88:I88"/>
    <mergeCell ref="F89:L89"/>
    <mergeCell ref="D78:D80"/>
    <mergeCell ref="E78:E80"/>
    <mergeCell ref="D81:D83"/>
    <mergeCell ref="E81:E83"/>
    <mergeCell ref="D102:D104"/>
    <mergeCell ref="E102:E104"/>
    <mergeCell ref="D51:D53"/>
    <mergeCell ref="E51:E53"/>
    <mergeCell ref="F51:F53"/>
    <mergeCell ref="D66:D68"/>
    <mergeCell ref="E66:E68"/>
    <mergeCell ref="F66:F68"/>
    <mergeCell ref="D69:D71"/>
    <mergeCell ref="E69:E71"/>
    <mergeCell ref="F69:F71"/>
    <mergeCell ref="D60:D62"/>
    <mergeCell ref="E60:E62"/>
    <mergeCell ref="F60:F62"/>
    <mergeCell ref="D63:D65"/>
    <mergeCell ref="E63:E65"/>
    <mergeCell ref="F63:F65"/>
    <mergeCell ref="D54:D56"/>
    <mergeCell ref="E54:E56"/>
    <mergeCell ref="D57:D59"/>
    <mergeCell ref="E57:E59"/>
    <mergeCell ref="G51:G52"/>
    <mergeCell ref="G54:G55"/>
    <mergeCell ref="G57:G58"/>
    <mergeCell ref="G60:G61"/>
    <mergeCell ref="M218:M227"/>
    <mergeCell ref="M90:M99"/>
    <mergeCell ref="F153:L153"/>
    <mergeCell ref="M154:M163"/>
    <mergeCell ref="F217:L217"/>
    <mergeCell ref="F54:F56"/>
    <mergeCell ref="F57:F59"/>
    <mergeCell ref="F78:F80"/>
    <mergeCell ref="F81:F83"/>
    <mergeCell ref="F99:F101"/>
    <mergeCell ref="F102:F104"/>
    <mergeCell ref="M24:M86"/>
    <mergeCell ref="G48:G49"/>
    <mergeCell ref="G135:G136"/>
    <mergeCell ref="G138:G139"/>
    <mergeCell ref="G141:G142"/>
    <mergeCell ref="G144:G145"/>
    <mergeCell ref="G166:G167"/>
    <mergeCell ref="G169:G170"/>
    <mergeCell ref="G172:G173"/>
    <mergeCell ref="D72:D74"/>
    <mergeCell ref="E72:E74"/>
    <mergeCell ref="F72:F74"/>
    <mergeCell ref="F346:M346"/>
    <mergeCell ref="F281:L281"/>
    <mergeCell ref="D282:D290"/>
    <mergeCell ref="E282:E290"/>
    <mergeCell ref="F282:F290"/>
    <mergeCell ref="D291:D293"/>
    <mergeCell ref="E291:E293"/>
    <mergeCell ref="F291:F293"/>
    <mergeCell ref="D294:D296"/>
    <mergeCell ref="D300:D302"/>
    <mergeCell ref="E300:E302"/>
    <mergeCell ref="F300:F302"/>
    <mergeCell ref="D303:D305"/>
    <mergeCell ref="E303:E305"/>
    <mergeCell ref="F303:F305"/>
    <mergeCell ref="E294:E296"/>
    <mergeCell ref="F294:F296"/>
    <mergeCell ref="D297:D299"/>
    <mergeCell ref="E297:E299"/>
    <mergeCell ref="D99:D101"/>
    <mergeCell ref="E99:E101"/>
    <mergeCell ref="D48:D50"/>
    <mergeCell ref="E48:E50"/>
    <mergeCell ref="F48:F50"/>
    <mergeCell ref="D33:D35"/>
    <mergeCell ref="E33:E35"/>
    <mergeCell ref="F33:F35"/>
    <mergeCell ref="D36:D38"/>
    <mergeCell ref="E36:E38"/>
    <mergeCell ref="F36:F38"/>
    <mergeCell ref="D39:D41"/>
    <mergeCell ref="E39:E41"/>
    <mergeCell ref="F39:F41"/>
    <mergeCell ref="G33:G34"/>
    <mergeCell ref="G36:G37"/>
    <mergeCell ref="G39:G40"/>
    <mergeCell ref="G42:G43"/>
    <mergeCell ref="G45:G46"/>
    <mergeCell ref="D42:D44"/>
    <mergeCell ref="E42:E44"/>
    <mergeCell ref="F42:F44"/>
    <mergeCell ref="D45:D47"/>
    <mergeCell ref="E45:E47"/>
    <mergeCell ref="F45:F47"/>
    <mergeCell ref="G2:G3"/>
    <mergeCell ref="G5:G6"/>
    <mergeCell ref="E14:L14"/>
    <mergeCell ref="G16:L16"/>
    <mergeCell ref="G17:L17"/>
    <mergeCell ref="E19:L19"/>
    <mergeCell ref="D24:D32"/>
    <mergeCell ref="M19:M21"/>
    <mergeCell ref="E20:E21"/>
    <mergeCell ref="F20:F21"/>
    <mergeCell ref="G20:G21"/>
    <mergeCell ref="H20:J20"/>
    <mergeCell ref="K20:K21"/>
    <mergeCell ref="L20:L21"/>
    <mergeCell ref="H21:I21"/>
    <mergeCell ref="H22:I22"/>
    <mergeCell ref="F23:L23"/>
    <mergeCell ref="G24:G25"/>
    <mergeCell ref="F24:F32"/>
    <mergeCell ref="E24:E32"/>
    <mergeCell ref="G26:G27"/>
    <mergeCell ref="G92:G93"/>
    <mergeCell ref="G156:G157"/>
    <mergeCell ref="G220:G221"/>
    <mergeCell ref="G284:G285"/>
    <mergeCell ref="G28:G29"/>
    <mergeCell ref="G94:G95"/>
    <mergeCell ref="G158:G159"/>
    <mergeCell ref="G222:G223"/>
    <mergeCell ref="G286:G287"/>
    <mergeCell ref="G30:G31"/>
    <mergeCell ref="G96:G97"/>
    <mergeCell ref="G160:G161"/>
    <mergeCell ref="G224:G225"/>
    <mergeCell ref="G288:G289"/>
  </mergeCells>
  <dataValidations count="4">
    <dataValidation type="decimal" allowBlank="1" showErrorMessage="1" errorTitle="Ошибка" error="Допускается ввод только действительных чисел!" sqref="K218 K227 K230 K233 K236 K239 K242 K245 K248 K251 K254 K257 K260 K263 K266 K269 K272 K275 K10 K90 K147 K144 K141 K138 K135 K132 K129 K126 K123 K120 K117 K114 K111 K108 K105 K102 K99 K154 K150 K163 K166 K169 K172 K175 K178 K181 K184 K187 K190 K193 K196 K202 K205 K208 K211 K214 K199 K278 K282 K291 K294 K297 K300 K303 K306 K309 K312 K315 K318 K321 K324 K327 K330 K333 K336 K339 K342 K5 K92 K156 K220 K284 K94 K158 K222 K286 K96 K160 K224 K288">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54:M155 M218:M219 M23 M90:M91 M282:M28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8">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45:J45 I24:J24 I33:J33 I36:J36 I39:J39 I42:J42 I48:J48 I51:J51 I54:J54 I57:J57 I60:J60 I63:J63 I66:J66 I69:J69 I72:J72 I75:J75 I78:J78 I81:J81 I218:J218 I227:J227 I230:J230 I233:J233 I236:J236 I239:J239 I242:J242 I245:J245 I248:J248 I251:J251 I254:J254 I257:J257 I260:J260 I263:J263 I266:J266 I269:J269 I272:J272 I8:J8 I84:J84 I150:J150 I99:J99 I102:J102 I105:J105 I108:J108 I111:J111 I114:J114 I117:J117 I120:J120 I123:J123 I126:J126 I129:J129 I132:J132 I135:J135 I138:J138 I141:J141 I144:J144 I147:J147 I154:J154 I90:J90 I163:J163 I166:J166 I169:J169 I172:J172 I175:J175 I178:J178 I181:J181 I184:J184 I187:J187 I190:J190 I193:J193 I196:J196 I202:J202 I205:J205 I208:J208 I211:J211 I214:J214 I199:J199 I275:J275 I278:J278 I282:J282 I291:J291 I294:J294 I297:J297 I300:J300 I303:J303 I306:J306 I309:J309 I312:J312 I315:J315 I318:J318 I321:J321 I324:J324 I327:J327 I330:J330 I333:J333 I336:J336 I339:J339 I342:J342 I2:J2 I5:J5 I26 J26 I92 J92 I156 J156 I220 J220 I284 J284 I28 J28 I94 J94 I158 J158 I222 J222 I286 J286 I30 J30 I96 J96 I160 J160 I224 J224 I288 J28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2A07C4D-1D95-FA29-A33F-1779A9C49AEA}"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2216" width="9.140625" hidden="1" customWidth="1"/>
    <col min="2" max="2" style="1383" width="9.140625" hidden="1" customWidth="1"/>
    <col min="3" max="3" style="332" width="3.7109375" customWidth="1"/>
    <col min="4" max="4" style="1660" width="6.28125" customWidth="1"/>
    <col min="5" max="5" style="1660" width="53.8515625" customWidth="1"/>
    <col min="6" max="7" style="1660" width="35.7109375" customWidth="1"/>
    <col min="8" max="8" style="1660" width="89.57421875" customWidth="1"/>
    <col min="9" max="9" style="1660" width="10.57421875"/>
    <col min="10" max="11" style="1649" width="10.57421875"/>
    <col min="12" max="17" style="1660" width="10.57421875"/>
  </cols>
  <sheetData>
    <row customHeight="1" ht="14.25" hidden="1">
      <c r="N1" s="234"/>
      <c r="O1" s="234"/>
      <c r="Q1" s="234"/>
    </row>
    <row s="1660" customFormat="1" customHeight="1" ht="18.75" hidden="1">
      <c r="A2" s="82"/>
      <c r="B2" s="1155"/>
      <c r="C2" s="1754" t="s">
        <v>163</v>
      </c>
      <c r="D2" s="1698"/>
      <c r="E2" s="1707"/>
      <c r="F2" s="236"/>
      <c r="G2" s="1156"/>
      <c r="H2" s="365"/>
      <c r="I2" s="1649"/>
      <c r="J2" s="1649"/>
    </row>
    <row customHeight="1" ht="14.25" hidden="1"/>
    <row customHeight="1" ht="6">
      <c r="C4" s="368"/>
      <c r="D4" s="353"/>
      <c r="E4" s="353"/>
      <c r="F4" s="353"/>
      <c r="G4" s="66"/>
      <c r="H4" s="66"/>
    </row>
    <row customHeight="1" ht="33">
      <c r="C5" s="368"/>
      <c r="D5" s="2278"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79"/>
      <c r="F5" s="2279"/>
      <c r="G5" s="2280"/>
      <c r="H5" s="245"/>
    </row>
    <row s="1660" customFormat="1" customHeight="1" ht="17.25">
      <c r="A6" s="1694"/>
      <c r="B6" s="1155"/>
      <c r="C6" s="368"/>
      <c r="D6" s="2281" t="str">
        <f>IF(org=0,"Не определено",org)</f>
        <v>ПАО "ТГК-1" филиал "Невский"</v>
      </c>
      <c r="E6" s="2282"/>
      <c r="F6" s="2282"/>
      <c r="G6" s="2283"/>
      <c r="H6" s="245"/>
      <c r="J6" s="1649"/>
      <c r="K6" s="1649"/>
    </row>
    <row customHeight="1" ht="14.25">
      <c r="C7" s="368"/>
      <c r="D7" s="353"/>
      <c r="E7" s="386"/>
      <c r="F7" s="386"/>
      <c r="G7" s="747"/>
      <c r="H7" s="172"/>
    </row>
    <row customHeight="1" ht="14.25">
      <c r="C8" s="368"/>
      <c r="D8" s="2044" t="s">
        <v>312</v>
      </c>
      <c r="E8" s="2044"/>
      <c r="F8" s="2044"/>
      <c r="G8" s="2044"/>
      <c r="H8" s="2284" t="s">
        <v>313</v>
      </c>
    </row>
    <row customHeight="1" ht="14.25">
      <c r="C9" s="368"/>
      <c r="D9" s="383" t="s">
        <v>87</v>
      </c>
      <c r="E9" s="88" t="s">
        <v>314</v>
      </c>
      <c r="F9" s="88" t="s">
        <v>315</v>
      </c>
      <c r="G9" s="88" t="s">
        <v>404</v>
      </c>
      <c r="H9" s="2284"/>
    </row>
    <row customHeight="1" ht="14.25">
      <c r="A10" s="331"/>
      <c r="C10" s="368"/>
      <c r="D10" s="127" t="s">
        <v>108</v>
      </c>
      <c r="E10" s="1911"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36"/>
      <c r="G10" s="192"/>
      <c r="H10" s="1997" t="s">
        <v>1090</v>
      </c>
    </row>
    <row customHeight="1" ht="14.25">
      <c r="A11" s="331"/>
      <c r="C11" s="368"/>
      <c r="D11" s="127" t="s">
        <v>109</v>
      </c>
      <c r="E11" s="1911"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36"/>
      <c r="G11" s="192"/>
      <c r="H11" s="1998"/>
    </row>
    <row customHeight="1" ht="14.25">
      <c r="A12" s="82"/>
      <c r="C12" s="384"/>
      <c r="D12" s="127" t="s">
        <v>89</v>
      </c>
      <c r="E12" s="385" t="str">
        <f>"Сведения о планировании закупочных процедур"&amp;IF(TEMPLATE_SPHERE="TKO"," &lt;1&gt;","")</f>
        <v>Сведения о планировании закупочных процедур</v>
      </c>
      <c r="F12" s="236"/>
      <c r="G12" s="192"/>
      <c r="H12" s="19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38"/>
      <c r="K12" s="365"/>
    </row>
    <row customHeight="1" ht="14.25">
      <c r="A13" s="82"/>
      <c r="C13" s="384"/>
      <c r="D13" s="127" t="s">
        <v>90</v>
      </c>
      <c r="E13" s="385" t="str">
        <f>"Сведения о результатах проведения закупочных процедур"&amp;IF(TEMPLATE_SPHERE="TKO"," &lt;1&gt;","")</f>
        <v>Сведения о результатах проведения закупочных процедур</v>
      </c>
      <c r="F13" s="236"/>
      <c r="G13" s="192"/>
      <c r="H13" s="1998"/>
      <c r="I13" s="338"/>
      <c r="K13" s="365"/>
    </row>
    <row customHeight="1" ht="14.25">
      <c r="A14" s="331"/>
      <c r="C14" s="368"/>
      <c r="D14" s="335"/>
      <c r="E14" s="392" t="s">
        <v>1048</v>
      </c>
      <c r="F14" s="337"/>
      <c r="G14" s="180"/>
      <c r="H14" s="1999"/>
    </row>
    <row s="1660" customFormat="1" customHeight="1" ht="14.25">
      <c r="A15" s="331"/>
      <c r="B15" s="1155"/>
      <c r="C15" s="368"/>
      <c r="D15" s="393"/>
      <c r="E15" s="1702"/>
      <c r="F15" s="1703"/>
      <c r="G15" s="1704"/>
      <c r="H15" s="1705"/>
      <c r="J15" s="1649"/>
      <c r="K15" s="1649"/>
    </row>
    <row customHeight="1" ht="14.25">
      <c r="D16" s="1706"/>
      <c r="E16" s="2215"/>
      <c r="F16" s="2215"/>
      <c r="G16" s="2215"/>
      <c r="H16" s="2215"/>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C3BC3F-F7D3-5062-C7D5-9440D226374D}"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1657" width="9.140625" hidden="1" customWidth="1"/>
    <col min="2" max="2" style="1660" width="9.140625" hidden="1" customWidth="1"/>
    <col min="3" max="3" style="678" width="4.7109375" customWidth="1"/>
    <col min="4" max="4" style="1660" width="6.28125" customWidth="1"/>
    <col min="5" max="5" style="1660" width="47.8515625" customWidth="1"/>
    <col min="6" max="6" style="1660" width="9.57421875" customWidth="1"/>
    <col min="7" max="7" style="1660" width="25.7109375" hidden="1" customWidth="1"/>
    <col min="8" max="8" style="1660" width="34.00390625" hidden="1" customWidth="1"/>
    <col min="9" max="9" style="1660" width="25.7109375" customWidth="1"/>
    <col min="10" max="10" style="1660" width="34.00390625" customWidth="1"/>
    <col min="11" max="11" style="1383" width="50.8515625" customWidth="1"/>
    <col min="12" max="20" style="1660" width="10.57421875"/>
    <col min="21" max="21" style="670" width="10.57421875"/>
  </cols>
  <sheetData>
    <row s="1383" customFormat="1" customHeight="1" ht="15" hidden="1">
      <c r="C1" s="667"/>
      <c r="G1" s="414">
        <v>4</v>
      </c>
      <c r="I1" s="414">
        <v>4</v>
      </c>
      <c r="U1" s="417"/>
    </row>
    <row s="1660" customFormat="1" customHeight="1" ht="15" hidden="1">
      <c r="A2" s="352"/>
      <c r="C2" s="156"/>
      <c r="D2" s="334"/>
      <c r="E2" s="668"/>
      <c r="F2" s="518"/>
      <c r="G2" s="612"/>
      <c r="H2" s="612"/>
      <c r="I2" s="612"/>
      <c r="J2" s="612"/>
      <c r="U2" s="669"/>
    </row>
    <row s="1383" customFormat="1" customHeight="1" ht="15" hidden="1">
      <c r="C3" s="667"/>
      <c r="U3" s="417"/>
    </row>
    <row customHeight="1" ht="15">
      <c r="C4" s="156"/>
      <c r="D4" s="505"/>
      <c r="E4" s="505"/>
      <c r="F4" s="505"/>
      <c r="G4" s="505"/>
      <c r="H4" s="505"/>
      <c r="I4" s="505"/>
      <c r="J4" s="505"/>
    </row>
    <row customHeight="1" ht="63">
      <c r="C5" s="156"/>
      <c r="D5" s="2067" t="s">
        <v>1091</v>
      </c>
      <c r="E5" s="2067"/>
      <c r="F5" s="2067"/>
      <c r="G5" s="2067"/>
      <c r="H5" s="2067"/>
      <c r="I5" s="2067"/>
      <c r="J5" s="2067"/>
    </row>
    <row customHeight="1" ht="15">
      <c r="C6" s="156"/>
      <c r="D6" s="2035" t="str">
        <f>IF(org=0,"Не определено",org)</f>
        <v>ПАО "ТГК-1" филиал "Невский"</v>
      </c>
      <c r="E6" s="2035"/>
      <c r="F6" s="2035"/>
      <c r="G6" s="2035"/>
      <c r="H6" s="2035"/>
      <c r="I6" s="2035"/>
      <c r="J6" s="2035"/>
      <c r="K6" s="533"/>
    </row>
    <row customHeight="1" ht="15">
      <c r="C7" s="156"/>
      <c r="D7" s="747"/>
      <c r="E7" s="505"/>
      <c r="F7" s="505"/>
      <c r="G7" s="533">
        <v>22</v>
      </c>
      <c r="I7" s="533">
        <v>1</v>
      </c>
      <c r="J7" s="747"/>
    </row>
    <row s="1660" customFormat="1" customHeight="1" ht="0.75">
      <c r="A8" s="754"/>
      <c r="C8" s="156"/>
      <c r="D8" s="505"/>
      <c r="E8" s="505"/>
      <c r="F8" s="505"/>
      <c r="G8" s="533"/>
      <c r="H8" s="747"/>
      <c r="I8" s="533" t="s">
        <v>116</v>
      </c>
      <c r="J8" s="747"/>
      <c r="K8" s="414"/>
      <c r="U8" s="670"/>
    </row>
    <row customHeight="1" ht="15">
      <c r="C9" s="156"/>
      <c r="D9" s="706"/>
      <c r="E9" s="2195" t="s">
        <v>104</v>
      </c>
      <c r="F9" s="2196"/>
      <c r="G9" s="2218" t="str">
        <f>IF(G8="","",INDEX(DIFFERENTIATION_UNMERGE_VD,MATCH(G8,DIFFERENTIATION_ID_DIFF,0)))</f>
        <v/>
      </c>
      <c r="H9" s="2219"/>
      <c r="I9" s="2218">
        <f>IF(I8="","",INDEX(DIFFERENTIATION_UNMERGE_VD,MATCH(I8,DIFFERENTIATION_ID_DIFF,0)))</f>
        <v>0</v>
      </c>
      <c r="J9" s="2219"/>
      <c r="K9" s="2010" t="s">
        <v>313</v>
      </c>
    </row>
    <row s="1660" customFormat="1" customHeight="1" ht="15">
      <c r="A10" s="754"/>
      <c r="C10" s="156"/>
      <c r="D10" s="706"/>
      <c r="E10" s="2195" t="s">
        <v>575</v>
      </c>
      <c r="F10" s="2196"/>
      <c r="G10" s="2218" t="str">
        <f>IF(G8="","",INDEX(DIFFERENTIATION_UNMERGE_AREA,MATCH(G8,DIFFERENTIATION_ID_DIFF,0)))</f>
        <v/>
      </c>
      <c r="H10" s="2219"/>
      <c r="I10" s="2218" t="str">
        <f>IF(I8="","",INDEX(DIFFERENTIATION_UNMERGE_AREA,MATCH(I8,DIFFERENTIATION_ID_DIFF,0)))</f>
        <v/>
      </c>
      <c r="J10" s="2219"/>
      <c r="K10" s="2018"/>
      <c r="U10" s="670"/>
    </row>
    <row s="1660" customFormat="1" customHeight="1" ht="15">
      <c r="A11" s="754"/>
      <c r="C11" s="156"/>
      <c r="D11" s="706"/>
      <c r="E11" s="2195" t="s">
        <v>576</v>
      </c>
      <c r="F11" s="2196"/>
      <c r="G11" s="2218" t="str">
        <f>IF(G8="","",INDEX(DIFFERENTIATION_UNMERGE_SYSTEM,MATCH(G8,DIFFERENTIATION_ID_DIFF,0)))</f>
        <v/>
      </c>
      <c r="H11" s="2219"/>
      <c r="I11" s="2218" t="str">
        <f>IF(I8="","",INDEX(DIFFERENTIATION_UNMERGE_SYSTEM,MATCH(I8,DIFFERENTIATION_ID_DIFF,0)))</f>
        <v>без дифференциации</v>
      </c>
      <c r="J11" s="2219"/>
      <c r="K11" s="2018"/>
      <c r="U11" s="670"/>
    </row>
    <row s="1660" customFormat="1" customHeight="1" ht="15">
      <c r="A12" s="754"/>
      <c r="C12" s="156"/>
      <c r="D12" s="2197" t="s">
        <v>312</v>
      </c>
      <c r="E12" s="2198"/>
      <c r="F12" s="2198"/>
      <c r="G12" s="881"/>
      <c r="H12" s="881"/>
      <c r="I12" s="881"/>
      <c r="J12" s="881"/>
      <c r="K12" s="2018"/>
      <c r="U12" s="670"/>
    </row>
    <row customHeight="1" ht="33.75">
      <c r="C13" s="156"/>
      <c r="D13" s="799" t="s">
        <v>87</v>
      </c>
      <c r="E13" s="801" t="s">
        <v>314</v>
      </c>
      <c r="F13" s="801" t="s">
        <v>577</v>
      </c>
      <c r="G13" s="802" t="s">
        <v>315</v>
      </c>
      <c r="H13" s="801" t="s">
        <v>404</v>
      </c>
      <c r="I13" s="802" t="s">
        <v>315</v>
      </c>
      <c r="J13" s="801" t="s">
        <v>404</v>
      </c>
      <c r="K13" s="2072"/>
    </row>
    <row customHeight="1" ht="15" hidden="1">
      <c r="C14" s="156"/>
      <c r="D14" s="589" t="s">
        <v>108</v>
      </c>
      <c r="E14" s="589" t="s">
        <v>109</v>
      </c>
      <c r="F14" s="589" t="s">
        <v>89</v>
      </c>
      <c r="G14" s="654" t="str">
        <f>G1&amp;".1"</f>
        <v>4.1</v>
      </c>
      <c r="H14" s="654"/>
      <c r="I14" s="654" t="str">
        <f>I1&amp;".1"</f>
        <v>4.1</v>
      </c>
      <c r="J14" s="654"/>
      <c r="K14" s="270"/>
    </row>
    <row customHeight="1" ht="22.5" hidden="1">
      <c r="A15" s="501"/>
      <c r="C15" s="522"/>
      <c r="D15" s="517">
        <v>1</v>
      </c>
      <c r="E15" s="672" t="s">
        <v>734</v>
      </c>
      <c r="F15" s="517" t="s">
        <v>735</v>
      </c>
      <c r="G15" s="673"/>
      <c r="H15" s="673"/>
      <c r="I15" s="673"/>
      <c r="J15" s="673"/>
      <c r="K15" s="270" t="s">
        <v>736</v>
      </c>
    </row>
    <row customHeight="1" ht="22.5" hidden="1">
      <c r="A16" s="501"/>
      <c r="C16" s="522"/>
      <c r="D16" s="517">
        <v>2</v>
      </c>
      <c r="E16" s="260" t="s">
        <v>737</v>
      </c>
      <c r="F16" s="517" t="s">
        <v>738</v>
      </c>
      <c r="G16" s="673"/>
      <c r="H16" s="673"/>
      <c r="I16" s="673"/>
      <c r="J16" s="673"/>
      <c r="K16" s="270" t="s">
        <v>739</v>
      </c>
    </row>
    <row customHeight="1" ht="123.75" hidden="1">
      <c r="A17" s="501"/>
      <c r="C17" s="522"/>
      <c r="D17" s="517">
        <v>3</v>
      </c>
      <c r="E17" s="260" t="s">
        <v>1092</v>
      </c>
      <c r="F17" s="517" t="s">
        <v>318</v>
      </c>
      <c r="G17" s="673"/>
      <c r="H17" s="673"/>
      <c r="I17" s="673"/>
      <c r="J17" s="673"/>
      <c r="K17" s="270" t="s">
        <v>1093</v>
      </c>
    </row>
    <row customHeight="1" ht="45">
      <c r="A18" s="501"/>
      <c r="C18" s="522"/>
      <c r="D18" s="517">
        <v>4</v>
      </c>
      <c r="E18" s="260" t="s">
        <v>740</v>
      </c>
      <c r="F18" s="517" t="s">
        <v>318</v>
      </c>
      <c r="G18" s="803" t="s">
        <v>318</v>
      </c>
      <c r="H18" s="804" t="s">
        <v>318</v>
      </c>
      <c r="I18" s="517" t="s">
        <v>318</v>
      </c>
      <c r="J18" s="574" t="s">
        <v>318</v>
      </c>
      <c r="K18" s="270" t="s">
        <v>1094</v>
      </c>
    </row>
    <row customHeight="1" ht="33.75">
      <c r="A19" s="501"/>
      <c r="C19" s="522"/>
      <c r="D19" s="535" t="s">
        <v>678</v>
      </c>
      <c r="E19" s="555" t="s">
        <v>742</v>
      </c>
      <c r="F19" s="517" t="s">
        <v>743</v>
      </c>
      <c r="G19" s="811"/>
      <c r="H19" s="86"/>
      <c r="I19" s="811"/>
      <c r="J19" s="812"/>
      <c r="K19" s="674"/>
    </row>
    <row customHeight="1" ht="33.75">
      <c r="A20" s="501"/>
      <c r="C20" s="522"/>
      <c r="D20" s="535" t="s">
        <v>721</v>
      </c>
      <c r="E20" s="555" t="s">
        <v>744</v>
      </c>
      <c r="F20" s="517" t="s">
        <v>745</v>
      </c>
      <c r="G20" s="811"/>
      <c r="H20" s="86"/>
      <c r="I20" s="811"/>
      <c r="J20" s="86"/>
      <c r="K20" s="674"/>
    </row>
    <row customHeight="1" ht="45">
      <c r="A21" s="501"/>
      <c r="C21" s="522"/>
      <c r="D21" s="535" t="s">
        <v>724</v>
      </c>
      <c r="E21" s="555" t="s">
        <v>746</v>
      </c>
      <c r="F21" s="517" t="s">
        <v>582</v>
      </c>
      <c r="G21" s="675"/>
      <c r="H21" s="86"/>
      <c r="I21" s="675"/>
      <c r="J21" s="86"/>
      <c r="K21" s="674"/>
    </row>
    <row customHeight="1" ht="67.5" hidden="1">
      <c r="A22" s="501"/>
      <c r="C22" s="522"/>
      <c r="D22" s="517">
        <v>5</v>
      </c>
      <c r="E22" s="260" t="s">
        <v>1095</v>
      </c>
      <c r="F22" s="517" t="s">
        <v>569</v>
      </c>
      <c r="G22" s="676"/>
      <c r="H22" s="677"/>
      <c r="I22" s="676"/>
      <c r="J22" s="677"/>
      <c r="K22" s="270" t="s">
        <v>1096</v>
      </c>
    </row>
    <row customHeight="1" ht="33.75" hidden="1">
      <c r="C23" s="447"/>
      <c r="D23" s="517">
        <v>6</v>
      </c>
      <c r="E23" s="260" t="s">
        <v>1097</v>
      </c>
      <c r="F23" s="517" t="s">
        <v>1098</v>
      </c>
      <c r="G23" s="676"/>
      <c r="H23" s="676"/>
      <c r="I23" s="676"/>
      <c r="J23" s="676"/>
      <c r="K23" s="270" t="s">
        <v>1099</v>
      </c>
    </row>
    <row r="29" customHeight="1" ht="15">
      <c r="J29" s="813"/>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5578C7-5B6C-AE48-A806-FD0B54603A32}"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366" width="9.140625" hidden="1"/>
    <col min="2" max="2" style="1848" width="9.140625" hidden="1"/>
    <col min="3" max="3" style="100" width="3.7109375" customWidth="1"/>
    <col min="4" max="4" style="1848" width="7.00390625" customWidth="1"/>
    <col min="5" max="5" style="1848" width="23.140625" customWidth="1"/>
    <col min="6" max="6" style="1848" width="16.00390625" customWidth="1"/>
    <col min="7" max="7" style="1848" width="14.8515625" customWidth="1"/>
    <col min="8" max="8" style="1848" width="47.8515625" customWidth="1"/>
    <col min="9" max="9" style="1848" width="115.7109375" customWidth="1"/>
    <col min="10" max="10" style="1848" width="3.7109375" customWidth="1"/>
    <col min="11" max="12" style="1848" width="9.140625"/>
  </cols>
  <sheetData>
    <row customHeight="1" ht="14.25" hidden="1"/>
    <row customHeight="1" ht="14.25" hidden="1"/>
    <row customHeight="1" ht="14.25" hidden="1"/>
    <row customHeight="1" ht="3"/>
    <row s="1660" customFormat="1" customHeight="1" ht="30">
      <c r="A5" s="95"/>
      <c r="C5" s="69"/>
      <c r="D5" s="1936" t="s">
        <v>1100</v>
      </c>
      <c r="E5" s="1936"/>
      <c r="F5" s="1936"/>
      <c r="G5" s="1936"/>
      <c r="H5" s="1936"/>
      <c r="I5" s="244"/>
    </row>
    <row customHeight="1" ht="3" hidden="1">
      <c r="D6" s="102"/>
      <c r="E6" s="102"/>
      <c r="F6" s="102"/>
      <c r="G6" s="102"/>
      <c r="H6" s="102"/>
      <c r="I6" s="102"/>
    </row>
    <row s="366" customFormat="1" customHeight="1" ht="14.25">
      <c r="B7" s="99"/>
      <c r="C7" s="100"/>
      <c r="D7" s="103"/>
      <c r="E7" s="103"/>
      <c r="F7" s="103"/>
      <c r="G7" s="103"/>
      <c r="H7" s="747"/>
      <c r="I7" s="103"/>
      <c r="J7" s="104"/>
    </row>
    <row customHeight="1" ht="14.25">
      <c r="D8" s="2044" t="s">
        <v>312</v>
      </c>
      <c r="E8" s="2044"/>
      <c r="F8" s="2044"/>
      <c r="G8" s="2044"/>
      <c r="H8" s="2044"/>
      <c r="I8" s="2044" t="s">
        <v>313</v>
      </c>
    </row>
    <row customHeight="1" ht="27.75">
      <c r="D9" s="2044" t="s">
        <v>87</v>
      </c>
      <c r="E9" s="2044" t="s">
        <v>1101</v>
      </c>
      <c r="F9" s="2044"/>
      <c r="G9" s="2044"/>
      <c r="H9" s="2044"/>
      <c r="I9" s="2044"/>
    </row>
    <row customHeight="1" ht="22.5">
      <c r="D10" s="2044"/>
      <c r="E10" s="107" t="s">
        <v>1102</v>
      </c>
      <c r="F10" s="107" t="s">
        <v>1103</v>
      </c>
      <c r="G10" s="107" t="s">
        <v>1104</v>
      </c>
      <c r="H10" s="107" t="s">
        <v>404</v>
      </c>
      <c r="I10" s="2044"/>
    </row>
    <row customHeight="1" ht="12" hidden="1">
      <c r="D11" s="68" t="s">
        <v>108</v>
      </c>
      <c r="E11" s="68" t="s">
        <v>90</v>
      </c>
      <c r="F11" s="68" t="s">
        <v>110</v>
      </c>
      <c r="G11" s="68" t="s">
        <v>91</v>
      </c>
      <c r="H11" s="68" t="s">
        <v>92</v>
      </c>
      <c r="I11" s="68" t="s">
        <v>111</v>
      </c>
    </row>
    <row s="1848" customFormat="1" customHeight="1" ht="24.75">
      <c r="A12" s="125" t="s">
        <v>89</v>
      </c>
      <c r="B12" s="105" t="s">
        <v>24</v>
      </c>
      <c r="C12" s="106"/>
      <c r="D12" s="108" t="s">
        <v>108</v>
      </c>
      <c r="E12" s="378"/>
      <c r="F12" s="378"/>
      <c r="G12" s="1758" t="s">
        <v>24</v>
      </c>
      <c r="H12" s="379"/>
      <c r="I12" s="1997" t="s">
        <v>1105</v>
      </c>
      <c r="K12" s="251"/>
      <c r="L12" s="252"/>
    </row>
    <row customHeight="1" ht="15">
      <c r="A13" s="101"/>
      <c r="B13" s="101"/>
      <c r="C13" s="101"/>
      <c r="D13" s="89"/>
      <c r="E13" s="110" t="s">
        <v>486</v>
      </c>
      <c r="F13" s="109"/>
      <c r="G13" s="109"/>
      <c r="H13" s="193"/>
      <c r="I13" s="1999"/>
    </row>
    <row customHeight="1" ht="3">
      <c r="A14" s="101"/>
      <c r="B14" s="101"/>
      <c r="C14" s="101"/>
    </row>
    <row customHeight="1" ht="27.75">
      <c r="E15" s="2296" t="s">
        <v>1106</v>
      </c>
      <c r="F15" s="2296"/>
      <c r="G15" s="2296"/>
      <c r="H15" s="2296"/>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32CFA1-CF6E-3562-3065-5C358D12ED0F}" mc:Ignorable="x14ac xr xr2 xr3">
  <sheetPr>
    <tabColor rgb="FFCCCCFF"/>
    <pageSetUpPr fitToPage="1"/>
  </sheetPr>
  <dimension ref="A1:I15"/>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9" style="243" width="9.140625"/>
  </cols>
  <sheetData>
    <row customHeight="1" ht="14.25" hidden="1"/>
    <row customHeight="1" ht="14.25" hidden="1"/>
    <row customHeight="1" ht="14.25" hidden="1"/>
    <row customHeight="1" ht="14.25" hidden="1"/>
    <row customHeight="1" ht="14.25" hidden="1"/>
    <row customHeight="1" ht="3">
      <c r="C6" s="71"/>
      <c r="D6" s="51"/>
      <c r="E6" s="51"/>
    </row>
    <row customHeight="1" ht="22.5">
      <c r="C7" s="71"/>
      <c r="D7" s="2297" t="s">
        <v>1107</v>
      </c>
      <c r="E7" s="2298"/>
      <c r="F7" s="246"/>
    </row>
    <row customHeight="1" ht="3">
      <c r="C8" s="71"/>
      <c r="D8" s="51"/>
      <c r="E8" s="51"/>
    </row>
    <row customHeight="1" ht="15.75">
      <c r="C9" s="71"/>
      <c r="D9" s="85" t="s">
        <v>87</v>
      </c>
      <c r="E9" s="239" t="s">
        <v>1108</v>
      </c>
    </row>
    <row customHeight="1" ht="0.75">
      <c r="C10" s="71"/>
      <c r="D10" s="68"/>
      <c r="E10" s="68"/>
    </row>
    <row customHeight="1" ht="11.25" hidden="1">
      <c r="C11" s="71"/>
      <c r="D11" s="130">
        <v>0</v>
      </c>
      <c r="E11" s="240"/>
    </row>
    <row customHeight="1" ht="15">
      <c r="C12" s="116"/>
      <c r="D12" s="93">
        <v>1</v>
      </c>
      <c r="E12" s="371"/>
    </row>
    <row customHeight="1" ht="12">
      <c r="C13" s="71"/>
      <c r="D13" s="241"/>
      <c r="E13" s="242" t="s">
        <v>1109</v>
      </c>
    </row>
    <row customHeight="1" ht="3"/>
    <row customHeight="1" ht="22.5">
      <c r="C15" s="117"/>
      <c r="D15" s="2299" t="s">
        <v>1110</v>
      </c>
      <c r="E15" s="2299"/>
      <c r="F15" s="118"/>
      <c r="G15" s="118"/>
      <c r="H15" s="118"/>
      <c r="I15" s="118"/>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F96599-70EC-5023-DA0A-7EC23B4FBE7F}" mc:Ignorable="x14ac xr xr2 xr3">
  <dimension ref="A1:I24"/>
  <sheetViews>
    <sheetView topLeftCell="C4" showGridLines="0" zoomScale="90" workbookViewId="0">
      <selection activeCell="A1" sqref="A1"/>
    </sheetView>
  </sheetViews>
  <sheetFormatPr defaultColWidth="9.140625" customHeight="1" defaultRowHeight="11.25"/>
  <cols>
    <col min="1" max="2" style="497" width="15.00390625" hidden="1" customWidth="1"/>
    <col min="3" max="3" style="451" width="3.7109375" customWidth="1"/>
    <col min="4" max="4" style="452" width="6.8515625" customWidth="1"/>
    <col min="5" max="5" style="451" width="52.28125" customWidth="1"/>
    <col min="6" max="6" style="451" width="48.8515625" customWidth="1"/>
    <col min="7" max="7" style="451" width="93.421875" customWidth="1"/>
    <col min="8" max="8" style="451" width="9.140625"/>
    <col min="9" max="9" style="451" width="65.00390625" customWidth="1"/>
  </cols>
  <sheetData>
    <row customHeight="1" ht="11.25" hidden="1">
      <c r="A1" s="497" t="s">
        <v>311</v>
      </c>
    </row>
    <row customHeight="1" ht="22.5" hidden="1">
      <c r="A2" s="498"/>
      <c r="B2" s="498"/>
      <c r="C2" s="453"/>
      <c r="D2" s="1537"/>
      <c r="E2" s="1543"/>
      <c r="F2" s="1573"/>
      <c r="H2" s="471"/>
    </row>
    <row customHeight="1" ht="11.25" hidden="1"/>
    <row customHeight="1" ht="11.25">
      <c r="A4" s="1574"/>
      <c r="B4" s="1574"/>
    </row>
    <row customHeight="1" ht="24">
      <c r="D5" s="2073"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74"/>
      <c r="F5" s="2075"/>
      <c r="I5" s="710"/>
    </row>
    <row customHeight="1" ht="17.25">
      <c r="D6" s="2035" t="str">
        <f>IF(region_name=0,"Не определено",region_name)</f>
        <v>г.Санкт-Петербург</v>
      </c>
      <c r="E6" s="2035"/>
      <c r="F6" s="2035"/>
      <c r="I6" s="710"/>
    </row>
    <row s="473" customFormat="1" customHeight="1" ht="11.25">
      <c r="A7" s="497"/>
      <c r="B7" s="497"/>
      <c r="D7" s="709"/>
      <c r="E7" s="709"/>
      <c r="F7" s="747"/>
      <c r="G7" s="709"/>
    </row>
    <row customHeight="1" ht="11.25" hidden="1">
      <c r="A8" s="498"/>
      <c r="B8" s="498"/>
      <c r="C8" s="453"/>
      <c r="D8" s="459"/>
      <c r="E8" s="2042"/>
      <c r="F8" s="2042"/>
    </row>
    <row customHeight="1" ht="11.25">
      <c r="A9" s="498"/>
      <c r="B9" s="498"/>
      <c r="C9" s="453"/>
      <c r="D9" s="2038" t="s">
        <v>312</v>
      </c>
      <c r="E9" s="2039"/>
      <c r="F9" s="2039"/>
      <c r="G9" s="2043" t="s">
        <v>313</v>
      </c>
    </row>
    <row customHeight="1" ht="11.25">
      <c r="A10" s="498"/>
      <c r="B10" s="498"/>
      <c r="C10" s="453"/>
      <c r="D10" s="1491" t="s">
        <v>87</v>
      </c>
      <c r="E10" s="1493" t="s">
        <v>314</v>
      </c>
      <c r="F10" s="1493" t="s">
        <v>315</v>
      </c>
      <c r="G10" s="2044"/>
    </row>
    <row customHeight="1" ht="0.75">
      <c r="A11" s="498"/>
      <c r="B11" s="498"/>
      <c r="C11" s="453"/>
      <c r="D11" s="460"/>
      <c r="E11" s="460"/>
      <c r="F11" s="460"/>
      <c r="G11" s="460"/>
    </row>
    <row customHeight="1" ht="22.5">
      <c r="A12" s="498"/>
      <c r="B12" s="498"/>
      <c r="C12" s="453"/>
      <c r="D12" s="1537">
        <v>1</v>
      </c>
      <c r="E12" s="470" t="s">
        <v>1111</v>
      </c>
      <c r="F12" s="1884" t="str">
        <f>IF(org="","",org)</f>
        <v>ПАО "ТГК-1" филиал "Невский"</v>
      </c>
      <c r="G12" s="470" t="s">
        <v>1112</v>
      </c>
      <c r="H12" s="1550"/>
    </row>
    <row customHeight="1" ht="18.75">
      <c r="A13" s="498"/>
      <c r="B13" s="498"/>
      <c r="C13" s="453"/>
      <c r="D13" s="1537">
        <v>2</v>
      </c>
      <c r="E13" s="1544" t="s">
        <v>1113</v>
      </c>
      <c r="F13" s="1538" t="s">
        <v>318</v>
      </c>
      <c r="G13" s="470"/>
      <c r="H13" s="1550"/>
    </row>
    <row customHeight="1" ht="18.75">
      <c r="A14" s="498"/>
      <c r="B14" s="498"/>
      <c r="C14" s="453"/>
      <c r="D14" s="1540" t="s">
        <v>633</v>
      </c>
      <c r="E14" s="1541" t="s">
        <v>1114</v>
      </c>
      <c r="F14" s="1543"/>
      <c r="G14" s="1542" t="s">
        <v>1115</v>
      </c>
      <c r="H14" s="1550"/>
    </row>
    <row customHeight="1" ht="18.75">
      <c r="A15" s="498"/>
      <c r="B15" s="498"/>
      <c r="C15" s="453"/>
      <c r="D15" s="1540" t="s">
        <v>319</v>
      </c>
      <c r="E15" s="1541" t="s">
        <v>1116</v>
      </c>
      <c r="F15" s="1543"/>
      <c r="G15" s="1542" t="s">
        <v>1117</v>
      </c>
      <c r="H15" s="1550"/>
    </row>
    <row customHeight="1" ht="36.75">
      <c r="A16" s="498"/>
      <c r="B16" s="498"/>
      <c r="C16" s="453"/>
      <c r="D16" s="1540" t="s">
        <v>322</v>
      </c>
      <c r="E16" s="1539" t="s">
        <v>1118</v>
      </c>
      <c r="F16" s="1548"/>
      <c r="G16" s="470" t="s">
        <v>1119</v>
      </c>
      <c r="H16" s="1550"/>
    </row>
    <row customHeight="1" ht="45">
      <c r="A17" s="498"/>
      <c r="B17" s="498"/>
      <c r="C17" s="453"/>
      <c r="D17" s="1537">
        <v>3</v>
      </c>
      <c r="E17" s="1544" t="s">
        <v>1120</v>
      </c>
      <c r="F17" s="1543"/>
      <c r="G17" s="470" t="s">
        <v>1121</v>
      </c>
      <c r="H17" s="1550"/>
    </row>
    <row customHeight="1" ht="45">
      <c r="A18" s="1492">
        <v>1</v>
      </c>
      <c r="B18" s="498"/>
      <c r="C18" s="1494"/>
      <c r="D18" s="1537" t="s">
        <v>90</v>
      </c>
      <c r="E18" s="1544" t="s">
        <v>1122</v>
      </c>
      <c r="F18" s="1543"/>
      <c r="G18" s="470" t="s">
        <v>1121</v>
      </c>
      <c r="H18" s="1550"/>
      <c r="I18" s="846"/>
    </row>
    <row customHeight="1" ht="22.5">
      <c r="A19" s="498"/>
      <c r="B19" s="498"/>
      <c r="C19" s="453"/>
      <c r="D19" s="1537" t="s">
        <v>110</v>
      </c>
      <c r="E19" s="1544" t="s">
        <v>1123</v>
      </c>
      <c r="F19" s="1538" t="s">
        <v>318</v>
      </c>
      <c r="G19" s="2300" t="s">
        <v>1124</v>
      </c>
      <c r="H19" s="471"/>
    </row>
    <row s="1547" customFormat="1" customHeight="1" ht="5.25" hidden="1">
      <c r="A20" s="498"/>
      <c r="B20" s="498"/>
      <c r="C20" s="1546"/>
      <c r="D20" s="1545" t="s">
        <v>1041</v>
      </c>
      <c r="E20" s="1009"/>
      <c r="F20" s="1008"/>
      <c r="G20" s="2301"/>
    </row>
    <row customHeight="1" ht="15">
      <c r="A21" s="498"/>
      <c r="B21" s="498"/>
      <c r="C21" s="453"/>
      <c r="D21" s="463"/>
      <c r="E21" s="412" t="s">
        <v>353</v>
      </c>
      <c r="F21" s="465"/>
      <c r="G21" s="2302"/>
      <c r="H21" s="1550"/>
    </row>
    <row s="497" customFormat="1" customHeight="1" ht="24.75">
      <c r="A22" s="498"/>
      <c r="B22" s="498"/>
      <c r="C22" s="498"/>
      <c r="D22" s="1537" t="s">
        <v>91</v>
      </c>
      <c r="E22" s="470" t="s">
        <v>1125</v>
      </c>
      <c r="F22" s="1543"/>
      <c r="G22" s="470" t="s">
        <v>1126</v>
      </c>
      <c r="H22" s="1549"/>
    </row>
    <row s="497" customFormat="1" customHeight="1" ht="18.75">
      <c r="A23" s="498"/>
      <c r="B23" s="498"/>
      <c r="C23" s="498"/>
      <c r="D23" s="1537" t="s">
        <v>92</v>
      </c>
      <c r="E23" s="1544" t="s">
        <v>1127</v>
      </c>
      <c r="F23" s="1548"/>
      <c r="G23" s="470" t="s">
        <v>1128</v>
      </c>
      <c r="H23" s="1549"/>
    </row>
    <row customHeight="1" ht="11.25">
      <c r="A24" s="498"/>
      <c r="B24" s="498"/>
      <c r="C24" s="45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FB9553-F34F-3A34-8338-AF5FDE7CF9DA}" mc:Ignorable="x14ac xr xr2 xr3">
  <dimension ref="A1:IT23"/>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46.7109375" customWidth="1"/>
    <col min="7" max="8" style="1660" width="16.7109375" customWidth="1"/>
    <col min="9" max="9" style="1660" width="35.28125" customWidth="1"/>
    <col min="10" max="10" style="1660" width="89.57421875" customWidth="1"/>
    <col min="11" max="11" style="1649" width="3.7109375" customWidth="1"/>
    <col min="12" max="14" style="1649" width="9.140625"/>
    <col min="15" max="15" style="1649" width="25.7109375" customWidth="1"/>
    <col min="16" max="16" style="1649" width="14.421875" customWidth="1"/>
    <col min="17" max="20" style="204" width="9.140625"/>
    <col min="21" max="254" style="1660" width="9.140625"/>
  </cols>
  <sheetData>
    <row customHeight="1" ht="14.25" hidden="1"/>
    <row s="2437" customFormat="1" customHeight="1" ht="22.5" hidden="1">
      <c r="A2" s="825"/>
      <c r="B2" s="1155">
        <v>1</v>
      </c>
      <c r="C2" s="1155"/>
      <c r="D2" s="795"/>
      <c r="E2" s="1501"/>
      <c r="F2" s="1508"/>
      <c r="G2" s="1508"/>
      <c r="H2" s="1508"/>
      <c r="I2" s="1555"/>
      <c r="J2" s="207"/>
      <c r="K2" s="1552">
        <f>MERGEVALUE(F2)</f>
      </c>
      <c r="L2" s="507"/>
      <c r="M2" s="507"/>
      <c r="N2" s="496" t="str">
        <f t="array" ref="N2:N2">IF(ISERROR(MATCH(MID(O2,1,250),MID(note_ter,1,250),0)),"n","y")</f>
        <v>n</v>
      </c>
      <c r="O2" s="507"/>
      <c r="P2" s="496" t="str">
        <f>G2&amp;"("&amp;J2&amp;")"</f>
        <v>()</v>
      </c>
      <c r="Q2" s="1155"/>
      <c r="R2" s="1155"/>
      <c r="S2" s="417"/>
      <c r="T2" s="1155"/>
      <c r="U2" s="1155"/>
      <c r="V2" s="1155"/>
      <c r="W2" s="419"/>
      <c r="X2" s="419"/>
      <c r="Y2" s="416"/>
      <c r="Z2" s="416"/>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9"/>
      <c r="BU2" s="419"/>
      <c r="BV2" s="419"/>
      <c r="BW2" s="419"/>
      <c r="BX2" s="419"/>
      <c r="BY2" s="419"/>
      <c r="BZ2" s="419"/>
      <c r="CA2" s="419"/>
      <c r="CB2" s="419"/>
      <c r="CC2" s="419"/>
    </row>
    <row s="1667" customFormat="1" customHeight="1" ht="5.25" hidden="1">
      <c r="A3" s="492"/>
      <c r="D3" s="490"/>
      <c r="F3" s="226" t="s">
        <v>82</v>
      </c>
      <c r="G3" s="490" t="s">
        <v>83</v>
      </c>
      <c r="H3" s="490"/>
      <c r="I3" s="490"/>
      <c r="J3" s="206" t="s">
        <v>84</v>
      </c>
      <c r="K3" s="226" t="s">
        <v>82</v>
      </c>
      <c r="L3" s="226"/>
      <c r="M3" s="226"/>
      <c r="N3" s="226"/>
      <c r="O3" s="227"/>
      <c r="P3" s="226"/>
      <c r="Q3" s="226"/>
      <c r="R3" s="226"/>
      <c r="S3" s="226"/>
      <c r="T3" s="226"/>
      <c r="U3" s="206"/>
      <c r="V3" s="20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row>
    <row s="1844" customFormat="1" customHeight="1" ht="14.25">
      <c r="A4" s="1150"/>
      <c r="B4" s="1155"/>
      <c r="C4" s="1150"/>
      <c r="D4" s="1512"/>
      <c r="E4" s="505"/>
      <c r="F4" s="505"/>
      <c r="G4" s="505"/>
      <c r="H4" s="505"/>
      <c r="I4" s="505"/>
      <c r="J4" s="146"/>
      <c r="K4" s="226"/>
      <c r="L4" s="496"/>
      <c r="M4" s="496"/>
      <c r="N4" s="496"/>
      <c r="O4" s="205"/>
      <c r="P4" s="496"/>
      <c r="Q4" s="204"/>
      <c r="R4" s="204"/>
      <c r="S4" s="204"/>
      <c r="T4" s="204"/>
    </row>
    <row s="1844" customFormat="1" customHeight="1" ht="25.5">
      <c r="A5" s="1150"/>
      <c r="B5" s="1155"/>
      <c r="C5" s="1150"/>
      <c r="D5" s="1512"/>
      <c r="E5" s="1936"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36"/>
      <c r="G5" s="1936"/>
      <c r="H5" s="1936"/>
      <c r="I5" s="1936"/>
      <c r="J5" s="1936"/>
      <c r="K5" s="226"/>
      <c r="L5" s="496"/>
      <c r="M5" s="496"/>
      <c r="N5" s="496"/>
      <c r="O5" s="205"/>
      <c r="P5" s="496"/>
      <c r="Q5" s="204"/>
      <c r="R5" s="204"/>
      <c r="S5" s="204"/>
      <c r="T5" s="204"/>
    </row>
    <row s="1844" customFormat="1" customHeight="1" ht="14.25">
      <c r="A6" s="1150"/>
      <c r="B6" s="1155"/>
      <c r="C6" s="1150"/>
      <c r="D6" s="1512"/>
      <c r="E6" s="505"/>
      <c r="F6" s="147"/>
      <c r="G6" s="147"/>
      <c r="H6" s="147"/>
      <c r="I6" s="147"/>
      <c r="J6" s="148"/>
      <c r="K6" s="496"/>
      <c r="L6" s="496"/>
      <c r="M6" s="496"/>
      <c r="N6" s="496"/>
      <c r="O6" s="205"/>
      <c r="P6" s="496"/>
      <c r="Q6" s="204"/>
      <c r="R6" s="204"/>
      <c r="S6" s="204"/>
      <c r="T6" s="204"/>
    </row>
    <row s="1844" customFormat="1" customHeight="1" ht="14.25">
      <c r="A7" s="1150"/>
      <c r="B7" s="1155"/>
      <c r="C7" s="1150"/>
      <c r="D7" s="1512"/>
      <c r="E7" s="1937" t="s">
        <v>312</v>
      </c>
      <c r="F7" s="1938"/>
      <c r="G7" s="1938"/>
      <c r="H7" s="1938"/>
      <c r="I7" s="1938"/>
      <c r="J7" s="2303" t="s">
        <v>313</v>
      </c>
      <c r="K7" s="496"/>
      <c r="L7" s="496"/>
      <c r="M7" s="496"/>
      <c r="N7" s="496"/>
      <c r="O7" s="205"/>
      <c r="P7" s="496"/>
      <c r="Q7" s="204"/>
      <c r="R7" s="204"/>
      <c r="S7" s="204"/>
      <c r="T7" s="204"/>
    </row>
    <row s="1844" customFormat="1" customHeight="1" ht="20.25">
      <c r="A8" s="1150"/>
      <c r="B8" s="1155"/>
      <c r="C8" s="1150"/>
      <c r="D8" s="1512"/>
      <c r="E8" s="1572" t="s">
        <v>87</v>
      </c>
      <c r="F8" s="1557" t="s">
        <v>1129</v>
      </c>
      <c r="G8" s="1557" t="s">
        <v>47</v>
      </c>
      <c r="H8" s="1557" t="s">
        <v>49</v>
      </c>
      <c r="I8" s="1557" t="s">
        <v>1130</v>
      </c>
      <c r="J8" s="2304"/>
      <c r="K8" s="496"/>
      <c r="L8" s="496"/>
      <c r="M8" s="496"/>
      <c r="N8" s="496"/>
      <c r="O8" s="205"/>
      <c r="P8" s="496"/>
      <c r="Q8" s="204"/>
      <c r="R8" s="204"/>
      <c r="S8" s="204"/>
      <c r="T8" s="204"/>
    </row>
    <row s="2437" customFormat="1" customHeight="1" ht="22.5">
      <c r="A9" s="1935"/>
      <c r="B9" s="1155">
        <v>1</v>
      </c>
      <c r="C9" s="1155"/>
      <c r="D9" s="795"/>
      <c r="E9" s="1501">
        <v>1</v>
      </c>
      <c r="F9" s="1571"/>
      <c r="G9" s="1508"/>
      <c r="H9" s="1508"/>
      <c r="I9" s="1555"/>
      <c r="J9" s="2305" t="s">
        <v>1131</v>
      </c>
      <c r="K9" s="1552">
        <f>MERGEVALUE(F9)</f>
      </c>
      <c r="L9" s="507"/>
      <c r="M9" s="507"/>
      <c r="N9" s="496" t="str">
        <f t="array" ref="N9:N9">IF(ISERROR(MATCH(MID(O9,1,250),MID(note_ter,1,250),0)),"n","y")</f>
        <v>n</v>
      </c>
      <c r="O9" s="507"/>
      <c r="P9" s="49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55"/>
      <c r="R9" s="1155"/>
      <c r="S9" s="417"/>
      <c r="T9" s="1155"/>
      <c r="U9" s="1155"/>
      <c r="V9" s="1155"/>
      <c r="W9" s="419"/>
      <c r="X9" s="419"/>
      <c r="Y9" s="416"/>
      <c r="Z9" s="416"/>
      <c r="AA9" s="416"/>
      <c r="AB9" s="416"/>
      <c r="AC9" s="416"/>
      <c r="AD9" s="416"/>
      <c r="AE9" s="416"/>
      <c r="AF9" s="416"/>
      <c r="AG9" s="416"/>
      <c r="AH9" s="416"/>
      <c r="AI9" s="416"/>
      <c r="AJ9" s="416"/>
      <c r="AK9" s="416"/>
      <c r="AL9" s="416"/>
      <c r="AM9" s="416"/>
      <c r="AN9" s="416"/>
      <c r="AO9" s="416"/>
      <c r="AP9" s="416"/>
      <c r="AQ9" s="416"/>
      <c r="AR9" s="416"/>
      <c r="AS9" s="416"/>
      <c r="AT9" s="416"/>
      <c r="AU9" s="416"/>
      <c r="AV9" s="416"/>
      <c r="AW9" s="416"/>
      <c r="AX9" s="416"/>
      <c r="AY9" s="416"/>
      <c r="AZ9" s="416"/>
      <c r="BA9" s="416"/>
      <c r="BB9" s="416"/>
      <c r="BC9" s="416"/>
      <c r="BD9" s="416"/>
      <c r="BE9" s="416"/>
      <c r="BF9" s="416"/>
      <c r="BG9" s="416"/>
      <c r="BH9" s="416"/>
      <c r="BI9" s="416"/>
      <c r="BJ9" s="416"/>
      <c r="BK9" s="416"/>
      <c r="BL9" s="416"/>
      <c r="BM9" s="416"/>
      <c r="BN9" s="416"/>
      <c r="BO9" s="416"/>
      <c r="BP9" s="416"/>
      <c r="BQ9" s="416"/>
      <c r="BR9" s="416"/>
      <c r="BS9" s="416"/>
      <c r="BT9" s="419"/>
      <c r="BU9" s="419"/>
      <c r="BV9" s="419"/>
      <c r="BW9" s="419"/>
      <c r="BX9" s="419"/>
      <c r="BY9" s="419"/>
      <c r="BZ9" s="419"/>
      <c r="CA9" s="419"/>
      <c r="CB9" s="419"/>
      <c r="CC9" s="419"/>
    </row>
    <row s="2437" customFormat="1" customHeight="1" ht="15">
      <c r="A10" s="1935"/>
      <c r="B10" s="1155"/>
      <c r="C10" s="409"/>
      <c r="D10" s="795"/>
      <c r="E10" s="1558"/>
      <c r="F10" s="1517" t="s">
        <v>1132</v>
      </c>
      <c r="G10" s="1559"/>
      <c r="H10" s="1559"/>
      <c r="I10" s="1559"/>
      <c r="J10" s="2306"/>
      <c r="K10" s="1553"/>
      <c r="L10" s="507"/>
      <c r="M10" s="507"/>
      <c r="N10" s="507"/>
      <c r="O10" s="496"/>
      <c r="P10" s="507"/>
      <c r="Q10" s="1155"/>
      <c r="R10" s="1155"/>
      <c r="S10" s="417"/>
      <c r="T10" s="1155"/>
      <c r="U10" s="1155"/>
      <c r="V10" s="1155"/>
      <c r="W10" s="419"/>
      <c r="X10" s="419"/>
      <c r="Y10" s="416"/>
      <c r="Z10" s="416"/>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9"/>
      <c r="BU10" s="419"/>
      <c r="BV10" s="419"/>
      <c r="BW10" s="419"/>
      <c r="BX10" s="419"/>
      <c r="BY10" s="419"/>
      <c r="BZ10" s="419"/>
      <c r="CA10" s="419"/>
      <c r="CB10" s="419"/>
      <c r="CC10" s="419"/>
    </row>
    <row s="1844" customFormat="1" customHeight="1" ht="21">
      <c r="A11" s="1150"/>
      <c r="B11" s="1155"/>
      <c r="C11" s="1150"/>
      <c r="D11" s="447"/>
      <c r="E11" s="160"/>
      <c r="F11" s="160"/>
      <c r="G11" s="160"/>
      <c r="H11" s="160"/>
      <c r="I11" s="160"/>
      <c r="J11" s="160"/>
      <c r="K11" s="496"/>
      <c r="L11" s="496"/>
      <c r="M11" s="496"/>
      <c r="N11" s="496"/>
      <c r="O11" s="205"/>
      <c r="P11" s="496"/>
      <c r="Q11" s="204"/>
      <c r="R11" s="204"/>
      <c r="S11" s="204"/>
      <c r="T11" s="204"/>
    </row>
    <row s="1844" customFormat="1" customHeight="1" ht="14.25">
      <c r="A12" s="1150"/>
      <c r="B12" s="1155"/>
      <c r="C12" s="1150"/>
      <c r="D12" s="447"/>
      <c r="E12" s="1150"/>
      <c r="F12" s="1150"/>
      <c r="G12" s="1150"/>
      <c r="H12" s="1150"/>
      <c r="I12" s="1150"/>
      <c r="J12" s="1150"/>
      <c r="K12" s="496"/>
      <c r="L12" s="496"/>
      <c r="M12" s="496"/>
      <c r="N12" s="496"/>
      <c r="O12" s="205"/>
      <c r="P12" s="496"/>
      <c r="Q12" s="204"/>
      <c r="R12" s="204"/>
      <c r="S12" s="204"/>
      <c r="T12" s="204"/>
    </row>
    <row s="1844" customFormat="1" customHeight="1" ht="0.75">
      <c r="A13" s="1150"/>
      <c r="B13" s="1155"/>
      <c r="C13" s="1150"/>
      <c r="D13" s="447"/>
      <c r="E13" s="1150"/>
      <c r="F13" s="1150"/>
      <c r="G13" s="1150"/>
      <c r="H13" s="1150"/>
      <c r="I13" s="1150"/>
      <c r="J13" s="1150"/>
      <c r="K13" s="496"/>
      <c r="L13" s="496"/>
      <c r="M13" s="496"/>
      <c r="N13" s="496"/>
      <c r="O13" s="205"/>
      <c r="P13" s="496"/>
      <c r="Q13" s="204"/>
      <c r="R13" s="204"/>
      <c r="S13" s="204"/>
      <c r="T13" s="204"/>
    </row>
    <row s="1059" customFormat="1" customHeight="1" ht="10.5">
      <c r="B14" s="828"/>
      <c r="D14" s="162"/>
      <c r="K14" s="496"/>
      <c r="L14" s="496"/>
      <c r="M14" s="496"/>
      <c r="N14" s="496"/>
      <c r="O14" s="205"/>
      <c r="P14" s="496"/>
      <c r="Q14" s="204"/>
      <c r="R14" s="204"/>
      <c r="S14" s="204"/>
      <c r="T14" s="204"/>
    </row>
    <row s="1059" customFormat="1" customHeight="1" ht="10.5">
      <c r="B15" s="828"/>
      <c r="D15" s="162"/>
      <c r="K15" s="496"/>
      <c r="L15" s="496"/>
      <c r="M15" s="496"/>
      <c r="N15" s="496"/>
      <c r="O15" s="205"/>
      <c r="P15" s="496"/>
      <c r="Q15" s="204"/>
      <c r="R15" s="204"/>
      <c r="S15" s="204"/>
      <c r="T15" s="204"/>
    </row>
    <row r="19" customHeight="1" ht="14.25">
      <c r="G19" s="0"/>
      <c r="H19" s="0"/>
      <c r="I19" s="0"/>
    </row>
    <row r="23" customHeight="1" ht="14.25">
      <c r="K23" s="1150"/>
      <c r="L23" s="1150"/>
      <c r="M23" s="1150"/>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51B2CB-7564-9EC1-8809-EE4ED08ADBAF}" mc:Ignorable="x14ac xr xr2 xr3">
  <dimension ref="A1:IV14"/>
  <sheetViews>
    <sheetView topLeftCell="D4"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6.28125" customWidth="1"/>
    <col min="6" max="6" style="1660" width="27.28125" customWidth="1"/>
    <col min="7" max="7" style="1660" width="16.7109375" customWidth="1"/>
    <col min="8" max="8" style="1660" width="12.7109375" customWidth="1"/>
    <col min="9" max="9" style="1660" width="32.140625" customWidth="1"/>
    <col min="10" max="11" style="1660" width="41.8515625" customWidth="1"/>
    <col min="12" max="12" style="1660" width="89.57421875" customWidth="1"/>
    <col min="13" max="13" style="1649" width="3.7109375" customWidth="1"/>
    <col min="14" max="16" style="1649" width="9.140625"/>
    <col min="17" max="17" style="1649" width="25.7109375" customWidth="1"/>
    <col min="18" max="18" style="1649" width="14.421875" customWidth="1"/>
    <col min="19" max="22" style="204" width="9.140625"/>
    <col min="23" max="256" style="1660" width="9.140625"/>
  </cols>
  <sheetData>
    <row customHeight="1" ht="14.25" hidden="1"/>
    <row s="2437" customFormat="1" customHeight="1" ht="22.5" hidden="1">
      <c r="A2" s="825"/>
      <c r="B2" s="1155">
        <v>1</v>
      </c>
      <c r="C2" s="1155"/>
      <c r="D2" s="795"/>
      <c r="E2" s="1501"/>
      <c r="F2" s="1556" t="str">
        <f>IF(ROIV_INFO_NAME="","",ROIV_INFO_NAME)</f>
        <v>ПАО "ТГК-1" филиал "Невский"</v>
      </c>
      <c r="G2" s="1756" t="s">
        <v>24</v>
      </c>
      <c r="H2" s="1555"/>
      <c r="I2" s="1555"/>
      <c r="J2" s="1159"/>
      <c r="K2" s="1159"/>
      <c r="L2" s="207"/>
      <c r="M2" s="1552">
        <f>MERGEVALUE(F2)</f>
      </c>
      <c r="N2" s="507"/>
      <c r="O2" s="507"/>
      <c r="P2" s="496" t="str">
        <f t="array" ref="P2:P2">IF(ISERROR(MATCH(MID(Q2,1,250),MID(note_ter,1,250),0)),"n","y")</f>
        <v>n</v>
      </c>
      <c r="Q2" s="507"/>
      <c r="R2" s="496" t="str">
        <f>G2&amp;"("&amp;L2&amp;")"</f>
        <v>()</v>
      </c>
      <c r="S2" s="1155"/>
      <c r="T2" s="1155"/>
      <c r="U2" s="417"/>
      <c r="V2" s="1155"/>
      <c r="W2" s="1155"/>
      <c r="X2" s="1155"/>
      <c r="Y2" s="419"/>
      <c r="Z2" s="419"/>
      <c r="AA2" s="416"/>
      <c r="AB2" s="416"/>
      <c r="AC2" s="416"/>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9"/>
      <c r="BW2" s="419"/>
      <c r="BX2" s="419"/>
      <c r="BY2" s="419"/>
      <c r="BZ2" s="419"/>
      <c r="CA2" s="419"/>
      <c r="CB2" s="419"/>
      <c r="CC2" s="419"/>
      <c r="CD2" s="419"/>
      <c r="CE2" s="419"/>
    </row>
    <row s="1667" customFormat="1" customHeight="1" ht="5.25" hidden="1">
      <c r="A3" s="492"/>
      <c r="D3" s="490"/>
      <c r="F3" s="226" t="s">
        <v>82</v>
      </c>
      <c r="G3" s="1759" t="s">
        <v>83</v>
      </c>
      <c r="H3" s="490"/>
      <c r="I3" s="490"/>
      <c r="J3" s="490"/>
      <c r="K3" s="490"/>
      <c r="L3" s="206" t="s">
        <v>84</v>
      </c>
      <c r="M3" s="226" t="s">
        <v>82</v>
      </c>
      <c r="N3" s="226"/>
      <c r="O3" s="226"/>
      <c r="P3" s="226"/>
      <c r="Q3" s="227"/>
      <c r="R3" s="226"/>
      <c r="S3" s="226"/>
      <c r="T3" s="226"/>
      <c r="U3" s="226"/>
      <c r="V3" s="226"/>
      <c r="W3" s="206"/>
      <c r="X3" s="206"/>
      <c r="Y3" s="206"/>
      <c r="Z3" s="206"/>
      <c r="AA3" s="206"/>
      <c r="AB3" s="206"/>
      <c r="AC3" s="206"/>
      <c r="AD3" s="206"/>
      <c r="AE3" s="206"/>
      <c r="AF3" s="206"/>
      <c r="AG3" s="206"/>
      <c r="AH3" s="206"/>
      <c r="AI3" s="206"/>
      <c r="AJ3" s="206"/>
      <c r="AK3" s="206"/>
      <c r="AL3" s="206"/>
      <c r="AM3" s="206"/>
      <c r="AN3" s="206"/>
      <c r="AO3" s="206"/>
      <c r="AP3" s="206"/>
      <c r="AQ3" s="206"/>
      <c r="AR3" s="206"/>
      <c r="AS3" s="206"/>
      <c r="AT3" s="206"/>
      <c r="AU3" s="206"/>
      <c r="AV3" s="206"/>
      <c r="AW3" s="206"/>
      <c r="AX3" s="206"/>
      <c r="AY3" s="206"/>
      <c r="AZ3" s="206"/>
      <c r="BA3" s="206"/>
      <c r="BB3" s="206"/>
      <c r="BC3" s="206"/>
      <c r="BD3" s="206"/>
      <c r="BE3" s="206"/>
      <c r="BF3" s="206"/>
      <c r="BG3" s="206"/>
      <c r="BH3" s="206"/>
      <c r="BI3" s="206"/>
      <c r="BJ3" s="206"/>
      <c r="BK3" s="206"/>
      <c r="BL3" s="206"/>
      <c r="BM3" s="206"/>
      <c r="BN3" s="206"/>
      <c r="BO3" s="206"/>
      <c r="BP3" s="206"/>
      <c r="BQ3" s="206"/>
      <c r="BR3" s="206"/>
      <c r="BS3" s="206"/>
      <c r="BT3" s="206"/>
      <c r="BU3" s="206"/>
      <c r="BV3" s="206"/>
      <c r="BW3" s="206"/>
      <c r="BX3" s="206"/>
      <c r="BY3" s="206"/>
      <c r="BZ3" s="206"/>
      <c r="CA3" s="206"/>
      <c r="CB3" s="206"/>
      <c r="CC3" s="206"/>
      <c r="CD3" s="206"/>
      <c r="CE3" s="206"/>
      <c r="CF3" s="206"/>
      <c r="CG3" s="206"/>
      <c r="CH3" s="206"/>
      <c r="CI3" s="206"/>
      <c r="CJ3" s="206"/>
      <c r="CK3" s="206"/>
      <c r="CL3" s="206"/>
      <c r="CM3" s="206"/>
      <c r="CN3" s="206"/>
      <c r="CO3" s="206"/>
      <c r="CP3" s="206"/>
      <c r="CQ3" s="206"/>
      <c r="CR3" s="206"/>
      <c r="CS3" s="206"/>
      <c r="CT3" s="206"/>
      <c r="CU3" s="206"/>
      <c r="CV3" s="206"/>
      <c r="CW3" s="206"/>
      <c r="CX3" s="206"/>
      <c r="CY3" s="206"/>
      <c r="CZ3" s="206"/>
      <c r="DA3" s="206"/>
      <c r="DB3" s="206"/>
      <c r="DC3" s="206"/>
      <c r="DD3" s="206"/>
      <c r="DE3" s="206"/>
      <c r="DF3" s="206"/>
      <c r="DG3" s="206"/>
      <c r="DH3" s="206"/>
      <c r="DI3" s="206"/>
      <c r="DJ3" s="206"/>
      <c r="DK3" s="206"/>
      <c r="DL3" s="206"/>
      <c r="DM3" s="206"/>
      <c r="DN3" s="206"/>
      <c r="DO3" s="206"/>
      <c r="DP3" s="206"/>
      <c r="DQ3" s="206"/>
      <c r="DR3" s="206"/>
      <c r="DS3" s="206"/>
      <c r="DT3" s="206"/>
      <c r="DU3" s="206"/>
      <c r="DV3" s="206"/>
      <c r="DW3" s="206"/>
      <c r="DX3" s="206"/>
      <c r="DY3" s="206"/>
      <c r="DZ3" s="206"/>
      <c r="EA3" s="206"/>
      <c r="EB3" s="206"/>
      <c r="EC3" s="206"/>
      <c r="ED3" s="206"/>
      <c r="EE3" s="206"/>
      <c r="EF3" s="206"/>
      <c r="EG3" s="206"/>
      <c r="EH3" s="206"/>
      <c r="EI3" s="206"/>
      <c r="EJ3" s="206"/>
      <c r="EK3" s="206"/>
      <c r="EL3" s="206"/>
      <c r="EM3" s="206"/>
      <c r="EN3" s="206"/>
      <c r="EO3" s="206"/>
      <c r="EP3" s="206"/>
      <c r="EQ3" s="206"/>
      <c r="ER3" s="206"/>
      <c r="ES3" s="206"/>
      <c r="ET3" s="206"/>
      <c r="EU3" s="206"/>
      <c r="EV3" s="206"/>
      <c r="EW3" s="206"/>
      <c r="EX3" s="206"/>
      <c r="EY3" s="206"/>
      <c r="EZ3" s="206"/>
      <c r="FA3" s="206"/>
      <c r="FB3" s="206"/>
      <c r="FC3" s="206"/>
      <c r="FD3" s="206"/>
      <c r="FE3" s="206"/>
      <c r="FF3" s="206"/>
      <c r="FG3" s="206"/>
      <c r="FH3" s="206"/>
      <c r="FI3" s="206"/>
      <c r="FJ3" s="206"/>
      <c r="FK3" s="206"/>
      <c r="FL3" s="206"/>
      <c r="FM3" s="206"/>
      <c r="FN3" s="206"/>
      <c r="FO3" s="206"/>
      <c r="FP3" s="206"/>
      <c r="FQ3" s="206"/>
      <c r="FR3" s="206"/>
      <c r="FS3" s="206"/>
      <c r="FT3" s="206"/>
      <c r="FU3" s="206"/>
      <c r="FV3" s="206"/>
      <c r="FW3" s="206"/>
      <c r="FX3" s="206"/>
      <c r="FY3" s="206"/>
      <c r="FZ3" s="206"/>
      <c r="GA3" s="206"/>
      <c r="GB3" s="206"/>
      <c r="GC3" s="206"/>
      <c r="GD3" s="206"/>
      <c r="GE3" s="206"/>
      <c r="GF3" s="206"/>
      <c r="GG3" s="206"/>
      <c r="GH3" s="206"/>
      <c r="GI3" s="206"/>
      <c r="GJ3" s="206"/>
      <c r="GK3" s="206"/>
      <c r="GL3" s="206"/>
      <c r="GM3" s="206"/>
      <c r="GN3" s="206"/>
      <c r="GO3" s="206"/>
      <c r="GP3" s="206"/>
      <c r="GQ3" s="206"/>
      <c r="GR3" s="206"/>
      <c r="GS3" s="206"/>
      <c r="GT3" s="206"/>
      <c r="GU3" s="206"/>
      <c r="GV3" s="206"/>
      <c r="GW3" s="206"/>
      <c r="GX3" s="206"/>
      <c r="GY3" s="206"/>
      <c r="GZ3" s="206"/>
      <c r="HA3" s="206"/>
      <c r="HB3" s="206"/>
      <c r="HC3" s="206"/>
      <c r="HD3" s="206"/>
      <c r="HE3" s="206"/>
      <c r="HF3" s="206"/>
      <c r="HG3" s="206"/>
      <c r="HH3" s="206"/>
      <c r="HI3" s="206"/>
      <c r="HJ3" s="206"/>
      <c r="HK3" s="206"/>
      <c r="HL3" s="206"/>
      <c r="HM3" s="206"/>
      <c r="HN3" s="206"/>
      <c r="HO3" s="206"/>
      <c r="HP3" s="206"/>
      <c r="HQ3" s="206"/>
      <c r="HR3" s="206"/>
      <c r="HS3" s="206"/>
      <c r="HT3" s="206"/>
      <c r="HU3" s="206"/>
      <c r="HV3" s="206"/>
      <c r="HW3" s="206"/>
      <c r="HX3" s="206"/>
      <c r="HY3" s="206"/>
      <c r="HZ3" s="206"/>
      <c r="IA3" s="206"/>
      <c r="IB3" s="206"/>
      <c r="IC3" s="206"/>
      <c r="ID3" s="206"/>
      <c r="IE3" s="206"/>
      <c r="IF3" s="206"/>
      <c r="IG3" s="206"/>
      <c r="IH3" s="206"/>
      <c r="II3" s="206"/>
      <c r="IJ3" s="206"/>
      <c r="IK3" s="206"/>
      <c r="IL3" s="206"/>
      <c r="IM3" s="206"/>
      <c r="IN3" s="206"/>
      <c r="IO3" s="206"/>
      <c r="IP3" s="206"/>
      <c r="IQ3" s="206"/>
      <c r="IR3" s="206"/>
      <c r="IS3" s="206"/>
      <c r="IT3" s="206"/>
      <c r="IU3" s="206"/>
      <c r="IV3" s="206"/>
    </row>
    <row s="1844" customFormat="1" customHeight="1" ht="14.25">
      <c r="A4" s="1150"/>
      <c r="B4" s="1155"/>
      <c r="C4" s="1150"/>
      <c r="D4" s="1512"/>
      <c r="E4" s="505"/>
      <c r="F4" s="505"/>
      <c r="G4" s="505"/>
      <c r="H4" s="505"/>
      <c r="I4" s="505"/>
      <c r="J4" s="505"/>
      <c r="K4" s="505"/>
      <c r="L4" s="146"/>
      <c r="M4" s="226"/>
      <c r="N4" s="496"/>
      <c r="O4" s="496"/>
      <c r="P4" s="496"/>
      <c r="Q4" s="205"/>
      <c r="R4" s="496"/>
      <c r="S4" s="204"/>
      <c r="T4" s="204"/>
      <c r="U4" s="204"/>
      <c r="V4" s="204"/>
    </row>
    <row s="1844" customFormat="1" customHeight="1" ht="25.5">
      <c r="A5" s="1150"/>
      <c r="B5" s="1155"/>
      <c r="C5" s="1150"/>
      <c r="D5" s="1512"/>
      <c r="E5" s="1936"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36"/>
      <c r="G5" s="1936"/>
      <c r="H5" s="1936"/>
      <c r="I5" s="1936"/>
      <c r="J5" s="1936"/>
      <c r="K5" s="1936"/>
      <c r="L5" s="584"/>
      <c r="M5" s="226"/>
      <c r="N5" s="496"/>
      <c r="O5" s="496"/>
      <c r="P5" s="496"/>
      <c r="Q5" s="205"/>
      <c r="R5" s="496"/>
      <c r="S5" s="204"/>
      <c r="T5" s="204"/>
      <c r="U5" s="204"/>
      <c r="V5" s="204"/>
    </row>
    <row s="1844" customFormat="1" customHeight="1" ht="14.25">
      <c r="A6" s="1150"/>
      <c r="B6" s="1155"/>
      <c r="C6" s="1150"/>
      <c r="D6" s="1512"/>
      <c r="E6" s="505"/>
      <c r="F6" s="147"/>
      <c r="G6" s="147"/>
      <c r="H6" s="147"/>
      <c r="I6" s="147"/>
      <c r="J6" s="147"/>
      <c r="K6" s="147"/>
      <c r="L6" s="148"/>
      <c r="M6" s="496"/>
      <c r="N6" s="496"/>
      <c r="O6" s="496"/>
      <c r="P6" s="496"/>
      <c r="Q6" s="205"/>
      <c r="R6" s="496"/>
      <c r="S6" s="204"/>
      <c r="T6" s="204"/>
      <c r="U6" s="204"/>
      <c r="V6" s="204"/>
    </row>
    <row s="1844" customFormat="1" customHeight="1" ht="14.25">
      <c r="A7" s="1150"/>
      <c r="B7" s="1155"/>
      <c r="C7" s="1150"/>
      <c r="D7" s="1512"/>
      <c r="E7" s="1937" t="s">
        <v>312</v>
      </c>
      <c r="F7" s="1938"/>
      <c r="G7" s="1938"/>
      <c r="H7" s="1938"/>
      <c r="I7" s="1938"/>
      <c r="J7" s="1938"/>
      <c r="K7" s="1938"/>
      <c r="L7" s="2303" t="s">
        <v>313</v>
      </c>
      <c r="M7" s="496"/>
      <c r="N7" s="496"/>
      <c r="O7" s="496"/>
      <c r="P7" s="496"/>
      <c r="Q7" s="205"/>
      <c r="R7" s="496"/>
      <c r="S7" s="204"/>
      <c r="T7" s="204"/>
      <c r="U7" s="204"/>
      <c r="V7" s="204"/>
    </row>
    <row s="1844" customFormat="1" customHeight="1" ht="47.25">
      <c r="A8" s="1150"/>
      <c r="B8" s="1155"/>
      <c r="C8" s="1150"/>
      <c r="D8" s="1512"/>
      <c r="E8" s="2308" t="s">
        <v>87</v>
      </c>
      <c r="F8" s="2308" t="s">
        <v>1111</v>
      </c>
      <c r="G8" s="231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11"/>
      <c r="I8" s="2312"/>
      <c r="J8" s="230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0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07"/>
      <c r="M8" s="496"/>
      <c r="N8" s="496"/>
      <c r="O8" s="496"/>
      <c r="P8" s="496"/>
      <c r="Q8" s="205"/>
      <c r="R8" s="496"/>
      <c r="S8" s="204"/>
      <c r="T8" s="204"/>
      <c r="U8" s="204"/>
      <c r="V8" s="204"/>
    </row>
    <row s="1844" customFormat="1" customHeight="1" ht="56.25">
      <c r="A9" s="1150"/>
      <c r="B9" s="1155"/>
      <c r="C9" s="1150"/>
      <c r="D9" s="1512"/>
      <c r="E9" s="2309"/>
      <c r="F9" s="2309"/>
      <c r="G9" s="1554" t="s">
        <v>1133</v>
      </c>
      <c r="H9" s="1554" t="s">
        <v>1134</v>
      </c>
      <c r="I9" s="1554" t="s">
        <v>1135</v>
      </c>
      <c r="J9" s="2309"/>
      <c r="K9" s="2309"/>
      <c r="L9" s="2304"/>
      <c r="M9" s="496"/>
      <c r="N9" s="496"/>
      <c r="O9" s="496"/>
      <c r="P9" s="496"/>
      <c r="Q9" s="205"/>
      <c r="R9" s="496"/>
      <c r="S9" s="204"/>
      <c r="T9" s="204"/>
      <c r="U9" s="204"/>
      <c r="V9" s="204"/>
    </row>
    <row s="2437" customFormat="1" customHeight="1" ht="22.5">
      <c r="A10" s="1935"/>
      <c r="B10" s="1155">
        <v>1</v>
      </c>
      <c r="C10" s="1155"/>
      <c r="D10" s="794"/>
      <c r="E10" s="792">
        <v>1</v>
      </c>
      <c r="F10" s="1556" t="str">
        <f>IF(ROIV_INFO_NAME="","",ROIV_INFO_NAME)</f>
        <v>ПАО "ТГК-1" филиал "Невский"</v>
      </c>
      <c r="G10" s="1756" t="s">
        <v>24</v>
      </c>
      <c r="H10" s="1551"/>
      <c r="I10" s="1551"/>
      <c r="J10" s="1159"/>
      <c r="K10" s="1159"/>
      <c r="L10" s="2305" t="s">
        <v>1136</v>
      </c>
      <c r="M10" s="1552">
        <f>MERGEVALUE(F10)</f>
      </c>
      <c r="N10" s="507"/>
      <c r="O10" s="507"/>
      <c r="P10" s="496" t="str">
        <f t="array" ref="P10:P10">IF(ISERROR(MATCH(MID(Q10,1,250),MID(note_ter,1,250),0)),"n","y")</f>
        <v>n</v>
      </c>
      <c r="Q10" s="507"/>
      <c r="R10" s="49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55"/>
      <c r="T10" s="1155"/>
      <c r="U10" s="417"/>
      <c r="V10" s="1155"/>
      <c r="W10" s="1155"/>
      <c r="X10" s="1155"/>
      <c r="Y10" s="419"/>
      <c r="Z10" s="419"/>
      <c r="AA10" s="416"/>
      <c r="AB10" s="416"/>
      <c r="AC10" s="416"/>
      <c r="AD10" s="416"/>
      <c r="AE10" s="416"/>
      <c r="AF10" s="416"/>
      <c r="AG10" s="416"/>
      <c r="AH10" s="416"/>
      <c r="AI10" s="416"/>
      <c r="AJ10" s="416"/>
      <c r="AK10" s="416"/>
      <c r="AL10" s="416"/>
      <c r="AM10" s="416"/>
      <c r="AN10" s="416"/>
      <c r="AO10" s="416"/>
      <c r="AP10" s="416"/>
      <c r="AQ10" s="416"/>
      <c r="AR10" s="416"/>
      <c r="AS10" s="416"/>
      <c r="AT10" s="416"/>
      <c r="AU10" s="416"/>
      <c r="AV10" s="416"/>
      <c r="AW10" s="416"/>
      <c r="AX10" s="416"/>
      <c r="AY10" s="416"/>
      <c r="AZ10" s="416"/>
      <c r="BA10" s="416"/>
      <c r="BB10" s="416"/>
      <c r="BC10" s="416"/>
      <c r="BD10" s="416"/>
      <c r="BE10" s="416"/>
      <c r="BF10" s="416"/>
      <c r="BG10" s="416"/>
      <c r="BH10" s="416"/>
      <c r="BI10" s="416"/>
      <c r="BJ10" s="416"/>
      <c r="BK10" s="416"/>
      <c r="BL10" s="416"/>
      <c r="BM10" s="416"/>
      <c r="BN10" s="416"/>
      <c r="BO10" s="416"/>
      <c r="BP10" s="416"/>
      <c r="BQ10" s="416"/>
      <c r="BR10" s="416"/>
      <c r="BS10" s="416"/>
      <c r="BT10" s="416"/>
      <c r="BU10" s="416"/>
      <c r="BV10" s="419"/>
      <c r="BW10" s="419"/>
      <c r="BX10" s="419"/>
      <c r="BY10" s="419"/>
      <c r="BZ10" s="419"/>
      <c r="CA10" s="419"/>
      <c r="CB10" s="419"/>
      <c r="CC10" s="419"/>
      <c r="CD10" s="419"/>
      <c r="CE10" s="419"/>
    </row>
    <row s="2437" customFormat="1" customHeight="1" ht="15">
      <c r="A11" s="1935"/>
      <c r="B11" s="1155"/>
      <c r="C11" s="409"/>
      <c r="D11" s="795"/>
      <c r="E11" s="418"/>
      <c r="F11" s="413" t="s">
        <v>1137</v>
      </c>
      <c r="G11" s="167"/>
      <c r="H11" s="167"/>
      <c r="I11" s="167"/>
      <c r="J11" s="167"/>
      <c r="K11" s="167"/>
      <c r="L11" s="2306"/>
      <c r="M11" s="1553"/>
      <c r="N11" s="507"/>
      <c r="O11" s="507"/>
      <c r="P11" s="507"/>
      <c r="Q11" s="496"/>
      <c r="R11" s="507"/>
      <c r="S11" s="1155"/>
      <c r="T11" s="1155"/>
      <c r="U11" s="417"/>
      <c r="V11" s="1155"/>
      <c r="W11" s="1155"/>
      <c r="X11" s="1155"/>
      <c r="Y11" s="419"/>
      <c r="Z11" s="419"/>
      <c r="AA11" s="416"/>
      <c r="AB11" s="416"/>
      <c r="AC11" s="416"/>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9"/>
      <c r="BW11" s="419"/>
      <c r="BX11" s="419"/>
      <c r="BY11" s="419"/>
      <c r="BZ11" s="419"/>
      <c r="CA11" s="419"/>
      <c r="CB11" s="419"/>
      <c r="CC11" s="419"/>
      <c r="CD11" s="419"/>
      <c r="CE11" s="419"/>
    </row>
    <row s="1844" customFormat="1" customHeight="1" ht="21">
      <c r="A12" s="1150"/>
      <c r="B12" s="1155"/>
      <c r="C12" s="1150"/>
      <c r="D12" s="447"/>
      <c r="E12" s="160"/>
      <c r="F12" s="160"/>
      <c r="G12" s="160"/>
      <c r="H12" s="160"/>
      <c r="I12" s="160"/>
      <c r="J12" s="160"/>
      <c r="K12" s="160"/>
      <c r="L12" s="160"/>
      <c r="M12" s="496"/>
      <c r="N12" s="496"/>
      <c r="O12" s="496"/>
      <c r="P12" s="496"/>
      <c r="Q12" s="205"/>
      <c r="R12" s="496"/>
      <c r="S12" s="204"/>
      <c r="T12" s="204"/>
      <c r="U12" s="204"/>
      <c r="V12" s="204"/>
    </row>
    <row s="1844" customFormat="1" customHeight="1" ht="14.25">
      <c r="A13" s="1150"/>
      <c r="B13" s="1155"/>
      <c r="C13" s="1150"/>
      <c r="D13" s="447"/>
      <c r="E13" s="1150"/>
      <c r="F13" s="1150"/>
      <c r="G13" s="1150"/>
      <c r="H13" s="1150"/>
      <c r="I13" s="1150"/>
      <c r="J13" s="1150"/>
      <c r="K13" s="1150"/>
      <c r="L13" s="1150"/>
      <c r="M13" s="496"/>
      <c r="N13" s="496"/>
      <c r="O13" s="496"/>
      <c r="P13" s="496"/>
      <c r="Q13" s="205"/>
      <c r="R13" s="496"/>
      <c r="S13" s="204"/>
      <c r="T13" s="204"/>
      <c r="U13" s="204"/>
      <c r="V13" s="204"/>
    </row>
    <row s="1844" customFormat="1" customHeight="1" ht="0.75">
      <c r="A14" s="1150"/>
      <c r="B14" s="1155"/>
      <c r="C14" s="1150"/>
      <c r="D14" s="447"/>
      <c r="E14" s="1150"/>
      <c r="F14" s="1150"/>
      <c r="G14" s="1150"/>
      <c r="H14" s="1150"/>
      <c r="I14" s="1150"/>
      <c r="J14" s="1150"/>
      <c r="K14" s="1150"/>
      <c r="L14" s="1150"/>
      <c r="M14" s="496"/>
      <c r="N14" s="496"/>
      <c r="O14" s="496"/>
      <c r="P14" s="496"/>
      <c r="Q14" s="205"/>
      <c r="R14" s="496"/>
      <c r="S14" s="204"/>
      <c r="T14" s="204"/>
      <c r="U14" s="204"/>
      <c r="V14" s="204"/>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6FCC84-101C-FD76-ED69-9EC9E856CE5B}" mc:Ignorable="x14ac xr xr2 xr3">
  <dimension ref="A1:IY16"/>
  <sheetViews>
    <sheetView topLeftCell="D5" showGridLines="0" zoomScale="90" workbookViewId="0">
      <selection activeCell="A1" sqref="A1"/>
    </sheetView>
  </sheetViews>
  <sheetFormatPr defaultColWidth="9.140625" customHeight="1" defaultRowHeight="14.25"/>
  <cols>
    <col min="1" max="1" style="1660" width="9.140625" hidden="1"/>
    <col min="2" max="2" style="1383" width="9.140625" hidden="1"/>
    <col min="3" max="3" style="1660" width="3.7109375" hidden="1" customWidth="1"/>
    <col min="4" max="4" style="1866" width="3.8515625" customWidth="1"/>
    <col min="5" max="5" style="1660" width="10.140625" customWidth="1"/>
    <col min="6" max="6" style="1660" width="6.28125" customWidth="1"/>
    <col min="7" max="7" style="1660" width="27.28125" customWidth="1"/>
    <col min="8" max="8" style="1660" width="29.28125" customWidth="1"/>
    <col min="9" max="9" style="1660" width="25.421875" customWidth="1"/>
    <col min="10" max="10" style="1660" width="5.57421875" customWidth="1"/>
    <col min="11" max="11" style="1660" width="6.57421875" customWidth="1"/>
    <col min="12" max="12" style="1660" width="41.8515625" customWidth="1"/>
    <col min="13" max="13" style="1660" width="42.421875" customWidth="1"/>
    <col min="14" max="14" style="1660" width="41.57421875" customWidth="1"/>
    <col min="15" max="15" style="1660" width="64.140625" customWidth="1"/>
    <col min="16" max="16" style="1649" width="3.7109375" customWidth="1"/>
    <col min="17" max="19" style="1649" width="9.140625"/>
    <col min="20" max="20" style="1649" width="25.7109375" customWidth="1"/>
    <col min="21" max="21" style="1649" width="14.421875" customWidth="1"/>
    <col min="22" max="25" style="204" width="9.140625"/>
    <col min="26" max="259" style="1660" width="9.140625"/>
  </cols>
  <sheetData>
    <row customHeight="1" ht="14.25" hidden="1"/>
    <row s="2437" customFormat="1" customHeight="1" ht="22.5" hidden="1">
      <c r="A2" s="492"/>
      <c r="B2" s="1155">
        <v>1</v>
      </c>
      <c r="C2" s="1155"/>
      <c r="D2" s="795"/>
      <c r="E2" s="1953"/>
      <c r="F2" s="1953">
        <v>1</v>
      </c>
      <c r="G2" s="2313" t="str">
        <f>IF(region_name="","",region_name)</f>
        <v>г.Санкт-Петербург</v>
      </c>
      <c r="H2" s="2314"/>
      <c r="I2" s="2315"/>
      <c r="J2" s="470"/>
      <c r="K2" s="1501">
        <v>1</v>
      </c>
      <c r="L2" s="1159"/>
      <c r="M2" s="1159"/>
      <c r="N2" s="1159"/>
      <c r="O2" s="1159"/>
      <c r="P2" s="1552">
        <f>MERGEVALUE(G2)</f>
      </c>
      <c r="Q2" s="507"/>
      <c r="R2" s="507"/>
      <c r="S2" s="496" t="str">
        <f t="array" ref="S2:S2">IF(ISERROR(MATCH(MID(T2,1,250),MID(note_ter,1,250),0)),"n","y")</f>
        <v>n</v>
      </c>
      <c r="T2" s="507"/>
      <c r="U2" s="496"/>
      <c r="V2" s="1155"/>
      <c r="W2" s="1155"/>
      <c r="X2" s="417"/>
      <c r="Y2" s="1155"/>
      <c r="Z2" s="1155"/>
      <c r="AA2" s="1155"/>
      <c r="AB2" s="419"/>
      <c r="AC2" s="419"/>
      <c r="AD2" s="416"/>
      <c r="AE2" s="416"/>
      <c r="AF2" s="416"/>
      <c r="AG2" s="416"/>
      <c r="AH2" s="416"/>
      <c r="AI2" s="416"/>
      <c r="AJ2" s="416"/>
      <c r="AK2" s="416"/>
      <c r="AL2" s="416"/>
      <c r="AM2" s="416"/>
      <c r="AN2" s="416"/>
      <c r="AO2" s="416"/>
      <c r="AP2" s="416"/>
      <c r="AQ2" s="416"/>
      <c r="AR2" s="416"/>
      <c r="AS2" s="416"/>
      <c r="AT2" s="416"/>
      <c r="AU2" s="416"/>
      <c r="AV2" s="416"/>
      <c r="AW2" s="416"/>
      <c r="AX2" s="416"/>
      <c r="AY2" s="416"/>
      <c r="AZ2" s="416"/>
      <c r="BA2" s="416"/>
      <c r="BB2" s="416"/>
      <c r="BC2" s="416"/>
      <c r="BD2" s="416"/>
      <c r="BE2" s="416"/>
      <c r="BF2" s="416"/>
      <c r="BG2" s="416"/>
      <c r="BH2" s="416"/>
      <c r="BI2" s="416"/>
      <c r="BJ2" s="416"/>
      <c r="BK2" s="416"/>
      <c r="BL2" s="416"/>
      <c r="BM2" s="416"/>
      <c r="BN2" s="416"/>
      <c r="BO2" s="416"/>
      <c r="BP2" s="416"/>
      <c r="BQ2" s="416"/>
      <c r="BR2" s="416"/>
      <c r="BS2" s="416"/>
      <c r="BT2" s="416"/>
      <c r="BU2" s="416"/>
      <c r="BV2" s="416"/>
      <c r="BW2" s="416"/>
      <c r="BX2" s="416"/>
      <c r="BY2" s="419"/>
      <c r="BZ2" s="419"/>
      <c r="CA2" s="419"/>
      <c r="CB2" s="419"/>
      <c r="CC2" s="419"/>
      <c r="CD2" s="419"/>
      <c r="CE2" s="419"/>
      <c r="CF2" s="419"/>
      <c r="CG2" s="419"/>
      <c r="CH2" s="419"/>
    </row>
    <row s="2437" customFormat="1" customHeight="1" ht="22.5" hidden="1">
      <c r="A3" s="825"/>
      <c r="B3" s="1155"/>
      <c r="C3" s="1155"/>
      <c r="D3" s="795"/>
      <c r="E3" s="1953"/>
      <c r="F3" s="1953"/>
      <c r="G3" s="2313"/>
      <c r="H3" s="2314"/>
      <c r="I3" s="2316"/>
      <c r="J3" s="1561"/>
      <c r="K3" s="1517"/>
      <c r="L3" s="1517" t="s">
        <v>1138</v>
      </c>
      <c r="M3" s="1564"/>
      <c r="N3" s="1564"/>
      <c r="O3" s="1565"/>
      <c r="P3" s="1552"/>
      <c r="Q3" s="507"/>
      <c r="R3" s="507"/>
      <c r="S3" s="496"/>
      <c r="T3" s="507"/>
      <c r="U3" s="496"/>
      <c r="V3" s="1155"/>
      <c r="W3" s="1155"/>
      <c r="X3" s="417"/>
      <c r="Y3" s="1155"/>
      <c r="Z3" s="1155"/>
      <c r="AA3" s="1155"/>
      <c r="AB3" s="419"/>
      <c r="AC3" s="419"/>
      <c r="AD3" s="416"/>
      <c r="AE3" s="416"/>
      <c r="AF3" s="416"/>
      <c r="AG3" s="416"/>
      <c r="AH3" s="416"/>
      <c r="AI3" s="416"/>
      <c r="AJ3" s="416"/>
      <c r="AK3" s="416"/>
      <c r="AL3" s="416"/>
      <c r="AM3" s="416"/>
      <c r="AN3" s="416"/>
      <c r="AO3" s="416"/>
      <c r="AP3" s="416"/>
      <c r="AQ3" s="416"/>
      <c r="AR3" s="416"/>
      <c r="AS3" s="416"/>
      <c r="AT3" s="416"/>
      <c r="AU3" s="416"/>
      <c r="AV3" s="416"/>
      <c r="AW3" s="416"/>
      <c r="AX3" s="416"/>
      <c r="AY3" s="416"/>
      <c r="AZ3" s="416"/>
      <c r="BA3" s="416"/>
      <c r="BB3" s="416"/>
      <c r="BC3" s="416"/>
      <c r="BD3" s="416"/>
      <c r="BE3" s="416"/>
      <c r="BF3" s="416"/>
      <c r="BG3" s="416"/>
      <c r="BH3" s="416"/>
      <c r="BI3" s="416"/>
      <c r="BJ3" s="416"/>
      <c r="BK3" s="416"/>
      <c r="BL3" s="416"/>
      <c r="BM3" s="416"/>
      <c r="BN3" s="416"/>
      <c r="BO3" s="416"/>
      <c r="BP3" s="416"/>
      <c r="BQ3" s="416"/>
      <c r="BR3" s="416"/>
      <c r="BS3" s="416"/>
      <c r="BT3" s="416"/>
      <c r="BU3" s="416"/>
      <c r="BV3" s="416"/>
      <c r="BW3" s="416"/>
      <c r="BX3" s="416"/>
      <c r="BY3" s="419"/>
      <c r="BZ3" s="419"/>
      <c r="CA3" s="419"/>
      <c r="CB3" s="419"/>
      <c r="CC3" s="419"/>
      <c r="CD3" s="419"/>
      <c r="CE3" s="419"/>
      <c r="CF3" s="419"/>
      <c r="CG3" s="419"/>
      <c r="CH3" s="419"/>
    </row>
    <row s="1667" customFormat="1" customHeight="1" ht="5.25" hidden="1">
      <c r="A4" s="492"/>
      <c r="D4" s="490"/>
      <c r="G4" s="226" t="s">
        <v>82</v>
      </c>
      <c r="H4" s="490" t="s">
        <v>83</v>
      </c>
      <c r="I4" s="490"/>
      <c r="J4" s="1566"/>
      <c r="K4" s="1566"/>
      <c r="L4" s="1566"/>
      <c r="M4" s="1566"/>
      <c r="N4" s="1566"/>
      <c r="O4" s="1566"/>
      <c r="P4" s="226" t="s">
        <v>82</v>
      </c>
      <c r="Q4" s="226"/>
      <c r="R4" s="226"/>
      <c r="S4" s="226"/>
      <c r="T4" s="227"/>
      <c r="U4" s="226"/>
      <c r="V4" s="226"/>
      <c r="W4" s="226"/>
      <c r="X4" s="226"/>
      <c r="Y4" s="22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c r="GO4" s="206"/>
      <c r="GP4" s="206"/>
      <c r="GQ4" s="206"/>
      <c r="GR4" s="206"/>
      <c r="GS4" s="206"/>
      <c r="GT4" s="206"/>
      <c r="GU4" s="206"/>
      <c r="GV4" s="206"/>
      <c r="GW4" s="206"/>
      <c r="GX4" s="206"/>
      <c r="GY4" s="206"/>
      <c r="GZ4" s="206"/>
      <c r="HA4" s="206"/>
      <c r="HB4" s="206"/>
      <c r="HC4" s="206"/>
      <c r="HD4" s="206"/>
      <c r="HE4" s="206"/>
      <c r="HF4" s="206"/>
      <c r="HG4" s="206"/>
      <c r="HH4" s="206"/>
      <c r="HI4" s="206"/>
      <c r="HJ4" s="206"/>
      <c r="HK4" s="206"/>
      <c r="HL4" s="206"/>
      <c r="HM4" s="206"/>
      <c r="HN4" s="206"/>
      <c r="HO4" s="206"/>
      <c r="HP4" s="206"/>
      <c r="HQ4" s="206"/>
      <c r="HR4" s="206"/>
      <c r="HS4" s="206"/>
      <c r="HT4" s="206"/>
      <c r="HU4" s="206"/>
      <c r="HV4" s="206"/>
      <c r="HW4" s="206"/>
      <c r="HX4" s="206"/>
      <c r="HY4" s="206"/>
      <c r="HZ4" s="206"/>
      <c r="IA4" s="206"/>
      <c r="IB4" s="206"/>
      <c r="IC4" s="206"/>
      <c r="ID4" s="206"/>
      <c r="IE4" s="206"/>
      <c r="IF4" s="206"/>
      <c r="IG4" s="206"/>
      <c r="IH4" s="206"/>
      <c r="II4" s="206"/>
      <c r="IJ4" s="206"/>
      <c r="IK4" s="206"/>
      <c r="IL4" s="206"/>
      <c r="IM4" s="206"/>
      <c r="IN4" s="206"/>
      <c r="IO4" s="206"/>
      <c r="IP4" s="206"/>
      <c r="IQ4" s="206"/>
      <c r="IR4" s="206"/>
      <c r="IS4" s="206"/>
      <c r="IT4" s="206"/>
      <c r="IU4" s="206"/>
      <c r="IV4" s="206"/>
      <c r="IW4" s="206"/>
      <c r="IX4" s="206"/>
      <c r="IY4" s="206"/>
    </row>
    <row s="1844" customFormat="1" customHeight="1" ht="14.25">
      <c r="A5" s="1150"/>
      <c r="B5" s="1155"/>
      <c r="C5" s="1150"/>
      <c r="D5" s="1512"/>
      <c r="E5" s="505"/>
      <c r="F5" s="505"/>
      <c r="G5" s="505"/>
      <c r="H5" s="505"/>
      <c r="I5" s="505"/>
      <c r="J5" s="505"/>
      <c r="K5" s="505"/>
      <c r="L5" s="505"/>
      <c r="M5" s="505"/>
      <c r="N5" s="505"/>
      <c r="O5" s="505"/>
      <c r="P5" s="226"/>
      <c r="Q5" s="496"/>
      <c r="R5" s="496"/>
      <c r="S5" s="496"/>
      <c r="T5" s="205"/>
      <c r="U5" s="496"/>
      <c r="V5" s="204"/>
      <c r="W5" s="204"/>
      <c r="X5" s="204"/>
      <c r="Y5" s="204"/>
    </row>
    <row s="1844" customFormat="1" customHeight="1" ht="25.5">
      <c r="A6" s="1150"/>
      <c r="B6" s="1155"/>
      <c r="C6" s="1150"/>
      <c r="D6" s="1512"/>
      <c r="E6" s="1936" t="s">
        <v>1139</v>
      </c>
      <c r="F6" s="1936"/>
      <c r="G6" s="1936"/>
      <c r="H6" s="1936"/>
      <c r="I6" s="1936"/>
      <c r="J6" s="1936"/>
      <c r="K6" s="1936"/>
      <c r="L6" s="1936"/>
      <c r="M6" s="1936"/>
      <c r="N6" s="1936"/>
      <c r="O6" s="1936"/>
      <c r="P6" s="226"/>
      <c r="Q6" s="496"/>
      <c r="R6" s="496"/>
      <c r="S6" s="496"/>
      <c r="T6" s="205"/>
      <c r="U6" s="496"/>
      <c r="V6" s="204"/>
      <c r="W6" s="204"/>
      <c r="X6" s="204"/>
      <c r="Y6" s="204"/>
    </row>
    <row s="1844" customFormat="1" customHeight="1" ht="14.25">
      <c r="A7" s="1150"/>
      <c r="B7" s="1155"/>
      <c r="C7" s="1150"/>
      <c r="D7" s="1512"/>
      <c r="E7" s="505"/>
      <c r="F7" s="505"/>
      <c r="G7" s="147"/>
      <c r="H7" s="147"/>
      <c r="I7" s="147"/>
      <c r="J7" s="147"/>
      <c r="K7" s="147"/>
      <c r="L7" s="147"/>
      <c r="M7" s="147"/>
      <c r="N7" s="147"/>
      <c r="O7" s="147"/>
      <c r="P7" s="496"/>
      <c r="Q7" s="496"/>
      <c r="R7" s="496"/>
      <c r="S7" s="496"/>
      <c r="T7" s="205"/>
      <c r="U7" s="496"/>
      <c r="V7" s="204"/>
      <c r="W7" s="204"/>
      <c r="X7" s="204"/>
      <c r="Y7" s="204"/>
    </row>
    <row s="1570" customFormat="1" customHeight="1" ht="42.75">
      <c r="A8" s="1485"/>
      <c r="B8" s="1495"/>
      <c r="C8" s="1485"/>
      <c r="D8" s="1512"/>
      <c r="E8" s="1575" t="s">
        <v>313</v>
      </c>
      <c r="F8" s="1575"/>
      <c r="G8" s="1576" t="s">
        <v>317</v>
      </c>
      <c r="H8" s="1576" t="s">
        <v>1140</v>
      </c>
      <c r="I8" s="1576" t="s">
        <v>321</v>
      </c>
      <c r="J8" s="2320"/>
      <c r="K8" s="2321"/>
      <c r="L8" s="2322"/>
      <c r="M8" s="1576" t="s">
        <v>1141</v>
      </c>
      <c r="N8" s="1576" t="s">
        <v>1142</v>
      </c>
      <c r="O8" s="1576" t="s">
        <v>1143</v>
      </c>
      <c r="P8" s="1567"/>
      <c r="Q8" s="1567"/>
      <c r="R8" s="1567"/>
      <c r="S8" s="1567"/>
      <c r="T8" s="1568"/>
      <c r="U8" s="1567"/>
      <c r="V8" s="1569"/>
      <c r="W8" s="1569"/>
      <c r="X8" s="1569"/>
      <c r="Y8" s="1569"/>
    </row>
    <row s="1844" customFormat="1" customHeight="1" ht="47.25">
      <c r="A9" s="1150"/>
      <c r="B9" s="1155"/>
      <c r="C9" s="1150"/>
      <c r="D9" s="1512"/>
      <c r="E9" s="2072" t="s">
        <v>312</v>
      </c>
      <c r="F9" s="2309" t="s">
        <v>87</v>
      </c>
      <c r="G9" s="2309" t="s">
        <v>316</v>
      </c>
      <c r="H9" s="2309" t="s">
        <v>1144</v>
      </c>
      <c r="I9" s="2309"/>
      <c r="J9" s="2309" t="s">
        <v>1145</v>
      </c>
      <c r="K9" s="2309"/>
      <c r="L9" s="2309"/>
      <c r="M9" s="2309" t="s">
        <v>1146</v>
      </c>
      <c r="N9" s="2309" t="s">
        <v>1147</v>
      </c>
      <c r="O9" s="230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496"/>
      <c r="Q9" s="496"/>
      <c r="R9" s="496"/>
      <c r="S9" s="496"/>
      <c r="T9" s="205"/>
      <c r="U9" s="496"/>
      <c r="V9" s="204"/>
      <c r="W9" s="204"/>
      <c r="X9" s="204"/>
      <c r="Y9" s="204"/>
    </row>
    <row s="1844" customFormat="1" customHeight="1" ht="63.75">
      <c r="A10" s="1150"/>
      <c r="B10" s="1155"/>
      <c r="C10" s="1150"/>
      <c r="D10" s="1512"/>
      <c r="E10" s="1953"/>
      <c r="F10" s="2319"/>
      <c r="G10" s="2319"/>
      <c r="H10" s="152" t="s">
        <v>1148</v>
      </c>
      <c r="I10" s="152" t="s">
        <v>320</v>
      </c>
      <c r="J10" s="2308"/>
      <c r="K10" s="2308"/>
      <c r="L10" s="2319"/>
      <c r="M10" s="2319"/>
      <c r="N10" s="2319"/>
      <c r="O10" s="2319"/>
      <c r="P10" s="496"/>
      <c r="Q10" s="496"/>
      <c r="R10" s="496"/>
      <c r="S10" s="496"/>
      <c r="T10" s="205"/>
      <c r="U10" s="496"/>
      <c r="V10" s="204"/>
      <c r="W10" s="204"/>
      <c r="X10" s="204"/>
      <c r="Y10" s="204"/>
    </row>
    <row s="2437" customFormat="1" customHeight="1" ht="22.5">
      <c r="A11" s="1935">
        <v>26379339</v>
      </c>
      <c r="B11" s="1155">
        <v>1</v>
      </c>
      <c r="C11" s="1155"/>
      <c r="D11" s="795"/>
      <c r="E11" s="2072"/>
      <c r="F11" s="2072">
        <v>1</v>
      </c>
      <c r="G11" s="2317" t="str">
        <f>IF(region_name="","",region_name)</f>
        <v>г.Санкт-Петербург</v>
      </c>
      <c r="H11" s="2318"/>
      <c r="I11" s="2323"/>
      <c r="J11" s="470"/>
      <c r="K11" s="1501">
        <v>1</v>
      </c>
      <c r="L11" s="1577"/>
      <c r="M11" s="1563"/>
      <c r="N11" s="1563"/>
      <c r="O11" s="1562"/>
      <c r="P11" s="1552">
        <f>MERGEVALUE(G11)</f>
      </c>
      <c r="Q11" s="507"/>
      <c r="R11" s="507"/>
      <c r="S11" s="496" t="str">
        <f t="array" ref="S11:S11">IF(ISERROR(MATCH(MID(T11,1,250),MID(note_ter,1,250),0)),"n","y")</f>
        <v>n</v>
      </c>
      <c r="T11" s="507"/>
      <c r="U11" s="496"/>
      <c r="V11" s="1155"/>
      <c r="W11" s="1155"/>
      <c r="X11" s="417"/>
      <c r="Y11" s="1155"/>
      <c r="Z11" s="1155"/>
      <c r="AA11" s="1155"/>
      <c r="AB11" s="419"/>
      <c r="AC11" s="419"/>
      <c r="AD11" s="416"/>
      <c r="AE11" s="416"/>
      <c r="AF11" s="416"/>
      <c r="AG11" s="416"/>
      <c r="AH11" s="416"/>
      <c r="AI11" s="416"/>
      <c r="AJ11" s="416"/>
      <c r="AK11" s="416"/>
      <c r="AL11" s="416"/>
      <c r="AM11" s="416"/>
      <c r="AN11" s="416"/>
      <c r="AO11" s="416"/>
      <c r="AP11" s="416"/>
      <c r="AQ11" s="416"/>
      <c r="AR11" s="416"/>
      <c r="AS11" s="416"/>
      <c r="AT11" s="416"/>
      <c r="AU11" s="416"/>
      <c r="AV11" s="416"/>
      <c r="AW11" s="416"/>
      <c r="AX11" s="416"/>
      <c r="AY11" s="416"/>
      <c r="AZ11" s="416"/>
      <c r="BA11" s="416"/>
      <c r="BB11" s="416"/>
      <c r="BC11" s="416"/>
      <c r="BD11" s="416"/>
      <c r="BE11" s="416"/>
      <c r="BF11" s="416"/>
      <c r="BG11" s="416"/>
      <c r="BH11" s="416"/>
      <c r="BI11" s="416"/>
      <c r="BJ11" s="416"/>
      <c r="BK11" s="416"/>
      <c r="BL11" s="416"/>
      <c r="BM11" s="416"/>
      <c r="BN11" s="416"/>
      <c r="BO11" s="416"/>
      <c r="BP11" s="416"/>
      <c r="BQ11" s="416"/>
      <c r="BR11" s="416"/>
      <c r="BS11" s="416"/>
      <c r="BT11" s="416"/>
      <c r="BU11" s="416"/>
      <c r="BV11" s="416"/>
      <c r="BW11" s="416"/>
      <c r="BX11" s="416"/>
      <c r="BY11" s="419"/>
      <c r="BZ11" s="419"/>
      <c r="CA11" s="419"/>
      <c r="CB11" s="419"/>
      <c r="CC11" s="419"/>
      <c r="CD11" s="419"/>
      <c r="CE11" s="419"/>
      <c r="CF11" s="419"/>
      <c r="CG11" s="419"/>
      <c r="CH11" s="419"/>
    </row>
    <row s="2437" customFormat="1" customHeight="1" ht="22.5">
      <c r="A12" s="1935"/>
      <c r="B12" s="1155"/>
      <c r="C12" s="1155"/>
      <c r="D12" s="795"/>
      <c r="E12" s="2072"/>
      <c r="F12" s="2072"/>
      <c r="G12" s="2317"/>
      <c r="H12" s="2318"/>
      <c r="I12" s="2324"/>
      <c r="J12" s="1561"/>
      <c r="K12" s="1517"/>
      <c r="L12" s="1517" t="s">
        <v>1138</v>
      </c>
      <c r="M12" s="1564"/>
      <c r="N12" s="1564"/>
      <c r="O12" s="1565"/>
      <c r="P12" s="1552"/>
      <c r="Q12" s="507"/>
      <c r="R12" s="507"/>
      <c r="S12" s="496"/>
      <c r="T12" s="507"/>
      <c r="U12" s="496"/>
      <c r="V12" s="1155"/>
      <c r="W12" s="1155"/>
      <c r="X12" s="417"/>
      <c r="Y12" s="1155"/>
      <c r="Z12" s="1155"/>
      <c r="AA12" s="1155"/>
      <c r="AB12" s="419"/>
      <c r="AC12" s="419"/>
      <c r="AD12" s="416"/>
      <c r="AE12" s="416"/>
      <c r="AF12" s="416"/>
      <c r="AG12" s="416"/>
      <c r="AH12" s="416"/>
      <c r="AI12" s="416"/>
      <c r="AJ12" s="416"/>
      <c r="AK12" s="416"/>
      <c r="AL12" s="416"/>
      <c r="AM12" s="416"/>
      <c r="AN12" s="416"/>
      <c r="AO12" s="416"/>
      <c r="AP12" s="416"/>
      <c r="AQ12" s="416"/>
      <c r="AR12" s="416"/>
      <c r="AS12" s="416"/>
      <c r="AT12" s="416"/>
      <c r="AU12" s="416"/>
      <c r="AV12" s="416"/>
      <c r="AW12" s="416"/>
      <c r="AX12" s="416"/>
      <c r="AY12" s="416"/>
      <c r="AZ12" s="416"/>
      <c r="BA12" s="416"/>
      <c r="BB12" s="416"/>
      <c r="BC12" s="416"/>
      <c r="BD12" s="416"/>
      <c r="BE12" s="416"/>
      <c r="BF12" s="416"/>
      <c r="BG12" s="416"/>
      <c r="BH12" s="416"/>
      <c r="BI12" s="416"/>
      <c r="BJ12" s="416"/>
      <c r="BK12" s="416"/>
      <c r="BL12" s="416"/>
      <c r="BM12" s="416"/>
      <c r="BN12" s="416"/>
      <c r="BO12" s="416"/>
      <c r="BP12" s="416"/>
      <c r="BQ12" s="416"/>
      <c r="BR12" s="416"/>
      <c r="BS12" s="416"/>
      <c r="BT12" s="416"/>
      <c r="BU12" s="416"/>
      <c r="BV12" s="416"/>
      <c r="BW12" s="416"/>
      <c r="BX12" s="416"/>
      <c r="BY12" s="419"/>
      <c r="BZ12" s="419"/>
      <c r="CA12" s="419"/>
      <c r="CB12" s="419"/>
      <c r="CC12" s="419"/>
      <c r="CD12" s="419"/>
      <c r="CE12" s="419"/>
      <c r="CF12" s="419"/>
      <c r="CG12" s="419"/>
      <c r="CH12" s="419"/>
    </row>
    <row s="2437" customFormat="1" customHeight="1" ht="22.5">
      <c r="A13" s="1935"/>
      <c r="B13" s="1155"/>
      <c r="C13" s="409"/>
      <c r="D13" s="795"/>
      <c r="E13" s="1558"/>
      <c r="F13" s="1561"/>
      <c r="G13" s="1517" t="s">
        <v>1132</v>
      </c>
      <c r="H13" s="1559"/>
      <c r="I13" s="1559"/>
      <c r="J13" s="167"/>
      <c r="K13" s="167"/>
      <c r="L13" s="167"/>
      <c r="M13" s="167"/>
      <c r="N13" s="167"/>
      <c r="O13" s="1560"/>
      <c r="P13" s="1553"/>
      <c r="Q13" s="507"/>
      <c r="R13" s="507"/>
      <c r="S13" s="507"/>
      <c r="T13" s="496"/>
      <c r="U13" s="507"/>
      <c r="V13" s="1155"/>
      <c r="W13" s="1155"/>
      <c r="X13" s="417"/>
      <c r="Y13" s="1155"/>
      <c r="Z13" s="1155"/>
      <c r="AA13" s="1155"/>
      <c r="AB13" s="419"/>
      <c r="AC13" s="419"/>
      <c r="AD13" s="416"/>
      <c r="AE13" s="416"/>
      <c r="AF13" s="416"/>
      <c r="AG13" s="416"/>
      <c r="AH13" s="416"/>
      <c r="AI13" s="416"/>
      <c r="AJ13" s="416"/>
      <c r="AK13" s="416"/>
      <c r="AL13" s="416"/>
      <c r="AM13" s="416"/>
      <c r="AN13" s="416"/>
      <c r="AO13" s="416"/>
      <c r="AP13" s="416"/>
      <c r="AQ13" s="416"/>
      <c r="AR13" s="416"/>
      <c r="AS13" s="416"/>
      <c r="AT13" s="416"/>
      <c r="AU13" s="416"/>
      <c r="AV13" s="416"/>
      <c r="AW13" s="416"/>
      <c r="AX13" s="416"/>
      <c r="AY13" s="416"/>
      <c r="AZ13" s="416"/>
      <c r="BA13" s="416"/>
      <c r="BB13" s="416"/>
      <c r="BC13" s="416"/>
      <c r="BD13" s="416"/>
      <c r="BE13" s="416"/>
      <c r="BF13" s="416"/>
      <c r="BG13" s="416"/>
      <c r="BH13" s="416"/>
      <c r="BI13" s="416"/>
      <c r="BJ13" s="416"/>
      <c r="BK13" s="416"/>
      <c r="BL13" s="416"/>
      <c r="BM13" s="416"/>
      <c r="BN13" s="416"/>
      <c r="BO13" s="416"/>
      <c r="BP13" s="416"/>
      <c r="BQ13" s="416"/>
      <c r="BR13" s="416"/>
      <c r="BS13" s="416"/>
      <c r="BT13" s="416"/>
      <c r="BU13" s="416"/>
      <c r="BV13" s="416"/>
      <c r="BW13" s="416"/>
      <c r="BX13" s="416"/>
      <c r="BY13" s="419"/>
      <c r="BZ13" s="419"/>
      <c r="CA13" s="419"/>
      <c r="CB13" s="419"/>
      <c r="CC13" s="419"/>
      <c r="CD13" s="419"/>
      <c r="CE13" s="419"/>
      <c r="CF13" s="419"/>
      <c r="CG13" s="419"/>
      <c r="CH13" s="419"/>
    </row>
    <row s="1844" customFormat="1" customHeight="1" ht="21">
      <c r="A14" s="1150"/>
      <c r="B14" s="1155"/>
      <c r="C14" s="1150"/>
      <c r="D14" s="447"/>
      <c r="E14" s="160"/>
      <c r="F14" s="160"/>
      <c r="G14" s="160"/>
      <c r="H14" s="160"/>
      <c r="I14" s="160"/>
      <c r="J14" s="160"/>
      <c r="K14" s="160"/>
      <c r="L14" s="160"/>
      <c r="M14" s="160"/>
      <c r="N14" s="505"/>
      <c r="O14" s="505"/>
      <c r="P14" s="496"/>
      <c r="Q14" s="496"/>
      <c r="R14" s="496"/>
      <c r="S14" s="496"/>
      <c r="T14" s="205"/>
      <c r="U14" s="496"/>
      <c r="V14" s="204"/>
      <c r="W14" s="204"/>
      <c r="X14" s="204"/>
      <c r="Y14" s="204"/>
    </row>
    <row s="1844" customFormat="1" customHeight="1" ht="14.25">
      <c r="A15" s="1150"/>
      <c r="B15" s="1155"/>
      <c r="C15" s="1150"/>
      <c r="D15" s="447"/>
      <c r="E15" s="1150"/>
      <c r="F15" s="1150"/>
      <c r="G15" s="1150"/>
      <c r="H15" s="1150"/>
      <c r="I15" s="1150"/>
      <c r="J15" s="1150"/>
      <c r="K15" s="1150"/>
      <c r="L15" s="1150"/>
      <c r="M15" s="1150"/>
      <c r="N15" s="1150"/>
      <c r="O15" s="1150"/>
      <c r="P15" s="496"/>
      <c r="Q15" s="496"/>
      <c r="R15" s="496"/>
      <c r="S15" s="496"/>
      <c r="T15" s="205"/>
      <c r="U15" s="496"/>
      <c r="V15" s="204"/>
      <c r="W15" s="204"/>
      <c r="X15" s="204"/>
      <c r="Y15" s="204"/>
    </row>
    <row s="1844" customFormat="1" customHeight="1" ht="0.75">
      <c r="A16" s="1150"/>
      <c r="B16" s="1155"/>
      <c r="C16" s="1150"/>
      <c r="D16" s="447"/>
      <c r="E16" s="1150"/>
      <c r="F16" s="1150"/>
      <c r="G16" s="1150"/>
      <c r="H16" s="1150"/>
      <c r="I16" s="1150"/>
      <c r="J16" s="1150"/>
      <c r="K16" s="1150"/>
      <c r="L16" s="1150"/>
      <c r="M16" s="1150"/>
      <c r="N16" s="1150"/>
      <c r="O16" s="1150"/>
      <c r="P16" s="496"/>
      <c r="Q16" s="496"/>
      <c r="R16" s="496"/>
      <c r="S16" s="496"/>
      <c r="T16" s="205"/>
      <c r="U16" s="496"/>
      <c r="V16" s="204"/>
      <c r="W16" s="204"/>
      <c r="X16" s="204"/>
      <c r="Y16" s="204"/>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C3C238-F66F-478E-475A-AC8D8FD248A4}"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243" width="9.140625" hidden="1"/>
    <col min="3" max="3" style="70" width="3.7109375" customWidth="1"/>
    <col min="4" max="4" style="243" width="6.28125" customWidth="1"/>
    <col min="5" max="5" style="243" width="94.8515625" customWidth="1"/>
    <col min="6" max="12" style="243" width="9.140625"/>
  </cols>
  <sheetData>
    <row customHeight="1" ht="14.25" hidden="1">
      <c r="L1" s="243"/>
    </row>
    <row customHeight="1" ht="14.25" hidden="1"/>
    <row customHeight="1" ht="14.25" hidden="1"/>
    <row customHeight="1" ht="14.25" hidden="1"/>
    <row customHeight="1" ht="14.25" hidden="1"/>
    <row customHeight="1" ht="3">
      <c r="C6" s="71"/>
      <c r="D6" s="51"/>
      <c r="E6" s="51"/>
    </row>
    <row customHeight="1" ht="22.5">
      <c r="C7" s="71"/>
      <c r="D7" s="1936" t="s">
        <v>1149</v>
      </c>
      <c r="E7" s="1936"/>
      <c r="F7" s="246"/>
    </row>
    <row customHeight="1" ht="3">
      <c r="C8" s="71"/>
      <c r="D8" s="51"/>
      <c r="E8" s="51"/>
    </row>
    <row customHeight="1" ht="15.75">
      <c r="C9" s="71"/>
      <c r="D9" s="85" t="s">
        <v>87</v>
      </c>
      <c r="E9" s="88" t="s">
        <v>299</v>
      </c>
    </row>
    <row customHeight="1" ht="12">
      <c r="C10" s="71"/>
      <c r="D10" s="68" t="s">
        <v>108</v>
      </c>
      <c r="E10" s="68" t="s">
        <v>109</v>
      </c>
    </row>
    <row customHeight="1" ht="15" hidden="1">
      <c r="C11" s="71"/>
      <c r="D11" s="93">
        <v>0</v>
      </c>
      <c r="E11" s="129"/>
    </row>
    <row customHeight="1" ht="14.25">
      <c r="C12" s="71"/>
      <c r="D12" s="89"/>
      <c r="E12" s="87" t="s">
        <v>1109</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A6426A-BEA1-250E-FFE7-870F58CCB9F1}"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2437" width="1.7109375" customWidth="1"/>
    <col min="2" max="2" style="2437" width="34.57421875" customWidth="1"/>
    <col min="3" max="3" style="2437" width="85.57421875" customWidth="1"/>
    <col min="4" max="4" style="2437" width="17.7109375" customWidth="1"/>
    <col min="5" max="5" style="2437" width="9.140625"/>
  </cols>
  <sheetData>
    <row customHeight="1" ht="3"/>
    <row customHeight="1" ht="22.5">
      <c r="B2" s="5602" t="s">
        <v>1150</v>
      </c>
      <c r="C2" s="2325"/>
      <c r="D2" s="2325"/>
      <c r="E2" s="247"/>
    </row>
    <row customHeight="1" ht="3"/>
    <row customHeight="1" ht="21.75">
      <c r="B4" s="5603" t="s">
        <v>1151</v>
      </c>
      <c r="C4" s="380" t="s">
        <v>1152</v>
      </c>
      <c r="D4" s="380" t="s">
        <v>1153</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811CDA-DCB8-AC2A-3B56-84A7AF1C43A4}"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2437" width="26.57421875" customWidth="1"/>
    <col min="2" max="2" style="2437" width="10.00390625" customWidth="1"/>
    <col min="3" max="3" style="2437" width="9.140625"/>
    <col min="4" max="4" style="2437" width="11.140625" customWidth="1"/>
    <col min="5" max="5" style="2437" width="16.57421875" customWidth="1"/>
    <col min="6" max="6" style="2437" width="16.28125" customWidth="1"/>
    <col min="7" max="7" style="2437" width="19.140625" customWidth="1"/>
    <col min="8" max="11" style="2437" width="10.00390625" customWidth="1"/>
    <col min="12" max="12" style="2437" width="12.7109375" customWidth="1"/>
    <col min="13" max="13" style="2437" width="61.28125" customWidth="1"/>
    <col min="14" max="14" style="2437" width="10.00390625" customWidth="1"/>
    <col min="15" max="17" style="2437" width="23.7109375" customWidth="1"/>
    <col min="18" max="18" style="2437" width="11.7109375" customWidth="1"/>
    <col min="19" max="19" style="2437" width="8.57421875" customWidth="1"/>
    <col min="20" max="20" style="2437" width="11.7109375" customWidth="1"/>
    <col min="21" max="21" style="2437" width="8.57421875" customWidth="1"/>
    <col min="22" max="22" style="2437" width="4.7109375" customWidth="1"/>
    <col min="23" max="23" style="2437" width="115.7109375" customWidth="1"/>
    <col min="24" max="24" style="2437" width="115.28125" customWidth="1"/>
    <col min="25" max="27" style="2437" width="9.140625"/>
    <col min="28" max="28" style="2437" width="115.7109375" customWidth="1"/>
    <col min="29" max="29" style="2437" width="9.140625"/>
    <col min="30" max="90" style="2437" width="115.7109375" customWidth="1"/>
    <col min="91" max="184" style="2437" width="9.140625"/>
  </cols>
  <sheetData>
    <row r="2" s="1840" customFormat="1" customHeight="1" ht="17.25">
      <c r="A2" s="1840" t="s">
        <v>1154</v>
      </c>
    </row>
    <row r="4" s="243" customFormat="1" customHeight="1" ht="15">
      <c r="C4" s="1841"/>
      <c r="D4" s="93"/>
      <c r="E4" s="371"/>
    </row>
    <row r="6" s="1840" customFormat="1" customHeight="1" ht="17.25">
      <c r="A6" s="1840" t="s">
        <v>1155</v>
      </c>
    </row>
    <row r="8" s="243" customFormat="1" customHeight="1" ht="17.25">
      <c r="C8" s="1842"/>
      <c r="D8" s="93"/>
      <c r="E8" s="94"/>
    </row>
    <row r="11" s="1840" customFormat="1" customHeight="1" ht="17.25">
      <c r="A11" s="1840" t="s">
        <v>1156</v>
      </c>
    </row>
    <row r="13" s="1844" customFormat="1" customHeight="1" ht="15">
      <c r="A13" s="2064">
        <v>1</v>
      </c>
      <c r="B13" s="1155"/>
      <c r="C13" s="795" t="s">
        <v>163</v>
      </c>
      <c r="D13" s="1843"/>
      <c r="E13" s="1830">
        <f>A13</f>
        <v>1</v>
      </c>
      <c r="F13" s="798"/>
      <c r="G13" s="536" t="str">
        <f>"Территория "&amp;E13</f>
        <v>Территория 1</v>
      </c>
      <c r="H13" s="786"/>
      <c r="I13" s="786"/>
      <c r="J13" s="783"/>
      <c r="K13" s="1649"/>
      <c r="L13" s="1649"/>
      <c r="M13" s="1649"/>
      <c r="N13" s="205"/>
      <c r="O13" s="1649"/>
      <c r="P13" s="204"/>
      <c r="Q13" s="204"/>
      <c r="R13" s="204"/>
      <c r="S13" s="204"/>
    </row>
    <row s="2437" customFormat="1" customHeight="1" ht="15">
      <c r="A14" s="2064"/>
      <c r="B14" s="1155">
        <v>1</v>
      </c>
      <c r="C14" s="1155"/>
      <c r="D14" s="794"/>
      <c r="E14" s="1838" t="str">
        <f>A13&amp;"."&amp;B14</f>
        <v>1.1</v>
      </c>
      <c r="F14" s="797">
        <f>$F$20</f>
        <v>0</v>
      </c>
      <c r="G14" s="787"/>
      <c r="H14" s="787"/>
      <c r="I14" s="785"/>
      <c r="J14" s="1649"/>
      <c r="K14" s="1661"/>
      <c r="L14" s="1661"/>
      <c r="M14" s="1649" t="str">
        <f t="array" ref="M14:M14">IF(ISERROR(MATCH(MID(N14,1,250),MID(note_ter,1,250),0)),"n","y")</f>
        <v>n</v>
      </c>
      <c r="N14" s="1661"/>
      <c r="O14" s="1649" t="str">
        <f>H14&amp;"("&amp;I14&amp;")"</f>
        <v>()</v>
      </c>
      <c r="P14" s="1155"/>
      <c r="Q14" s="1155"/>
      <c r="R14" s="417"/>
      <c r="S14" s="1155"/>
      <c r="T14" s="1155"/>
      <c r="U14" s="1155"/>
      <c r="V14" s="419"/>
      <c r="W14" s="419"/>
      <c r="X14" s="416"/>
      <c r="Y14" s="416"/>
      <c r="Z14" s="416"/>
      <c r="AA14" s="416"/>
      <c r="AB14" s="416"/>
      <c r="AC14" s="416"/>
      <c r="AD14" s="416"/>
      <c r="AE14" s="416"/>
      <c r="AF14" s="416"/>
      <c r="AG14" s="416"/>
      <c r="AH14" s="416"/>
      <c r="AI14" s="416"/>
      <c r="AJ14" s="416"/>
      <c r="AK14" s="416"/>
      <c r="AL14" s="416"/>
      <c r="AM14" s="416"/>
      <c r="AN14" s="416"/>
      <c r="AO14" s="416"/>
      <c r="AP14" s="416"/>
      <c r="AQ14" s="416"/>
      <c r="AR14" s="416"/>
      <c r="AS14" s="416"/>
      <c r="AT14" s="416"/>
      <c r="AU14" s="416"/>
      <c r="AV14" s="416"/>
      <c r="AW14" s="416"/>
      <c r="AX14" s="416"/>
      <c r="AY14" s="416"/>
      <c r="AZ14" s="416"/>
      <c r="BA14" s="416"/>
      <c r="BB14" s="416"/>
      <c r="BC14" s="416"/>
      <c r="BD14" s="416"/>
      <c r="BE14" s="416"/>
      <c r="BF14" s="416"/>
      <c r="BG14" s="416"/>
      <c r="BH14" s="416"/>
      <c r="BI14" s="416"/>
      <c r="BJ14" s="416"/>
      <c r="BK14" s="416"/>
      <c r="BL14" s="416"/>
      <c r="BM14" s="416"/>
      <c r="BN14" s="416"/>
      <c r="BO14" s="416"/>
      <c r="BP14" s="416"/>
      <c r="BQ14" s="416"/>
      <c r="BR14" s="416"/>
      <c r="BS14" s="419"/>
      <c r="BT14" s="419"/>
      <c r="BU14" s="419"/>
      <c r="BV14" s="419"/>
      <c r="BW14" s="419"/>
      <c r="BX14" s="419"/>
      <c r="BY14" s="419"/>
      <c r="BZ14" s="419"/>
      <c r="CA14" s="419"/>
      <c r="CB14" s="419"/>
    </row>
    <row s="2437" customFormat="1" customHeight="1" ht="15">
      <c r="A15" s="2064"/>
      <c r="B15" s="1155"/>
      <c r="C15" s="409"/>
      <c r="D15" s="795"/>
      <c r="E15" s="418"/>
      <c r="F15" s="157"/>
      <c r="G15" s="412" t="s">
        <v>101</v>
      </c>
      <c r="H15" s="167"/>
      <c r="I15" s="420"/>
      <c r="J15" s="1661"/>
      <c r="K15" s="1661"/>
      <c r="L15" s="1661"/>
      <c r="M15" s="1661"/>
      <c r="N15" s="1649"/>
      <c r="O15" s="1661"/>
      <c r="P15" s="1155"/>
      <c r="Q15" s="1155"/>
      <c r="R15" s="417"/>
      <c r="S15" s="1155"/>
      <c r="T15" s="1155"/>
      <c r="U15" s="1155"/>
      <c r="V15" s="419"/>
      <c r="W15" s="419"/>
      <c r="X15" s="416"/>
      <c r="Y15" s="416"/>
      <c r="Z15" s="416"/>
      <c r="AA15" s="416"/>
      <c r="AB15" s="416"/>
      <c r="AC15" s="416"/>
      <c r="AD15" s="416"/>
      <c r="AE15" s="416"/>
      <c r="AF15" s="416"/>
      <c r="AG15" s="416"/>
      <c r="AH15" s="416"/>
      <c r="AI15" s="416"/>
      <c r="AJ15" s="416"/>
      <c r="AK15" s="416"/>
      <c r="AL15" s="416"/>
      <c r="AM15" s="416"/>
      <c r="AN15" s="416"/>
      <c r="AO15" s="416"/>
      <c r="AP15" s="416"/>
      <c r="AQ15" s="416"/>
      <c r="AR15" s="416"/>
      <c r="AS15" s="416"/>
      <c r="AT15" s="416"/>
      <c r="AU15" s="416"/>
      <c r="AV15" s="416"/>
      <c r="AW15" s="416"/>
      <c r="AX15" s="416"/>
      <c r="AY15" s="416"/>
      <c r="AZ15" s="416"/>
      <c r="BA15" s="416"/>
      <c r="BB15" s="416"/>
      <c r="BC15" s="416"/>
      <c r="BD15" s="416"/>
      <c r="BE15" s="416"/>
      <c r="BF15" s="416"/>
      <c r="BG15" s="416"/>
      <c r="BH15" s="416"/>
      <c r="BI15" s="416"/>
      <c r="BJ15" s="416"/>
      <c r="BK15" s="416"/>
      <c r="BL15" s="416"/>
      <c r="BM15" s="416"/>
      <c r="BN15" s="416"/>
      <c r="BO15" s="416"/>
      <c r="BP15" s="416"/>
      <c r="BQ15" s="416"/>
      <c r="BR15" s="416"/>
      <c r="BS15" s="419"/>
      <c r="BT15" s="419"/>
      <c r="BU15" s="419"/>
      <c r="BV15" s="419"/>
      <c r="BW15" s="419"/>
      <c r="BX15" s="419"/>
      <c r="BY15" s="419"/>
      <c r="BZ15" s="419"/>
      <c r="CA15" s="419"/>
      <c r="CB15" s="419"/>
    </row>
    <row r="17" s="1840" customFormat="1" customHeight="1" ht="17.25">
      <c r="A17" s="1840" t="s">
        <v>1157</v>
      </c>
    </row>
    <row r="19" s="2437" customFormat="1" customHeight="1" ht="15">
      <c r="A19" s="1907"/>
      <c r="B19" s="1383">
        <v>1</v>
      </c>
      <c r="C19" s="1383"/>
      <c r="D19" s="794" t="s">
        <v>163</v>
      </c>
      <c r="E19" s="1903"/>
      <c r="F19" s="1908">
        <f>$F$20</f>
        <v>0</v>
      </c>
      <c r="G19" s="1912"/>
      <c r="H19" s="1912"/>
      <c r="I19" s="1910"/>
      <c r="J19" s="1649"/>
      <c r="K19" s="1661"/>
      <c r="L19" s="1661"/>
      <c r="M19" s="1649" t="str">
        <f t="array" ref="M19:M19">IF(ISERROR(MATCH(MID(N19,1,250),MID(note_ter,1,250),0)),"n","y")</f>
        <v>n</v>
      </c>
      <c r="N19" s="1661"/>
      <c r="O19" s="1649" t="str">
        <f>H19&amp;"("&amp;I19&amp;")"</f>
        <v>()</v>
      </c>
      <c r="P19" s="1383"/>
      <c r="Q19" s="1383"/>
      <c r="R19" s="417"/>
      <c r="S19" s="1383"/>
      <c r="T19" s="1383"/>
      <c r="U19" s="1383"/>
      <c r="V19" s="827"/>
      <c r="W19" s="827"/>
      <c r="X19" s="622"/>
      <c r="Y19" s="622"/>
      <c r="Z19" s="622"/>
      <c r="AA19" s="622"/>
      <c r="AB19" s="622"/>
      <c r="AC19" s="622"/>
      <c r="AD19" s="622"/>
      <c r="AE19" s="622"/>
      <c r="AF19" s="622"/>
      <c r="AG19" s="622"/>
      <c r="AH19" s="622"/>
      <c r="AI19" s="622"/>
      <c r="AJ19" s="622"/>
      <c r="AK19" s="622"/>
      <c r="AL19" s="622"/>
      <c r="AM19" s="622"/>
      <c r="AN19" s="622"/>
      <c r="AO19" s="622"/>
      <c r="AP19" s="622"/>
      <c r="AQ19" s="622"/>
      <c r="AR19" s="622"/>
      <c r="AS19" s="622"/>
      <c r="AT19" s="622"/>
      <c r="AU19" s="622"/>
      <c r="AV19" s="622"/>
      <c r="AW19" s="622"/>
      <c r="AX19" s="622"/>
      <c r="AY19" s="622"/>
      <c r="AZ19" s="622"/>
      <c r="BA19" s="622"/>
      <c r="BB19" s="622"/>
      <c r="BC19" s="622"/>
      <c r="BD19" s="622"/>
      <c r="BE19" s="622"/>
      <c r="BF19" s="622"/>
      <c r="BG19" s="622"/>
      <c r="BH19" s="622"/>
      <c r="BI19" s="622"/>
      <c r="BJ19" s="622"/>
      <c r="BK19" s="622"/>
      <c r="BL19" s="622"/>
      <c r="BM19" s="622"/>
      <c r="BN19" s="622"/>
      <c r="BO19" s="622"/>
      <c r="BP19" s="622"/>
      <c r="BQ19" s="622"/>
      <c r="BR19" s="622"/>
      <c r="BS19" s="827"/>
      <c r="BT19" s="827"/>
      <c r="BU19" s="827"/>
      <c r="BV19" s="827"/>
      <c r="BW19" s="827"/>
      <c r="BX19" s="827"/>
      <c r="BY19" s="827"/>
      <c r="BZ19" s="827"/>
      <c r="CA19" s="827"/>
      <c r="CB19" s="827"/>
    </row>
    <row r="21" s="2437" customFormat="1" customHeight="1" ht="15">
      <c r="A21" s="1840" t="s">
        <v>1158</v>
      </c>
      <c r="B21" s="1840"/>
      <c r="C21" s="1840"/>
      <c r="D21" s="1840"/>
      <c r="E21" s="1840"/>
      <c r="F21" s="1840"/>
      <c r="G21" s="1840"/>
      <c r="H21" s="1840"/>
      <c r="I21" s="1840"/>
      <c r="J21" s="1840"/>
      <c r="K21" s="1840"/>
      <c r="L21" s="1840"/>
      <c r="M21" s="1840"/>
      <c r="N21" s="1840"/>
      <c r="O21" s="1840"/>
      <c r="P21" s="1840"/>
      <c r="Q21" s="1840"/>
      <c r="R21" s="1840"/>
      <c r="S21" s="1840"/>
      <c r="T21" s="1840"/>
      <c r="U21" s="164"/>
      <c r="V21" s="1840"/>
      <c r="W21" s="1840"/>
    </row>
    <row s="2437" customFormat="1" customHeight="1" ht="15">
      <c r="U22" s="165"/>
    </row>
    <row s="1877" customFormat="1" customHeight="1" ht="15">
      <c r="A23" s="0"/>
      <c r="B23" s="0"/>
      <c r="C23" s="1752" t="s">
        <v>163</v>
      </c>
      <c r="D23" s="1964" t="s">
        <v>108</v>
      </c>
      <c r="E23" s="1965"/>
      <c r="F23" s="1963" t="s">
        <v>56</v>
      </c>
      <c r="G23" s="2376"/>
      <c r="H23" s="1953">
        <v>1</v>
      </c>
      <c r="I23" s="2378" t="str">
        <f>IF(U23="","",INDEX(TERRITORY_MR_LIST,MATCH(U23,TERRITORY_LIST_ID,0)))</f>
        <v/>
      </c>
      <c r="J23" s="1963" t="s">
        <v>56</v>
      </c>
      <c r="K23" s="826"/>
      <c r="L23" s="1807" t="s">
        <v>108</v>
      </c>
      <c r="M23" s="599"/>
      <c r="N23" s="600"/>
      <c r="O23" s="600"/>
      <c r="P23" s="600"/>
      <c r="Q23" s="600"/>
      <c r="R23" s="600"/>
      <c r="S23" s="600"/>
      <c r="T23" s="600"/>
      <c r="U23" s="601"/>
      <c r="V23" s="600"/>
      <c r="W23" s="600"/>
      <c r="X23" s="591"/>
      <c r="Y23" s="591" t="s">
        <v>117</v>
      </c>
      <c r="Z23" s="591">
        <v>1705000</v>
      </c>
      <c r="AA23" s="591"/>
      <c r="AB23" s="591"/>
      <c r="AC23" s="591"/>
      <c r="AD23" s="591"/>
      <c r="AE23" s="591"/>
      <c r="AF23" s="591"/>
      <c r="AG23" s="591"/>
      <c r="AH23" s="591"/>
      <c r="AI23" s="591"/>
      <c r="AJ23" s="591"/>
      <c r="AK23" s="591"/>
      <c r="AL23" s="591"/>
    </row>
    <row s="1877" customFormat="1" customHeight="1" ht="15">
      <c r="A24" s="0"/>
      <c r="B24" s="0"/>
      <c r="C24" s="156"/>
      <c r="D24" s="1964"/>
      <c r="E24" s="1966"/>
      <c r="F24" s="1963"/>
      <c r="G24" s="2377"/>
      <c r="H24" s="1953"/>
      <c r="I24" s="2379"/>
      <c r="J24" s="1963"/>
      <c r="K24" s="418"/>
      <c r="L24" s="157"/>
      <c r="M24" s="603" t="s">
        <v>118</v>
      </c>
      <c r="N24" s="600"/>
      <c r="O24" s="600"/>
      <c r="P24" s="600"/>
      <c r="Q24" s="600"/>
      <c r="R24" s="600"/>
      <c r="S24" s="600"/>
      <c r="T24" s="600"/>
      <c r="U24" s="601"/>
      <c r="V24" s="600"/>
      <c r="W24" s="600"/>
      <c r="X24" s="591"/>
      <c r="Y24" s="591"/>
      <c r="Z24" s="591"/>
      <c r="AA24" s="591"/>
      <c r="AB24" s="591"/>
      <c r="AC24" s="591"/>
      <c r="AD24" s="591"/>
      <c r="AE24" s="591"/>
      <c r="AF24" s="591"/>
      <c r="AG24" s="591"/>
      <c r="AH24" s="591"/>
      <c r="AI24" s="591"/>
      <c r="AJ24" s="591"/>
      <c r="AK24" s="591"/>
      <c r="AL24" s="591"/>
    </row>
    <row s="1877" customFormat="1" customHeight="1" ht="15">
      <c r="A25" s="0"/>
      <c r="B25" s="0"/>
      <c r="C25" s="156"/>
      <c r="D25" s="1964"/>
      <c r="E25" s="1967"/>
      <c r="F25" s="1963"/>
      <c r="G25" s="418"/>
      <c r="H25" s="157"/>
      <c r="I25" s="576" t="s">
        <v>119</v>
      </c>
      <c r="J25" s="157"/>
      <c r="K25" s="157"/>
      <c r="L25" s="157"/>
      <c r="M25" s="604"/>
      <c r="N25" s="600"/>
      <c r="O25" s="600"/>
      <c r="P25" s="600"/>
      <c r="Q25" s="600"/>
      <c r="R25" s="600"/>
      <c r="S25" s="600"/>
      <c r="T25" s="600"/>
      <c r="U25" s="601"/>
      <c r="V25" s="600"/>
      <c r="W25" s="600"/>
      <c r="X25" s="591"/>
      <c r="Y25" s="591"/>
      <c r="Z25" s="591"/>
      <c r="AA25" s="591"/>
      <c r="AB25" s="591"/>
      <c r="AC25" s="591"/>
      <c r="AD25" s="591"/>
      <c r="AE25" s="591"/>
      <c r="AF25" s="591"/>
      <c r="AG25" s="591"/>
      <c r="AH25" s="591"/>
      <c r="AI25" s="591"/>
      <c r="AJ25" s="591"/>
      <c r="AK25" s="591"/>
      <c r="AL25" s="591"/>
    </row>
    <row s="2437" customFormat="1" customHeight="1" ht="15">
      <c r="U26" s="165"/>
    </row>
    <row s="2437" customFormat="1" customHeight="1" ht="15">
      <c r="A27" s="1840" t="s">
        <v>1159</v>
      </c>
      <c r="B27" s="1840"/>
      <c r="C27" s="1840"/>
      <c r="D27" s="1840"/>
      <c r="E27" s="1840"/>
      <c r="F27" s="1840"/>
      <c r="G27" s="1840"/>
      <c r="H27" s="1840"/>
      <c r="I27" s="1840"/>
      <c r="J27" s="1840"/>
      <c r="K27" s="1840"/>
      <c r="L27" s="1840"/>
      <c r="M27" s="1840"/>
      <c r="N27" s="1840"/>
      <c r="O27" s="1840"/>
      <c r="P27" s="1840"/>
      <c r="Q27" s="1840"/>
      <c r="R27" s="1840"/>
      <c r="S27" s="1840"/>
      <c r="T27" s="1840"/>
      <c r="U27" s="164"/>
      <c r="V27" s="1840"/>
      <c r="W27" s="1840"/>
    </row>
    <row s="2437" customFormat="1" customHeight="1" ht="15">
      <c r="U28" s="165"/>
    </row>
    <row s="1877" customFormat="1" customHeight="1" ht="15">
      <c r="A29" s="0"/>
      <c r="B29" s="0"/>
      <c r="C29" s="156"/>
      <c r="D29" s="1846"/>
      <c r="E29" s="1846"/>
      <c r="F29" s="1846"/>
      <c r="G29" s="2380" t="s">
        <v>163</v>
      </c>
      <c r="H29" s="1939">
        <v>1</v>
      </c>
      <c r="I29" s="2381" t="str">
        <f>IF(U29="","",INDEX(TERRITORY_MR_LIST,MATCH(U29,TERRITORY_LIST_ID,0)))</f>
        <v/>
      </c>
      <c r="J29" s="1963" t="s">
        <v>56</v>
      </c>
      <c r="K29" s="826"/>
      <c r="L29" s="1807" t="s">
        <v>108</v>
      </c>
      <c r="M29" s="599"/>
      <c r="N29" s="600"/>
      <c r="O29" s="600"/>
      <c r="P29" s="600"/>
      <c r="Q29" s="600"/>
      <c r="R29" s="600"/>
      <c r="S29" s="600"/>
      <c r="T29" s="600"/>
      <c r="U29" s="601"/>
      <c r="V29" s="600"/>
      <c r="W29" s="600"/>
      <c r="X29" s="591"/>
      <c r="Y29" s="591" t="s">
        <v>117</v>
      </c>
      <c r="Z29" s="591">
        <v>1705000</v>
      </c>
      <c r="AA29" s="591"/>
      <c r="AB29" s="591"/>
      <c r="AC29" s="591"/>
      <c r="AD29" s="591"/>
      <c r="AE29" s="591"/>
      <c r="AF29" s="591"/>
      <c r="AG29" s="591"/>
      <c r="AH29" s="591"/>
      <c r="AI29" s="591"/>
      <c r="AJ29" s="591"/>
      <c r="AK29" s="591"/>
      <c r="AL29" s="591"/>
    </row>
    <row s="1877" customFormat="1" customHeight="1" ht="15">
      <c r="A30" s="0"/>
      <c r="B30" s="0"/>
      <c r="C30" s="156"/>
      <c r="D30" s="1846"/>
      <c r="E30" s="1846"/>
      <c r="F30" s="1846"/>
      <c r="G30" s="2380"/>
      <c r="H30" s="1939"/>
      <c r="I30" s="2381"/>
      <c r="J30" s="1963"/>
      <c r="K30" s="418"/>
      <c r="L30" s="157"/>
      <c r="M30" s="603" t="s">
        <v>118</v>
      </c>
      <c r="N30" s="600"/>
      <c r="O30" s="600"/>
      <c r="P30" s="600"/>
      <c r="Q30" s="600"/>
      <c r="R30" s="600"/>
      <c r="S30" s="600"/>
      <c r="T30" s="600"/>
      <c r="U30" s="601"/>
      <c r="V30" s="600"/>
      <c r="W30" s="600"/>
      <c r="X30" s="591"/>
      <c r="Y30" s="591"/>
      <c r="Z30" s="591"/>
      <c r="AA30" s="591"/>
      <c r="AB30" s="591"/>
      <c r="AC30" s="591"/>
      <c r="AD30" s="591"/>
      <c r="AE30" s="591"/>
      <c r="AF30" s="591"/>
      <c r="AG30" s="591"/>
      <c r="AH30" s="591"/>
      <c r="AI30" s="591"/>
      <c r="AJ30" s="591"/>
      <c r="AK30" s="591"/>
      <c r="AL30" s="591"/>
    </row>
    <row s="2437" customFormat="1" customHeight="1" ht="15">
      <c r="U31" s="165"/>
    </row>
    <row s="2437" customFormat="1" customHeight="1" ht="15">
      <c r="A32" s="1840" t="s">
        <v>1160</v>
      </c>
      <c r="B32" s="1840"/>
      <c r="C32" s="1840"/>
      <c r="D32" s="1840"/>
      <c r="E32" s="1840"/>
      <c r="F32" s="1840"/>
      <c r="G32" s="1840"/>
      <c r="H32" s="1840"/>
      <c r="I32" s="1840"/>
      <c r="J32" s="1840"/>
      <c r="K32" s="1840"/>
      <c r="L32" s="1840"/>
      <c r="M32" s="1840"/>
      <c r="N32" s="1840"/>
      <c r="O32" s="1840"/>
      <c r="P32" s="1840"/>
      <c r="Q32" s="1840"/>
      <c r="R32" s="1840"/>
      <c r="S32" s="1840"/>
      <c r="T32" s="1840"/>
      <c r="U32" s="164"/>
      <c r="V32" s="1840"/>
      <c r="W32" s="1840"/>
    </row>
    <row s="2437" customFormat="1" customHeight="1" ht="15">
      <c r="U33" s="165"/>
    </row>
    <row s="1877" customFormat="1" customHeight="1" ht="15">
      <c r="A34" s="0"/>
      <c r="B34" s="0"/>
      <c r="C34" s="156"/>
      <c r="D34" s="1846"/>
      <c r="E34" s="1846"/>
      <c r="F34" s="1846"/>
      <c r="G34" s="1846"/>
      <c r="H34" s="1846"/>
      <c r="I34" s="1846"/>
      <c r="J34" s="1846"/>
      <c r="K34" s="1824" t="s">
        <v>163</v>
      </c>
      <c r="L34" s="1753" t="s">
        <v>108</v>
      </c>
      <c r="M34" s="805"/>
      <c r="N34" s="806"/>
      <c r="O34" s="600"/>
      <c r="P34" s="600"/>
      <c r="Q34" s="600"/>
      <c r="R34" s="600"/>
      <c r="S34" s="600"/>
      <c r="T34" s="600"/>
      <c r="U34" s="601"/>
      <c r="V34" s="600"/>
      <c r="W34" s="600"/>
      <c r="X34" s="591"/>
      <c r="Y34" s="591" t="s">
        <v>117</v>
      </c>
      <c r="Z34" s="591">
        <v>1705000</v>
      </c>
      <c r="AA34" s="591"/>
      <c r="AB34" s="591"/>
      <c r="AC34" s="591"/>
      <c r="AD34" s="591"/>
      <c r="AE34" s="591"/>
      <c r="AF34" s="591"/>
      <c r="AG34" s="591"/>
      <c r="AH34" s="591"/>
      <c r="AI34" s="591"/>
      <c r="AJ34" s="591"/>
      <c r="AK34" s="591"/>
      <c r="AL34" s="591"/>
    </row>
    <row s="2437" customFormat="1" customHeight="1" ht="15">
      <c r="U35" s="165"/>
    </row>
    <row s="2437" customFormat="1" customHeight="1" ht="15">
      <c r="U36" s="165"/>
    </row>
    <row s="1840" customFormat="1" customHeight="1" ht="11.25">
      <c r="A37" s="1840" t="s">
        <v>1161</v>
      </c>
    </row>
    <row customHeight="1" ht="11.25"/>
    <row s="451" customFormat="1" customHeight="1" ht="22.5">
      <c r="A39" s="1816"/>
      <c r="B39" s="453"/>
      <c r="C39" s="853"/>
      <c r="D39" s="436"/>
      <c r="E39" s="854"/>
      <c r="F39" s="1837"/>
      <c r="G39" s="1847"/>
      <c r="H39" s="471"/>
    </row>
    <row customHeight="1" ht="11.25"/>
    <row s="1840" customFormat="1" customHeight="1" ht="11.25">
      <c r="A41" s="1840" t="s">
        <v>1162</v>
      </c>
    </row>
    <row customHeight="1" ht="11.25"/>
    <row s="451" customFormat="1" customHeight="1" ht="22.5">
      <c r="A43" s="453"/>
      <c r="B43" s="453"/>
      <c r="C43" s="453"/>
      <c r="D43" s="436"/>
      <c r="E43" s="854"/>
      <c r="F43" s="855"/>
      <c r="G43" s="1847"/>
      <c r="H43" s="471"/>
    </row>
    <row r="46" s="1840" customFormat="1" customHeight="1" ht="17.25">
      <c r="A46" s="1840" t="s">
        <v>1163</v>
      </c>
    </row>
    <row r="48" s="1637" customFormat="1" customHeight="1" ht="18.75">
      <c r="A48" s="0"/>
      <c r="B48" s="1848"/>
      <c r="C48" s="1848"/>
      <c r="D48" s="1849"/>
      <c r="E48" s="1834"/>
      <c r="F48" s="862">
        <v>13</v>
      </c>
      <c r="G48" s="861"/>
      <c r="H48" s="787"/>
      <c r="I48" s="785"/>
      <c r="J48" s="516" t="s">
        <v>61</v>
      </c>
      <c r="K48" s="1850" t="s">
        <v>24</v>
      </c>
      <c r="L48" s="0"/>
      <c r="M48" s="1661"/>
      <c r="N48" s="1661"/>
      <c r="O48" s="1661"/>
      <c r="P48" s="512" t="s">
        <v>406</v>
      </c>
      <c r="Q48" s="512" t="s">
        <v>407</v>
      </c>
      <c r="R48" s="513" t="s">
        <v>408</v>
      </c>
      <c r="S48" s="1661" t="s">
        <v>409</v>
      </c>
      <c r="T48" s="1661"/>
      <c r="U48" s="1661"/>
      <c r="V48" s="1661"/>
    </row>
    <row r="50" s="1840" customFormat="1" customHeight="1" ht="11.25">
      <c r="A50" s="1840" t="s">
        <v>1164</v>
      </c>
    </row>
    <row r="52" s="1660" customFormat="1" customHeight="1" ht="14.25">
      <c r="C52" s="1713"/>
      <c r="D52" s="1894"/>
      <c r="E52" s="1802" t="s">
        <v>24</v>
      </c>
      <c r="F52" s="1893"/>
      <c r="G52" s="850"/>
      <c r="H52" s="1803"/>
      <c r="I52" s="1803"/>
      <c r="J52" s="429"/>
      <c r="K52" s="1888"/>
      <c r="L52" s="428"/>
      <c r="M52" s="1888"/>
      <c r="N52" s="429"/>
      <c r="O52" s="1888"/>
      <c r="P52" s="429"/>
      <c r="Q52" s="1888"/>
      <c r="R52" s="429"/>
      <c r="S52" s="848"/>
      <c r="T52" s="1803"/>
      <c r="U52" s="429"/>
      <c r="V52" s="429"/>
      <c r="W52" s="1892"/>
      <c r="X52" s="1803"/>
      <c r="Y52" s="429"/>
      <c r="Z52" s="429"/>
      <c r="AA52" s="1892"/>
      <c r="AB52" s="1803"/>
      <c r="AC52" s="429"/>
      <c r="AD52" s="1892"/>
      <c r="AE52" s="0"/>
      <c r="AF52" s="0"/>
      <c r="AG52" s="0"/>
      <c r="AH52" s="0"/>
      <c r="AJ52" s="1661"/>
      <c r="AK52" s="1661"/>
      <c r="AL52" s="1661"/>
      <c r="AM52" s="1661"/>
      <c r="AN52" s="1661"/>
      <c r="AO52" s="1661"/>
      <c r="AP52" s="1649" t="s">
        <v>395</v>
      </c>
      <c r="AQ52" s="1649" t="s">
        <v>395</v>
      </c>
      <c r="AR52" s="1661"/>
      <c r="AS52" s="1661"/>
    </row>
    <row r="54" s="1840" customFormat="1" customHeight="1" ht="11.25">
      <c r="A54" s="1840" t="s">
        <v>1165</v>
      </c>
    </row>
    <row r="56" s="1848" customFormat="1" customHeight="1" ht="15">
      <c r="A56" s="125" t="s">
        <v>89</v>
      </c>
      <c r="B56" s="105" t="s">
        <v>24</v>
      </c>
      <c r="C56" s="1851"/>
      <c r="D56" s="108"/>
      <c r="E56" s="378"/>
      <c r="F56" s="378"/>
      <c r="G56" s="1828"/>
      <c r="H56" s="1850"/>
      <c r="I56" s="1829"/>
      <c r="K56" s="251"/>
      <c r="L56" s="252"/>
    </row>
    <row r="58" s="1840" customFormat="1" customHeight="1" ht="11.25">
      <c r="A58" s="1840" t="s">
        <v>1166</v>
      </c>
    </row>
    <row r="60" s="1660" customFormat="1" customHeight="1" ht="14.25">
      <c r="A60" s="331"/>
      <c r="B60" s="1155"/>
      <c r="C60" s="368"/>
      <c r="D60" s="1835"/>
      <c r="E60" s="880"/>
      <c r="F60" s="1850"/>
      <c r="G60" s="0"/>
      <c r="I60" s="1649"/>
      <c r="J60" s="1649"/>
    </row>
    <row r="62" s="1840" customFormat="1" customHeight="1" ht="11.25">
      <c r="A62" s="1840" t="s">
        <v>1167</v>
      </c>
    </row>
    <row r="64" s="1660" customFormat="1" customHeight="1" ht="27">
      <c r="A64" s="1161"/>
      <c r="B64" s="1161"/>
      <c r="C64" s="1161"/>
      <c r="D64" s="1155"/>
      <c r="E64" s="1852"/>
      <c r="F64" s="2326"/>
      <c r="G64" s="2327"/>
      <c r="H64" s="2328" t="s">
        <v>61</v>
      </c>
      <c r="I64" s="2330"/>
      <c r="J64" s="2332"/>
      <c r="K64" s="2334"/>
      <c r="L64" s="2337"/>
      <c r="M64" s="2337"/>
      <c r="N64" s="2384"/>
      <c r="O64" s="2384"/>
      <c r="P64" s="2385">
        <f>DATEDIF(DATEVALUE(N64),DATEVALUE(O64),"y")&amp;"г. "&amp;DATEDIF(DATEVALUE(N64),DATEVALUE(O64),"ym")&amp;"мес. "&amp;DATEVALUE(O64)-DATE(YEAR(DATEVALUE(O64)),MONTH(DATEVALUE(O64)),1)&amp;"дн. "</f>
      </c>
      <c r="Q64" s="2339"/>
      <c r="R64" s="2339"/>
      <c r="S64" s="2339"/>
      <c r="T64" s="2332"/>
      <c r="U64" s="2339"/>
      <c r="V64" s="2339"/>
      <c r="W64" s="2339"/>
      <c r="X64" s="2332"/>
      <c r="Y64" s="2382" t="s">
        <v>61</v>
      </c>
      <c r="Z64" s="1833"/>
      <c r="AA64" s="1817">
        <v>1</v>
      </c>
      <c r="AB64" s="1247"/>
      <c r="AD64" s="1661" t="s">
        <v>1168</v>
      </c>
    </row>
    <row s="1660" customFormat="1" customHeight="1" ht="10.5">
      <c r="A65" s="1161"/>
      <c r="B65" s="1161"/>
      <c r="C65" s="1161"/>
      <c r="D65" s="1155"/>
      <c r="E65" s="942"/>
      <c r="F65" s="2326"/>
      <c r="G65" s="2327"/>
      <c r="H65" s="2329"/>
      <c r="I65" s="2331"/>
      <c r="J65" s="2333"/>
      <c r="K65" s="2334"/>
      <c r="L65" s="2337"/>
      <c r="M65" s="2337"/>
      <c r="N65" s="2384"/>
      <c r="O65" s="2384"/>
      <c r="P65" s="2385"/>
      <c r="Q65" s="2339"/>
      <c r="R65" s="2339"/>
      <c r="S65" s="2339"/>
      <c r="T65" s="2333"/>
      <c r="U65" s="2339"/>
      <c r="V65" s="2339"/>
      <c r="W65" s="2339"/>
      <c r="X65" s="2333"/>
      <c r="Y65" s="2383"/>
      <c r="Z65" s="335"/>
      <c r="AA65" s="568"/>
      <c r="AB65" s="647" t="s">
        <v>1169</v>
      </c>
    </row>
    <row r="67" s="1840" customFormat="1" customHeight="1" ht="11.25">
      <c r="A67" s="1840" t="s">
        <v>1170</v>
      </c>
    </row>
    <row r="69" s="1660" customFormat="1" customHeight="1" ht="27">
      <c r="A69" s="1161"/>
      <c r="B69" s="1161"/>
      <c r="C69" s="1161"/>
      <c r="D69" s="1155"/>
      <c r="E69" s="1852"/>
      <c r="F69" s="1822"/>
      <c r="G69" s="1771"/>
      <c r="H69" s="1772"/>
      <c r="I69" s="1773"/>
      <c r="J69" s="1774"/>
      <c r="K69" s="1775"/>
      <c r="L69" s="1776"/>
      <c r="M69" s="1776"/>
      <c r="N69" s="1777"/>
      <c r="O69" s="1777"/>
      <c r="P69" s="1778"/>
      <c r="Q69" s="1779"/>
      <c r="R69" s="1779"/>
      <c r="S69" s="1779"/>
      <c r="T69" s="1774"/>
      <c r="U69" s="1779"/>
      <c r="V69" s="1779"/>
      <c r="W69" s="1779"/>
      <c r="X69" s="1774"/>
      <c r="Y69" s="1772"/>
      <c r="Z69" s="1833"/>
      <c r="AA69" s="1817">
        <v>1</v>
      </c>
      <c r="AB69" s="1247"/>
      <c r="AD69" s="1661" t="s">
        <v>1168</v>
      </c>
    </row>
    <row r="71" s="1840" customFormat="1" customHeight="1" ht="11.25">
      <c r="A71" s="1840" t="s">
        <v>1171</v>
      </c>
    </row>
    <row customHeight="1" ht="17.25"/>
    <row s="1660" customFormat="1" customHeight="1" ht="21">
      <c r="A73" s="1162"/>
      <c r="B73" s="1161"/>
      <c r="C73" s="1161"/>
      <c r="D73" s="1155"/>
      <c r="E73" s="1165"/>
      <c r="F73" s="1117">
        <f>INDEX(IP_MAIN_LIST_NAME_IP,MATCH(A73,IP_MAIN_LIST_IP_ID,0))&amp;" ("&amp;INDEX(IP_MAIN_START_DATE,MATCH(A73,IP_MAIN_LIST_IP_ID,0))&amp;"-"&amp;INDEX(IP_MAIN_END_DATE,MATCH(A73,IP_MAIN_LIST_IP_ID,0))&amp;")"</f>
      </c>
      <c r="G73" s="1118"/>
      <c r="H73" s="1118"/>
      <c r="I73" s="1182"/>
      <c r="J73" s="1182"/>
      <c r="K73" s="1183"/>
      <c r="L73" s="1183"/>
      <c r="M73" s="1183"/>
      <c r="N73" s="1184"/>
      <c r="O73" s="1184"/>
      <c r="P73" s="1184"/>
      <c r="Q73" s="1184"/>
      <c r="R73" s="1184"/>
      <c r="S73" s="1184"/>
      <c r="T73" s="1184"/>
      <c r="U73" s="1184"/>
      <c r="V73" s="1184"/>
      <c r="W73" s="1184"/>
      <c r="X73" s="1184"/>
      <c r="Y73" s="1184"/>
      <c r="Z73" s="1184"/>
      <c r="AA73" s="1184"/>
      <c r="AB73" s="1184"/>
      <c r="AC73" s="1184"/>
      <c r="AD73" s="1184"/>
      <c r="AE73" s="1185"/>
      <c r="AF73" s="1183"/>
      <c r="AG73" s="1183"/>
      <c r="AH73" s="1183"/>
      <c r="AI73" s="1183"/>
      <c r="AJ73" s="1183"/>
      <c r="AK73" s="1183"/>
      <c r="AL73" s="1166"/>
      <c r="AM73" s="1848"/>
      <c r="AN73" s="1848"/>
      <c r="AO73" s="1848"/>
      <c r="AP73" s="1848"/>
      <c r="AQ73" s="1848"/>
      <c r="AR73" s="1848"/>
      <c r="AS73" s="1848"/>
      <c r="AT73" s="1848"/>
      <c r="AU73" s="1848"/>
      <c r="AV73" s="1848"/>
      <c r="AW73" s="1848"/>
      <c r="AX73" s="1848"/>
      <c r="AY73" s="1848"/>
      <c r="AZ73" s="1848"/>
      <c r="BA73" s="1848"/>
      <c r="BB73" s="1848"/>
      <c r="BC73" s="1848"/>
      <c r="BD73" s="1848"/>
      <c r="BE73" s="1848"/>
      <c r="BF73" s="1848"/>
    </row>
    <row s="1660" customFormat="1" customHeight="1" ht="11.25">
      <c r="A74" s="1161"/>
      <c r="B74" s="1161"/>
      <c r="C74" s="1161"/>
      <c r="D74" s="1155"/>
      <c r="E74" s="1165"/>
      <c r="F74" s="2388"/>
      <c r="G74" s="2338"/>
      <c r="H74" s="2338" t="s">
        <v>108</v>
      </c>
      <c r="I74" s="2392"/>
      <c r="J74" s="2316"/>
      <c r="K74" s="2393"/>
      <c r="L74" s="2386" t="s">
        <v>56</v>
      </c>
      <c r="M74" s="1964"/>
      <c r="N74" s="1174"/>
      <c r="O74" s="1173" t="s">
        <v>390</v>
      </c>
      <c r="P74" s="1174"/>
      <c r="Q74" s="1174"/>
      <c r="R74" s="1174"/>
      <c r="S74" s="1174"/>
      <c r="T74" s="1174"/>
      <c r="U74" s="1174"/>
      <c r="V74" s="1174"/>
      <c r="W74" s="1174"/>
      <c r="X74" s="1174"/>
      <c r="Y74" s="1174"/>
      <c r="Z74" s="1174"/>
      <c r="AA74" s="1174"/>
      <c r="AB74" s="1174"/>
      <c r="AC74" s="1174"/>
      <c r="AD74" s="1174"/>
      <c r="AE74" s="1174"/>
      <c r="AF74" s="2390"/>
      <c r="AG74" s="2386"/>
      <c r="AH74" s="2386"/>
      <c r="AI74" s="2390"/>
      <c r="AJ74" s="2386"/>
      <c r="AK74" s="2386"/>
      <c r="AL74" s="1168"/>
      <c r="AM74" s="1848"/>
      <c r="AN74" s="1848"/>
      <c r="AO74" s="1848"/>
      <c r="AP74" s="1848"/>
      <c r="AQ74" s="1848"/>
      <c r="AR74" s="1848"/>
      <c r="AS74" s="1848"/>
      <c r="AT74" s="1848"/>
      <c r="AU74" s="1848"/>
      <c r="AV74" s="1848"/>
      <c r="AW74" s="1848"/>
      <c r="AX74" s="1848"/>
      <c r="AY74" s="1848"/>
      <c r="AZ74" s="1848"/>
      <c r="BA74" s="1848"/>
      <c r="BB74" s="1848"/>
      <c r="BC74" s="1848"/>
      <c r="BD74" s="1848"/>
      <c r="BE74" s="1848"/>
      <c r="BF74" s="1848"/>
    </row>
    <row s="1660" customFormat="1" customHeight="1" ht="11.25">
      <c r="A75" s="1161"/>
      <c r="B75" s="1161"/>
      <c r="C75" s="1161"/>
      <c r="D75" s="1155"/>
      <c r="E75" s="1165"/>
      <c r="F75" s="2388"/>
      <c r="G75" s="2338"/>
      <c r="H75" s="2338"/>
      <c r="I75" s="2392"/>
      <c r="J75" s="2316"/>
      <c r="K75" s="2393"/>
      <c r="L75" s="2386"/>
      <c r="M75" s="1964"/>
      <c r="N75" s="2394"/>
      <c r="O75" s="2351">
        <v>1</v>
      </c>
      <c r="P75" s="2346" t="s">
        <v>56</v>
      </c>
      <c r="Q75" s="2349" t="s">
        <v>24</v>
      </c>
      <c r="R75" s="2349" t="s">
        <v>24</v>
      </c>
      <c r="S75" s="2349" t="s">
        <v>24</v>
      </c>
      <c r="T75" s="2349" t="s">
        <v>24</v>
      </c>
      <c r="U75" s="2349" t="s">
        <v>24</v>
      </c>
      <c r="V75" s="2349" t="s">
        <v>24</v>
      </c>
      <c r="W75" s="2349" t="s">
        <v>24</v>
      </c>
      <c r="X75" s="2349" t="s">
        <v>24</v>
      </c>
      <c r="Y75" s="2349"/>
      <c r="Z75" s="1171"/>
      <c r="AA75" s="1172"/>
      <c r="AB75" s="1172"/>
      <c r="AC75" s="1176"/>
      <c r="AD75" s="1176"/>
      <c r="AE75" s="1177"/>
      <c r="AF75" s="2390"/>
      <c r="AG75" s="2386"/>
      <c r="AH75" s="2386"/>
      <c r="AI75" s="2390"/>
      <c r="AJ75" s="2386"/>
      <c r="AK75" s="2386"/>
      <c r="AL75" s="1168"/>
      <c r="AM75" s="1848"/>
      <c r="AN75" s="1848"/>
      <c r="AO75" s="1848"/>
      <c r="AP75" s="1848"/>
      <c r="AQ75" s="1848"/>
      <c r="AR75" s="1848"/>
      <c r="AS75" s="1848"/>
      <c r="AT75" s="1848"/>
      <c r="AU75" s="1848"/>
      <c r="AV75" s="1848"/>
      <c r="AW75" s="1848"/>
      <c r="AX75" s="1848"/>
      <c r="AY75" s="1848"/>
      <c r="AZ75" s="1848"/>
      <c r="BA75" s="1848"/>
      <c r="BB75" s="1848"/>
      <c r="BC75" s="1848"/>
      <c r="BD75" s="1848"/>
      <c r="BE75" s="1848"/>
      <c r="BF75" s="1848"/>
    </row>
    <row s="1660" customFormat="1" customHeight="1" ht="11.25">
      <c r="A76" s="1161"/>
      <c r="B76" s="1161"/>
      <c r="C76" s="1161"/>
      <c r="D76" s="1155"/>
      <c r="E76" s="1165"/>
      <c r="F76" s="2388"/>
      <c r="G76" s="2338"/>
      <c r="H76" s="2338"/>
      <c r="I76" s="2392"/>
      <c r="J76" s="2316"/>
      <c r="K76" s="2393"/>
      <c r="L76" s="2386"/>
      <c r="M76" s="1964"/>
      <c r="N76" s="2394"/>
      <c r="O76" s="2351"/>
      <c r="P76" s="2347"/>
      <c r="Q76" s="2349"/>
      <c r="R76" s="2349"/>
      <c r="S76" s="2391"/>
      <c r="T76" s="2349"/>
      <c r="U76" s="2349"/>
      <c r="V76" s="2349"/>
      <c r="W76" s="2349"/>
      <c r="X76" s="2349"/>
      <c r="Y76" s="2349"/>
      <c r="Z76" s="1853"/>
      <c r="AA76" s="1819">
        <v>1</v>
      </c>
      <c r="AB76" s="1175"/>
      <c r="AC76" s="1164"/>
      <c r="AD76" s="1175">
        <f>AB76</f>
        <v>0</v>
      </c>
      <c r="AE76" s="1164"/>
      <c r="AF76" s="2390"/>
      <c r="AG76" s="2386"/>
      <c r="AH76" s="2386"/>
      <c r="AI76" s="2390"/>
      <c r="AJ76" s="2386"/>
      <c r="AK76" s="2386"/>
      <c r="AL76" s="1168"/>
      <c r="AM76" s="1848"/>
      <c r="AN76" s="1848"/>
      <c r="AO76" s="1848"/>
      <c r="AP76" s="1848"/>
      <c r="AQ76" s="1848"/>
      <c r="AR76" s="1848"/>
      <c r="AS76" s="1848"/>
      <c r="AT76" s="1848"/>
      <c r="AU76" s="1848"/>
      <c r="AV76" s="1848"/>
      <c r="AW76" s="1848"/>
      <c r="AX76" s="1848"/>
      <c r="AY76" s="1848"/>
      <c r="AZ76" s="1848"/>
      <c r="BA76" s="1848"/>
      <c r="BB76" s="1848"/>
      <c r="BC76" s="1848"/>
      <c r="BD76" s="1848"/>
      <c r="BE76" s="1848"/>
      <c r="BF76" s="1848"/>
    </row>
    <row s="1660" customFormat="1" customHeight="1" ht="11.25">
      <c r="A77" s="1161"/>
      <c r="B77" s="1161"/>
      <c r="C77" s="1161"/>
      <c r="D77" s="1155"/>
      <c r="E77" s="1165"/>
      <c r="F77" s="2388"/>
      <c r="G77" s="2338"/>
      <c r="H77" s="2338"/>
      <c r="I77" s="2392"/>
      <c r="J77" s="2316"/>
      <c r="K77" s="2393"/>
      <c r="L77" s="2386"/>
      <c r="M77" s="1964"/>
      <c r="N77" s="2394"/>
      <c r="O77" s="2351"/>
      <c r="P77" s="2348"/>
      <c r="Q77" s="2349"/>
      <c r="R77" s="2349"/>
      <c r="S77" s="2391"/>
      <c r="T77" s="2349"/>
      <c r="U77" s="2349"/>
      <c r="V77" s="2349"/>
      <c r="W77" s="2349"/>
      <c r="X77" s="2349"/>
      <c r="Y77" s="2349"/>
      <c r="Z77" s="1171"/>
      <c r="AA77" s="1172"/>
      <c r="AB77" s="1246" t="s">
        <v>1172</v>
      </c>
      <c r="AC77" s="1176"/>
      <c r="AD77" s="1176"/>
      <c r="AE77" s="1178"/>
      <c r="AF77" s="2390"/>
      <c r="AG77" s="2386"/>
      <c r="AH77" s="2386"/>
      <c r="AI77" s="2390"/>
      <c r="AJ77" s="2386"/>
      <c r="AK77" s="2386"/>
      <c r="AL77" s="1168"/>
      <c r="AM77" s="1848"/>
      <c r="AN77" s="1848"/>
      <c r="AO77" s="1848"/>
      <c r="AP77" s="1848"/>
      <c r="AQ77" s="1848"/>
      <c r="AR77" s="1848"/>
      <c r="AS77" s="1848"/>
      <c r="AT77" s="1848"/>
      <c r="AU77" s="1848"/>
      <c r="AV77" s="1848"/>
      <c r="AW77" s="1848"/>
      <c r="AX77" s="1848"/>
      <c r="AY77" s="1848"/>
      <c r="AZ77" s="1848"/>
      <c r="BA77" s="1848"/>
      <c r="BB77" s="1848"/>
      <c r="BC77" s="1848"/>
      <c r="BD77" s="1848"/>
      <c r="BE77" s="1848"/>
      <c r="BF77" s="1848"/>
    </row>
    <row s="1660" customFormat="1" customHeight="1" ht="11.25">
      <c r="A78" s="1161"/>
      <c r="B78" s="1161"/>
      <c r="C78" s="1161"/>
      <c r="D78" s="1155"/>
      <c r="E78" s="1165"/>
      <c r="F78" s="2388"/>
      <c r="G78" s="2338"/>
      <c r="H78" s="2338"/>
      <c r="I78" s="2392"/>
      <c r="J78" s="2316"/>
      <c r="K78" s="2393"/>
      <c r="L78" s="2386"/>
      <c r="M78" s="1964"/>
      <c r="N78" s="1172"/>
      <c r="O78" s="1172"/>
      <c r="P78" s="1163" t="s">
        <v>1173</v>
      </c>
      <c r="Q78" s="1172"/>
      <c r="R78" s="1172"/>
      <c r="S78" s="1172"/>
      <c r="T78" s="1172"/>
      <c r="U78" s="1172"/>
      <c r="V78" s="1172"/>
      <c r="W78" s="1172"/>
      <c r="X78" s="1172"/>
      <c r="Y78" s="1172"/>
      <c r="Z78" s="1172"/>
      <c r="AA78" s="1172"/>
      <c r="AB78" s="1172"/>
      <c r="AC78" s="1172"/>
      <c r="AD78" s="1172"/>
      <c r="AE78" s="1179"/>
      <c r="AF78" s="2390"/>
      <c r="AG78" s="2386"/>
      <c r="AH78" s="2386"/>
      <c r="AI78" s="2390"/>
      <c r="AJ78" s="2386"/>
      <c r="AK78" s="2386"/>
      <c r="AL78" s="1168"/>
      <c r="AM78" s="1848"/>
      <c r="AN78" s="1848"/>
      <c r="AO78" s="1848"/>
      <c r="AP78" s="1848"/>
      <c r="AQ78" s="1848"/>
      <c r="AR78" s="1848"/>
      <c r="AS78" s="1848"/>
      <c r="AT78" s="1848"/>
      <c r="AU78" s="1848"/>
      <c r="AV78" s="1848"/>
      <c r="AW78" s="1848"/>
      <c r="AX78" s="1848"/>
      <c r="AY78" s="1848"/>
      <c r="AZ78" s="1848"/>
      <c r="BA78" s="1848"/>
      <c r="BB78" s="1848"/>
      <c r="BC78" s="1848"/>
      <c r="BD78" s="1848"/>
      <c r="BE78" s="1848"/>
      <c r="BF78" s="1848"/>
    </row>
    <row s="1660" customFormat="1" customHeight="1" ht="12">
      <c r="A79" s="1161"/>
      <c r="B79" s="1161"/>
      <c r="C79" s="1161"/>
      <c r="D79" s="1155"/>
      <c r="E79" s="1165"/>
      <c r="F79" s="2389"/>
      <c r="G79" s="1187"/>
      <c r="H79" s="1187"/>
      <c r="I79" s="2387" t="s">
        <v>1174</v>
      </c>
      <c r="J79" s="2387"/>
      <c r="K79" s="2387"/>
      <c r="L79" s="1169"/>
      <c r="M79" s="1169"/>
      <c r="N79" s="1170"/>
      <c r="O79" s="1170"/>
      <c r="P79" s="1170"/>
      <c r="Q79" s="1170"/>
      <c r="R79" s="1170"/>
      <c r="S79" s="1170"/>
      <c r="T79" s="1170"/>
      <c r="U79" s="1170"/>
      <c r="V79" s="1170"/>
      <c r="W79" s="1170"/>
      <c r="X79" s="1170"/>
      <c r="Y79" s="1170"/>
      <c r="Z79" s="1170"/>
      <c r="AA79" s="1170"/>
      <c r="AB79" s="1170"/>
      <c r="AC79" s="1170"/>
      <c r="AD79" s="1170"/>
      <c r="AE79" s="1170"/>
      <c r="AF79" s="1170"/>
      <c r="AG79" s="1169"/>
      <c r="AH79" s="1169"/>
      <c r="AI79" s="1170"/>
      <c r="AJ79" s="1169"/>
      <c r="AK79" s="1180"/>
      <c r="AL79" s="1168"/>
      <c r="AM79" s="1848"/>
      <c r="AN79" s="1848"/>
      <c r="AO79" s="1848"/>
      <c r="AP79" s="1848"/>
      <c r="AQ79" s="1848"/>
      <c r="AR79" s="1848"/>
      <c r="AS79" s="1848"/>
      <c r="AT79" s="1848"/>
      <c r="AU79" s="1848"/>
      <c r="AV79" s="1848"/>
      <c r="AW79" s="1848"/>
      <c r="AX79" s="1848"/>
      <c r="AY79" s="1848"/>
      <c r="AZ79" s="1848"/>
      <c r="BA79" s="1848"/>
      <c r="BB79" s="1848"/>
      <c r="BC79" s="1848"/>
      <c r="BD79" s="1848"/>
      <c r="BE79" s="1848"/>
      <c r="BF79" s="1848"/>
    </row>
    <row r="81" s="1840" customFormat="1" customHeight="1" ht="11.25">
      <c r="A81" s="1840" t="s">
        <v>1175</v>
      </c>
    </row>
    <row r="83" s="1660" customFormat="1" customHeight="1" ht="11.25">
      <c r="A83" s="1161"/>
      <c r="B83" s="1161"/>
      <c r="C83" s="1161"/>
      <c r="D83" s="1155"/>
      <c r="E83" s="1165"/>
      <c r="F83" s="1854"/>
      <c r="G83" s="1855"/>
      <c r="H83" s="1855"/>
      <c r="I83" s="1788"/>
      <c r="J83" s="1788"/>
      <c r="K83" s="1856"/>
      <c r="L83" s="1788"/>
      <c r="M83" s="1855"/>
      <c r="N83" s="2350"/>
      <c r="O83" s="2351">
        <v>1</v>
      </c>
      <c r="P83" s="2346" t="s">
        <v>56</v>
      </c>
      <c r="Q83" s="2349" t="s">
        <v>24</v>
      </c>
      <c r="R83" s="2349" t="s">
        <v>24</v>
      </c>
      <c r="S83" s="2349" t="s">
        <v>24</v>
      </c>
      <c r="T83" s="2349" t="s">
        <v>24</v>
      </c>
      <c r="U83" s="2349" t="s">
        <v>24</v>
      </c>
      <c r="V83" s="2349" t="s">
        <v>24</v>
      </c>
      <c r="W83" s="2349" t="s">
        <v>24</v>
      </c>
      <c r="X83" s="2349" t="s">
        <v>24</v>
      </c>
      <c r="Y83" s="2349"/>
      <c r="Z83" s="1171"/>
      <c r="AA83" s="1172"/>
      <c r="AB83" s="1172"/>
      <c r="AC83" s="1176"/>
      <c r="AD83" s="1176"/>
      <c r="AE83" s="1176"/>
      <c r="AF83" s="1857"/>
      <c r="AG83" s="1783"/>
      <c r="AH83" s="1783"/>
      <c r="AI83" s="1857"/>
      <c r="AJ83" s="1783"/>
      <c r="AK83" s="1783"/>
      <c r="AL83" s="1168"/>
      <c r="AM83" s="1848"/>
      <c r="AN83" s="1848"/>
      <c r="AO83" s="1848"/>
      <c r="AP83" s="1848"/>
      <c r="AQ83" s="1848"/>
      <c r="AR83" s="1848"/>
      <c r="AS83" s="1848"/>
      <c r="AT83" s="1848"/>
      <c r="AU83" s="1848"/>
      <c r="AV83" s="1848"/>
      <c r="AW83" s="1848"/>
      <c r="AX83" s="1848"/>
      <c r="AY83" s="1848"/>
      <c r="AZ83" s="1848"/>
      <c r="BA83" s="1848"/>
      <c r="BB83" s="1848"/>
      <c r="BC83" s="1848"/>
      <c r="BD83" s="1848"/>
      <c r="BE83" s="1848"/>
      <c r="BF83" s="1848"/>
    </row>
    <row s="1660" customFormat="1" customHeight="1" ht="11.25">
      <c r="A84" s="1161"/>
      <c r="B84" s="1161"/>
      <c r="C84" s="1161"/>
      <c r="D84" s="1155"/>
      <c r="E84" s="1165"/>
      <c r="F84" s="1854"/>
      <c r="G84" s="1855"/>
      <c r="H84" s="1855"/>
      <c r="I84" s="1789"/>
      <c r="J84" s="1789"/>
      <c r="K84" s="1856"/>
      <c r="L84" s="1789"/>
      <c r="M84" s="1855"/>
      <c r="N84" s="2350"/>
      <c r="O84" s="2351"/>
      <c r="P84" s="2347"/>
      <c r="Q84" s="2349"/>
      <c r="R84" s="2349"/>
      <c r="S84" s="2391"/>
      <c r="T84" s="2349"/>
      <c r="U84" s="2349"/>
      <c r="V84" s="2349"/>
      <c r="W84" s="2349"/>
      <c r="X84" s="2349"/>
      <c r="Y84" s="2349"/>
      <c r="Z84" s="1853"/>
      <c r="AA84" s="1819">
        <v>1</v>
      </c>
      <c r="AB84" s="1175"/>
      <c r="AC84" s="1164"/>
      <c r="AD84" s="1175">
        <f>AB84</f>
        <v>0</v>
      </c>
      <c r="AE84" s="719"/>
      <c r="AF84" s="1856"/>
      <c r="AG84" s="1783"/>
      <c r="AH84" s="1783"/>
      <c r="AI84" s="1856"/>
      <c r="AJ84" s="1783"/>
      <c r="AK84" s="1783"/>
      <c r="AL84" s="1168"/>
      <c r="AM84" s="1848"/>
      <c r="AN84" s="1848"/>
      <c r="AO84" s="1848"/>
      <c r="AP84" s="1848"/>
      <c r="AQ84" s="1848"/>
      <c r="AR84" s="1848"/>
      <c r="AS84" s="1848"/>
      <c r="AT84" s="1848"/>
      <c r="AU84" s="1848"/>
      <c r="AV84" s="1848"/>
      <c r="AW84" s="1848"/>
      <c r="AX84" s="1848"/>
      <c r="AY84" s="1848"/>
      <c r="AZ84" s="1848"/>
      <c r="BA84" s="1848"/>
      <c r="BB84" s="1848"/>
      <c r="BC84" s="1848"/>
      <c r="BD84" s="1848"/>
      <c r="BE84" s="1848"/>
      <c r="BF84" s="1848"/>
    </row>
    <row s="1660" customFormat="1" customHeight="1" ht="11.25">
      <c r="A85" s="1161"/>
      <c r="B85" s="1161"/>
      <c r="C85" s="1161"/>
      <c r="D85" s="1155"/>
      <c r="E85" s="1165"/>
      <c r="F85" s="1854"/>
      <c r="G85" s="1855"/>
      <c r="H85" s="1855"/>
      <c r="I85" s="1790"/>
      <c r="J85" s="1790"/>
      <c r="K85" s="1856"/>
      <c r="L85" s="1790"/>
      <c r="M85" s="1855"/>
      <c r="N85" s="2350"/>
      <c r="O85" s="2351"/>
      <c r="P85" s="2348"/>
      <c r="Q85" s="2349"/>
      <c r="R85" s="2349"/>
      <c r="S85" s="2391"/>
      <c r="T85" s="2349"/>
      <c r="U85" s="2349"/>
      <c r="V85" s="2349"/>
      <c r="W85" s="2349"/>
      <c r="X85" s="2349"/>
      <c r="Y85" s="2349"/>
      <c r="Z85" s="1171"/>
      <c r="AA85" s="1172"/>
      <c r="AB85" s="1246" t="s">
        <v>1172</v>
      </c>
      <c r="AC85" s="1176"/>
      <c r="AD85" s="1176"/>
      <c r="AE85" s="1176"/>
      <c r="AF85" s="1858"/>
      <c r="AG85" s="1783"/>
      <c r="AH85" s="1783"/>
      <c r="AI85" s="1858"/>
      <c r="AJ85" s="1783"/>
      <c r="AK85" s="1783"/>
      <c r="AL85" s="1168"/>
      <c r="AM85" s="1848"/>
      <c r="AN85" s="1848"/>
      <c r="AO85" s="1848"/>
      <c r="AP85" s="1848"/>
      <c r="AQ85" s="1848"/>
      <c r="AR85" s="1848"/>
      <c r="AS85" s="1848"/>
      <c r="AT85" s="1848"/>
      <c r="AU85" s="1848"/>
      <c r="AV85" s="1848"/>
      <c r="AW85" s="1848"/>
      <c r="AX85" s="1848"/>
      <c r="AY85" s="1848"/>
      <c r="AZ85" s="1848"/>
      <c r="BA85" s="1848"/>
      <c r="BB85" s="1848"/>
      <c r="BC85" s="1848"/>
      <c r="BD85" s="1848"/>
      <c r="BE85" s="1848"/>
      <c r="BF85" s="1848"/>
    </row>
    <row r="87" s="1840" customFormat="1" customHeight="1" ht="11.25">
      <c r="A87" s="1840" t="s">
        <v>1176</v>
      </c>
    </row>
    <row r="89" s="1660" customFormat="1" customHeight="1" ht="11.25">
      <c r="A89" s="1161"/>
      <c r="B89" s="1161"/>
      <c r="C89" s="1161"/>
      <c r="D89" s="1155"/>
      <c r="E89" s="1165"/>
      <c r="F89" s="1855"/>
      <c r="G89" s="1855"/>
      <c r="H89" s="1855"/>
      <c r="I89" s="1855"/>
      <c r="J89" s="1855"/>
      <c r="K89" s="1855"/>
      <c r="L89" s="1855"/>
      <c r="M89" s="1855"/>
      <c r="N89" s="1855"/>
      <c r="O89" s="1855"/>
      <c r="P89" s="1855"/>
      <c r="Q89" s="1855"/>
      <c r="R89" s="1855"/>
      <c r="S89" s="1855"/>
      <c r="T89" s="1855"/>
      <c r="U89" s="1855"/>
      <c r="V89" s="1855"/>
      <c r="W89" s="1855"/>
      <c r="X89" s="1855"/>
      <c r="Y89" s="1855"/>
      <c r="Z89" s="1859"/>
      <c r="AA89" s="1839">
        <v>1</v>
      </c>
      <c r="AB89" s="1175"/>
      <c r="AC89" s="1164"/>
      <c r="AD89" s="1175">
        <f>AB89</f>
        <v>0</v>
      </c>
      <c r="AE89" s="1164"/>
      <c r="AF89" s="1856"/>
      <c r="AG89" s="1783"/>
      <c r="AH89" s="1783"/>
      <c r="AI89" s="1856"/>
      <c r="AJ89" s="1783"/>
      <c r="AK89" s="1783"/>
      <c r="AL89" s="1168"/>
      <c r="AM89" s="1848"/>
      <c r="AN89" s="1848"/>
      <c r="AO89" s="1848"/>
      <c r="AP89" s="1848"/>
      <c r="AQ89" s="1848"/>
      <c r="AR89" s="1848"/>
      <c r="AS89" s="1848"/>
      <c r="AT89" s="1848"/>
      <c r="AU89" s="1848"/>
      <c r="AV89" s="1848"/>
      <c r="AW89" s="1848"/>
      <c r="AX89" s="1848"/>
      <c r="AY89" s="1848"/>
      <c r="AZ89" s="1848"/>
      <c r="BA89" s="1848"/>
      <c r="BB89" s="1848"/>
      <c r="BC89" s="1848"/>
      <c r="BD89" s="1848"/>
      <c r="BE89" s="1848"/>
      <c r="BF89" s="1848"/>
    </row>
    <row r="91" s="1840" customFormat="1" customHeight="1" ht="11.25">
      <c r="A91" s="1840" t="s">
        <v>1177</v>
      </c>
    </row>
    <row r="93" s="1660" customFormat="1" customHeight="1" ht="11.25">
      <c r="A93" s="1161"/>
      <c r="B93" s="1161"/>
      <c r="C93" s="1161"/>
      <c r="D93" s="1155"/>
      <c r="E93" s="1165"/>
      <c r="F93" s="1854"/>
      <c r="G93" s="1855"/>
      <c r="H93" s="2338" t="s">
        <v>108</v>
      </c>
      <c r="I93" s="2392"/>
      <c r="J93" s="2316"/>
      <c r="K93" s="2393"/>
      <c r="L93" s="2386" t="s">
        <v>56</v>
      </c>
      <c r="M93" s="1964"/>
      <c r="N93" s="1174"/>
      <c r="O93" s="1173" t="s">
        <v>390</v>
      </c>
      <c r="P93" s="1174"/>
      <c r="Q93" s="1174"/>
      <c r="R93" s="1174"/>
      <c r="S93" s="1174"/>
      <c r="T93" s="1174"/>
      <c r="U93" s="1174"/>
      <c r="V93" s="1174"/>
      <c r="W93" s="1174"/>
      <c r="X93" s="1174"/>
      <c r="Y93" s="1174"/>
      <c r="Z93" s="1174"/>
      <c r="AA93" s="1174"/>
      <c r="AB93" s="1174"/>
      <c r="AC93" s="1174"/>
      <c r="AD93" s="1174"/>
      <c r="AE93" s="1174"/>
      <c r="AF93" s="2390"/>
      <c r="AG93" s="2386"/>
      <c r="AH93" s="2386"/>
      <c r="AI93" s="2390"/>
      <c r="AJ93" s="2386"/>
      <c r="AK93" s="2386"/>
      <c r="AL93" s="1168"/>
      <c r="AM93" s="1848"/>
      <c r="AN93" s="1848"/>
      <c r="AO93" s="1848"/>
      <c r="AP93" s="1848"/>
      <c r="AQ93" s="1848"/>
      <c r="AR93" s="1848"/>
      <c r="AS93" s="1848"/>
      <c r="AT93" s="1848"/>
      <c r="AU93" s="1848"/>
      <c r="AV93" s="1848"/>
      <c r="AW93" s="1848"/>
      <c r="AX93" s="1848"/>
      <c r="AY93" s="1848"/>
      <c r="AZ93" s="1848"/>
      <c r="BA93" s="1848"/>
      <c r="BB93" s="1848"/>
      <c r="BC93" s="1848"/>
      <c r="BD93" s="1848"/>
      <c r="BE93" s="1848"/>
      <c r="BF93" s="1848"/>
    </row>
    <row s="1660" customFormat="1" customHeight="1" ht="11.25">
      <c r="A94" s="1161"/>
      <c r="B94" s="1161"/>
      <c r="C94" s="1161"/>
      <c r="D94" s="1155"/>
      <c r="E94" s="1165"/>
      <c r="F94" s="1854"/>
      <c r="G94" s="1855"/>
      <c r="H94" s="2338"/>
      <c r="I94" s="2392"/>
      <c r="J94" s="2316"/>
      <c r="K94" s="2393"/>
      <c r="L94" s="2386"/>
      <c r="M94" s="1964"/>
      <c r="N94" s="2394"/>
      <c r="O94" s="2351">
        <v>1</v>
      </c>
      <c r="P94" s="2346" t="s">
        <v>56</v>
      </c>
      <c r="Q94" s="2349" t="s">
        <v>24</v>
      </c>
      <c r="R94" s="2349" t="s">
        <v>24</v>
      </c>
      <c r="S94" s="2349" t="s">
        <v>24</v>
      </c>
      <c r="T94" s="2349" t="s">
        <v>24</v>
      </c>
      <c r="U94" s="2349" t="s">
        <v>24</v>
      </c>
      <c r="V94" s="2349" t="s">
        <v>24</v>
      </c>
      <c r="W94" s="2349" t="s">
        <v>24</v>
      </c>
      <c r="X94" s="2349" t="s">
        <v>24</v>
      </c>
      <c r="Y94" s="2349"/>
      <c r="Z94" s="1171"/>
      <c r="AA94" s="1172"/>
      <c r="AB94" s="1172"/>
      <c r="AC94" s="1176"/>
      <c r="AD94" s="1176"/>
      <c r="AE94" s="1177"/>
      <c r="AF94" s="2390"/>
      <c r="AG94" s="2386"/>
      <c r="AH94" s="2386"/>
      <c r="AI94" s="2390"/>
      <c r="AJ94" s="2386"/>
      <c r="AK94" s="2386"/>
      <c r="AL94" s="1168"/>
      <c r="AM94" s="1848"/>
      <c r="AN94" s="1848"/>
      <c r="AO94" s="1848"/>
      <c r="AP94" s="1848"/>
      <c r="AQ94" s="1848"/>
      <c r="AR94" s="1848"/>
      <c r="AS94" s="1848"/>
      <c r="AT94" s="1848"/>
      <c r="AU94" s="1848"/>
      <c r="AV94" s="1848"/>
      <c r="AW94" s="1848"/>
      <c r="AX94" s="1848"/>
      <c r="AY94" s="1848"/>
      <c r="AZ94" s="1848"/>
      <c r="BA94" s="1848"/>
      <c r="BB94" s="1848"/>
      <c r="BC94" s="1848"/>
      <c r="BD94" s="1848"/>
      <c r="BE94" s="1848"/>
      <c r="BF94" s="1848"/>
    </row>
    <row s="1660" customFormat="1" customHeight="1" ht="11.25">
      <c r="A95" s="1161"/>
      <c r="B95" s="1161"/>
      <c r="C95" s="1161"/>
      <c r="D95" s="1155"/>
      <c r="E95" s="1165"/>
      <c r="F95" s="1854"/>
      <c r="G95" s="1855"/>
      <c r="H95" s="2338"/>
      <c r="I95" s="2392"/>
      <c r="J95" s="2316"/>
      <c r="K95" s="2393"/>
      <c r="L95" s="2386"/>
      <c r="M95" s="1964"/>
      <c r="N95" s="2394"/>
      <c r="O95" s="2351"/>
      <c r="P95" s="2347"/>
      <c r="Q95" s="2349"/>
      <c r="R95" s="2349"/>
      <c r="S95" s="2391"/>
      <c r="T95" s="2349"/>
      <c r="U95" s="2349"/>
      <c r="V95" s="2349"/>
      <c r="W95" s="2349"/>
      <c r="X95" s="2349"/>
      <c r="Y95" s="2349"/>
      <c r="Z95" s="1853"/>
      <c r="AA95" s="1819">
        <v>1</v>
      </c>
      <c r="AB95" s="1175"/>
      <c r="AC95" s="1164"/>
      <c r="AD95" s="1175">
        <f>AB95</f>
        <v>0</v>
      </c>
      <c r="AE95" s="1164"/>
      <c r="AF95" s="2390"/>
      <c r="AG95" s="2386"/>
      <c r="AH95" s="2386"/>
      <c r="AI95" s="2390"/>
      <c r="AJ95" s="2386"/>
      <c r="AK95" s="2386"/>
      <c r="AL95" s="1168"/>
      <c r="AM95" s="1848"/>
      <c r="AN95" s="1848"/>
      <c r="AO95" s="1848"/>
      <c r="AP95" s="1848"/>
      <c r="AQ95" s="1848"/>
      <c r="AR95" s="1848"/>
      <c r="AS95" s="1848"/>
      <c r="AT95" s="1848"/>
      <c r="AU95" s="1848"/>
      <c r="AV95" s="1848"/>
      <c r="AW95" s="1848"/>
      <c r="AX95" s="1848"/>
      <c r="AY95" s="1848"/>
      <c r="AZ95" s="1848"/>
      <c r="BA95" s="1848"/>
      <c r="BB95" s="1848"/>
      <c r="BC95" s="1848"/>
      <c r="BD95" s="1848"/>
      <c r="BE95" s="1848"/>
      <c r="BF95" s="1848"/>
    </row>
    <row s="1660" customFormat="1" customHeight="1" ht="11.25">
      <c r="A96" s="1161"/>
      <c r="B96" s="1161"/>
      <c r="C96" s="1161"/>
      <c r="D96" s="1155"/>
      <c r="E96" s="1165"/>
      <c r="F96" s="1854"/>
      <c r="G96" s="1855"/>
      <c r="H96" s="2338"/>
      <c r="I96" s="2392"/>
      <c r="J96" s="2316"/>
      <c r="K96" s="2393"/>
      <c r="L96" s="2386"/>
      <c r="M96" s="1964"/>
      <c r="N96" s="2394"/>
      <c r="O96" s="2351"/>
      <c r="P96" s="2348"/>
      <c r="Q96" s="2349"/>
      <c r="R96" s="2349"/>
      <c r="S96" s="2391"/>
      <c r="T96" s="2349"/>
      <c r="U96" s="2349"/>
      <c r="V96" s="2349"/>
      <c r="W96" s="2349"/>
      <c r="X96" s="2349"/>
      <c r="Y96" s="2349"/>
      <c r="Z96" s="1171"/>
      <c r="AA96" s="1172"/>
      <c r="AB96" s="1246" t="s">
        <v>1172</v>
      </c>
      <c r="AC96" s="1176"/>
      <c r="AD96" s="1176"/>
      <c r="AE96" s="1178"/>
      <c r="AF96" s="2390"/>
      <c r="AG96" s="2386"/>
      <c r="AH96" s="2386"/>
      <c r="AI96" s="2390"/>
      <c r="AJ96" s="2386"/>
      <c r="AK96" s="2386"/>
      <c r="AL96" s="1168"/>
      <c r="AM96" s="1848"/>
      <c r="AN96" s="1848"/>
      <c r="AO96" s="1848"/>
      <c r="AP96" s="1848"/>
      <c r="AQ96" s="1848"/>
      <c r="AR96" s="1848"/>
      <c r="AS96" s="1848"/>
      <c r="AT96" s="1848"/>
      <c r="AU96" s="1848"/>
      <c r="AV96" s="1848"/>
      <c r="AW96" s="1848"/>
      <c r="AX96" s="1848"/>
      <c r="AY96" s="1848"/>
      <c r="AZ96" s="1848"/>
      <c r="BA96" s="1848"/>
      <c r="BB96" s="1848"/>
      <c r="BC96" s="1848"/>
      <c r="BD96" s="1848"/>
      <c r="BE96" s="1848"/>
      <c r="BF96" s="1848"/>
    </row>
    <row s="1660" customFormat="1" customHeight="1" ht="11.25">
      <c r="A97" s="1161"/>
      <c r="B97" s="1161"/>
      <c r="C97" s="1161"/>
      <c r="D97" s="1155"/>
      <c r="E97" s="1165"/>
      <c r="F97" s="1854"/>
      <c r="G97" s="1855"/>
      <c r="H97" s="2338"/>
      <c r="I97" s="2392"/>
      <c r="J97" s="2316"/>
      <c r="K97" s="2393"/>
      <c r="L97" s="2386"/>
      <c r="M97" s="1964"/>
      <c r="N97" s="1172"/>
      <c r="O97" s="1172"/>
      <c r="P97" s="1163" t="s">
        <v>1173</v>
      </c>
      <c r="Q97" s="1172"/>
      <c r="R97" s="1172"/>
      <c r="S97" s="1172"/>
      <c r="T97" s="1172"/>
      <c r="U97" s="1172"/>
      <c r="V97" s="1172"/>
      <c r="W97" s="1172"/>
      <c r="X97" s="1172"/>
      <c r="Y97" s="1172"/>
      <c r="Z97" s="1172"/>
      <c r="AA97" s="1172"/>
      <c r="AB97" s="1172"/>
      <c r="AC97" s="1172"/>
      <c r="AD97" s="1172"/>
      <c r="AE97" s="1179"/>
      <c r="AF97" s="2390"/>
      <c r="AG97" s="2386"/>
      <c r="AH97" s="2386"/>
      <c r="AI97" s="2390"/>
      <c r="AJ97" s="2386"/>
      <c r="AK97" s="2386"/>
      <c r="AL97" s="1168"/>
      <c r="AM97" s="1848"/>
      <c r="AN97" s="1848"/>
      <c r="AO97" s="1848"/>
      <c r="AP97" s="1848"/>
      <c r="AQ97" s="1848"/>
      <c r="AR97" s="1848"/>
      <c r="AS97" s="1848"/>
      <c r="AT97" s="1848"/>
      <c r="AU97" s="1848"/>
      <c r="AV97" s="1848"/>
      <c r="AW97" s="1848"/>
      <c r="AX97" s="1848"/>
      <c r="AY97" s="1848"/>
      <c r="AZ97" s="1848"/>
      <c r="BA97" s="1848"/>
      <c r="BB97" s="1848"/>
      <c r="BC97" s="1848"/>
      <c r="BD97" s="1848"/>
      <c r="BE97" s="1848"/>
      <c r="BF97" s="1848"/>
    </row>
    <row r="99" s="1840" customFormat="1" customHeight="1" ht="11.25">
      <c r="A99" s="1840" t="s">
        <v>1178</v>
      </c>
    </row>
    <row customHeight="1" ht="17.25"/>
    <row s="919" customFormat="1" customHeight="1" ht="21">
      <c r="A101" s="1162"/>
      <c r="B101" s="934"/>
      <c r="D101" s="918"/>
      <c r="E101" s="933" t="s">
        <v>24</v>
      </c>
      <c r="F101" s="1116">
        <f>INDEX(IP_MAIN_LIST_NAME_IP,MATCH(A101,IP_MAIN_LIST_IP_ID,0))&amp;" ("&amp;INDEX(IP_MAIN_START_DATE,MATCH(A101,IP_MAIN_LIST_IP_ID,0))&amp;"-"&amp;INDEX(IP_MAIN_END_DATE,MATCH(A101,IP_MAIN_LIST_IP_ID,0))&amp;")"</f>
      </c>
      <c r="G101" s="1200"/>
      <c r="H101" s="1201"/>
      <c r="I101" s="1201"/>
      <c r="J101" s="1201"/>
      <c r="K101" s="1201"/>
      <c r="L101" s="1201"/>
      <c r="M101" s="1201"/>
      <c r="N101" s="1201"/>
      <c r="O101" s="1200"/>
      <c r="P101" s="1200"/>
      <c r="Q101" s="1200"/>
      <c r="R101" s="1200"/>
      <c r="S101" s="1200"/>
      <c r="T101" s="1200"/>
      <c r="U101" s="1202"/>
      <c r="V101" s="1202"/>
      <c r="W101" s="1202"/>
      <c r="X101" s="1202"/>
      <c r="Y101" s="1202"/>
      <c r="Z101" s="1202"/>
      <c r="AA101" s="1202"/>
      <c r="AB101" s="1200"/>
      <c r="AC101" s="1201"/>
      <c r="AD101" s="1201"/>
      <c r="AE101" s="1201"/>
      <c r="AF101" s="1201"/>
      <c r="AG101" s="1201"/>
      <c r="AH101" s="1201"/>
      <c r="AI101" s="1201"/>
      <c r="AJ101" s="1201"/>
      <c r="AK101" s="1201"/>
      <c r="AL101" s="1201"/>
      <c r="AM101" s="1201"/>
      <c r="AN101" s="1201"/>
      <c r="AO101" s="1201"/>
      <c r="AP101" s="1201"/>
      <c r="AQ101" s="1201"/>
      <c r="AR101" s="1201"/>
      <c r="AS101" s="1201"/>
      <c r="AT101" s="1201"/>
      <c r="AU101" s="1201"/>
      <c r="AV101" s="1201"/>
      <c r="AW101" s="1201"/>
      <c r="AX101" s="1201"/>
      <c r="AY101" s="1201"/>
      <c r="AZ101" s="1201"/>
      <c r="BA101" s="1201"/>
      <c r="BB101" s="1201"/>
      <c r="BC101" s="1201"/>
      <c r="BD101" s="1201"/>
      <c r="BE101" s="1201"/>
      <c r="BF101" s="1201"/>
      <c r="BG101" s="1201"/>
      <c r="BH101" s="1201"/>
      <c r="BI101" s="1201"/>
      <c r="BJ101" s="1201"/>
      <c r="BK101" s="1201"/>
      <c r="BL101" s="1201"/>
      <c r="BM101" s="1201"/>
      <c r="BN101" s="1201"/>
      <c r="BO101" s="1201"/>
      <c r="BP101" s="1201"/>
      <c r="BQ101" s="1201"/>
      <c r="BR101" s="1201"/>
      <c r="BS101" s="1201"/>
      <c r="BT101" s="1201"/>
      <c r="BU101" s="1201"/>
      <c r="BV101" s="1201"/>
      <c r="BW101" s="1201"/>
      <c r="BX101" s="1201"/>
      <c r="BY101" s="1201"/>
      <c r="BZ101" s="1201"/>
      <c r="CA101" s="1201"/>
      <c r="CB101" s="1201"/>
      <c r="CC101" s="1201"/>
      <c r="CD101" s="1201"/>
      <c r="CE101" s="1201"/>
      <c r="CF101" s="1201"/>
      <c r="CG101" s="1201"/>
      <c r="CH101" s="1201"/>
      <c r="CI101" s="1201"/>
      <c r="CJ101" s="1201"/>
      <c r="CK101" s="1201"/>
      <c r="CL101" s="1203"/>
      <c r="CM101" s="1203"/>
      <c r="CN101" s="1203"/>
      <c r="CO101" s="1203"/>
      <c r="CP101" s="1203"/>
      <c r="CQ101" s="1203"/>
      <c r="CR101" s="1203"/>
      <c r="CS101" s="1203"/>
      <c r="CT101" s="1203"/>
      <c r="CU101" s="1203"/>
      <c r="CV101" s="1203"/>
      <c r="CW101" s="1203"/>
      <c r="CX101" s="1203"/>
      <c r="CY101" s="1203"/>
      <c r="CZ101" s="1203"/>
      <c r="DA101" s="1203"/>
      <c r="DB101" s="1203"/>
      <c r="DC101" s="1203"/>
      <c r="DD101" s="1203"/>
      <c r="DE101" s="1203"/>
      <c r="DF101" s="1203"/>
      <c r="DG101" s="1203"/>
      <c r="DH101" s="1203"/>
      <c r="DI101" s="1203"/>
      <c r="DJ101" s="1203"/>
      <c r="DK101" s="1203"/>
      <c r="DL101" s="1203"/>
      <c r="DM101" s="1203"/>
      <c r="DN101" s="1203"/>
      <c r="DO101" s="1203"/>
      <c r="DP101" s="1203"/>
      <c r="DQ101" s="1203"/>
      <c r="DR101" s="1203"/>
      <c r="DS101" s="1203"/>
      <c r="DT101" s="1203"/>
      <c r="DU101" s="1203"/>
      <c r="DV101" s="1203"/>
      <c r="DW101" s="1203"/>
      <c r="DX101" s="1203"/>
      <c r="DY101" s="1203"/>
      <c r="DZ101" s="1203"/>
      <c r="EA101" s="1203"/>
      <c r="EB101" s="1203"/>
      <c r="EC101" s="1203"/>
      <c r="ED101" s="1203"/>
      <c r="EE101" s="1203"/>
      <c r="EF101" s="1203"/>
      <c r="EG101" s="1203"/>
      <c r="EH101" s="1203"/>
      <c r="EI101" s="1203"/>
      <c r="EJ101" s="1203"/>
      <c r="EK101" s="1203"/>
      <c r="EL101" s="1203"/>
      <c r="EM101" s="1203"/>
      <c r="EN101" s="1203"/>
      <c r="EO101" s="1203"/>
      <c r="EP101" s="1203"/>
      <c r="EQ101" s="1203"/>
      <c r="ER101" s="1203"/>
      <c r="ES101" s="1203"/>
      <c r="ET101" s="1203"/>
      <c r="EU101" s="1203"/>
      <c r="EV101" s="1203"/>
      <c r="EW101" s="1203"/>
      <c r="EX101" s="1203"/>
      <c r="EY101" s="1203"/>
      <c r="EZ101" s="1203"/>
      <c r="FA101" s="1203"/>
      <c r="FB101" s="1203"/>
      <c r="FC101" s="1203"/>
      <c r="FD101" s="1203"/>
      <c r="FE101" s="1203"/>
      <c r="FF101" s="1203"/>
      <c r="FG101" s="1203"/>
      <c r="FH101" s="1203"/>
      <c r="FI101" s="1203"/>
      <c r="FJ101" s="1203"/>
      <c r="FK101" s="1203"/>
      <c r="FL101" s="1203"/>
      <c r="FM101" s="1203"/>
      <c r="FN101" s="1203"/>
      <c r="FO101" s="1203"/>
      <c r="FP101" s="1203"/>
      <c r="FQ101" s="1203"/>
      <c r="FR101" s="1203"/>
      <c r="FS101" s="1203"/>
      <c r="FT101" s="1203"/>
      <c r="FU101" s="1203"/>
      <c r="FV101" s="1204"/>
      <c r="FW101" s="1198"/>
      <c r="FX101" s="1199"/>
    </row>
    <row s="919" customFormat="1" customHeight="1" ht="24.75">
      <c r="B102" s="917"/>
      <c r="C102" s="918"/>
      <c r="D102" s="918"/>
      <c r="E102" s="0"/>
      <c r="F102" s="1205">
        <v>1</v>
      </c>
      <c r="G102" s="1206"/>
      <c r="H102" s="1207"/>
      <c r="I102" s="1215"/>
      <c r="J102" s="1208"/>
      <c r="K102" s="1208"/>
      <c r="L102" s="1208"/>
      <c r="M102" s="1208"/>
      <c r="N102" s="1208"/>
      <c r="O102" s="1209"/>
      <c r="P102" s="1209"/>
      <c r="Q102" s="1209"/>
      <c r="R102" s="1209"/>
      <c r="S102" s="1209"/>
      <c r="T102" s="1209"/>
      <c r="U102" s="1209"/>
      <c r="V102" s="1209"/>
      <c r="W102" s="1209"/>
      <c r="X102" s="1209"/>
      <c r="Y102" s="1209"/>
      <c r="Z102" s="1209"/>
      <c r="AA102" s="1209"/>
      <c r="AB102" s="1209"/>
      <c r="AC102" s="1208"/>
      <c r="AD102" s="1208"/>
      <c r="AE102" s="1208"/>
      <c r="AF102" s="1208"/>
      <c r="AG102" s="1208"/>
      <c r="AH102" s="1208"/>
      <c r="AI102" s="1208"/>
      <c r="AJ102" s="1208"/>
      <c r="AK102" s="1208"/>
      <c r="AL102" s="1208"/>
      <c r="AM102" s="1208"/>
      <c r="AN102" s="1208"/>
      <c r="AO102" s="1208"/>
      <c r="AP102" s="1208"/>
      <c r="AQ102" s="1208"/>
      <c r="AR102" s="1208"/>
      <c r="AS102" s="1208"/>
      <c r="AT102" s="1208"/>
      <c r="AU102" s="1208"/>
      <c r="AV102" s="1208"/>
      <c r="AW102" s="1208"/>
      <c r="AX102" s="1208"/>
      <c r="AY102" s="1208"/>
      <c r="AZ102" s="1208"/>
      <c r="BA102" s="1208"/>
      <c r="BB102" s="1208"/>
      <c r="BC102" s="1208"/>
      <c r="BD102" s="1208"/>
      <c r="BE102" s="1208"/>
      <c r="BF102" s="1208"/>
      <c r="BG102" s="1208"/>
      <c r="BH102" s="1208"/>
      <c r="BI102" s="1208"/>
      <c r="BJ102" s="1208"/>
      <c r="BK102" s="1208"/>
      <c r="BL102" s="1208"/>
      <c r="BM102" s="1208"/>
      <c r="BN102" s="1208"/>
      <c r="BO102" s="1208"/>
      <c r="BP102" s="1208"/>
      <c r="BQ102" s="1208"/>
      <c r="BR102" s="1208"/>
      <c r="BS102" s="1208"/>
      <c r="BT102" s="1210"/>
      <c r="BU102" s="1210"/>
      <c r="BV102" s="1210"/>
      <c r="BW102" s="1210"/>
      <c r="BX102" s="1210"/>
      <c r="BY102" s="1210"/>
      <c r="BZ102" s="1210"/>
      <c r="CA102" s="1210"/>
      <c r="CB102" s="1210"/>
      <c r="CC102" s="1210"/>
      <c r="CD102" s="1210"/>
      <c r="CE102" s="1210"/>
      <c r="CF102" s="1210"/>
      <c r="CG102" s="1210"/>
      <c r="CH102" s="1210"/>
      <c r="CI102" s="1210"/>
      <c r="CJ102" s="1210"/>
      <c r="CK102" s="1210"/>
      <c r="CL102" s="1208"/>
      <c r="CM102" s="1208"/>
      <c r="CN102" s="1208"/>
      <c r="CO102" s="1208"/>
      <c r="CP102" s="1208"/>
      <c r="CQ102" s="1208"/>
      <c r="CR102" s="1208"/>
      <c r="CS102" s="1208"/>
      <c r="CT102" s="1208"/>
      <c r="CU102" s="1208"/>
      <c r="CV102" s="1208"/>
      <c r="CW102" s="1208"/>
      <c r="CX102" s="1208"/>
      <c r="CY102" s="1209"/>
      <c r="CZ102" s="1209"/>
      <c r="DA102" s="1209"/>
      <c r="DB102" s="1209"/>
      <c r="DC102" s="1209"/>
      <c r="DD102" s="1209"/>
      <c r="DE102" s="1209"/>
      <c r="DF102" s="1209"/>
      <c r="DG102" s="1209"/>
      <c r="DH102" s="1209"/>
      <c r="DI102" s="1209"/>
      <c r="DJ102" s="1209"/>
      <c r="DK102" s="1208"/>
      <c r="DL102" s="1208"/>
      <c r="DM102" s="1208"/>
      <c r="DN102" s="1208"/>
      <c r="DO102" s="1208"/>
      <c r="DP102" s="1208"/>
      <c r="DQ102" s="1208"/>
      <c r="DR102" s="1208"/>
      <c r="DS102" s="1208"/>
      <c r="DT102" s="1208"/>
      <c r="DU102" s="1208"/>
      <c r="DV102" s="1208"/>
      <c r="DW102" s="1208"/>
      <c r="DX102" s="1208"/>
      <c r="DY102" s="1208"/>
      <c r="DZ102" s="1208"/>
      <c r="EA102" s="1208"/>
      <c r="EB102" s="1208"/>
      <c r="EC102" s="1208"/>
      <c r="ED102" s="1208"/>
      <c r="EE102" s="1208"/>
      <c r="EF102" s="1208"/>
      <c r="EG102" s="1208"/>
      <c r="EH102" s="1208"/>
      <c r="EI102" s="1208"/>
      <c r="EJ102" s="1208"/>
      <c r="EK102" s="1208"/>
      <c r="EL102" s="1208"/>
      <c r="EM102" s="1208"/>
      <c r="EN102" s="1208"/>
      <c r="EO102" s="1208"/>
      <c r="EP102" s="1208"/>
      <c r="EQ102" s="1208"/>
      <c r="ER102" s="1208"/>
      <c r="ES102" s="1208"/>
      <c r="ET102" s="1208"/>
      <c r="EU102" s="1208"/>
      <c r="EV102" s="1208"/>
      <c r="EW102" s="1208"/>
      <c r="EX102" s="1208"/>
      <c r="EY102" s="1208"/>
      <c r="EZ102" s="1208"/>
      <c r="FA102" s="1208"/>
      <c r="FB102" s="1208"/>
      <c r="FC102" s="1208"/>
      <c r="FD102" s="1208"/>
      <c r="FE102" s="1208"/>
      <c r="FF102" s="1208"/>
      <c r="FG102" s="1208"/>
      <c r="FH102" s="1208"/>
      <c r="FI102" s="1208"/>
      <c r="FJ102" s="1208"/>
      <c r="FK102" s="1208"/>
      <c r="FL102" s="1208"/>
      <c r="FM102" s="1208"/>
      <c r="FN102" s="1208"/>
      <c r="FO102" s="1208"/>
      <c r="FP102" s="1208"/>
      <c r="FQ102" s="1208"/>
      <c r="FR102" s="1208"/>
      <c r="FS102" s="1208"/>
      <c r="FT102" s="1208"/>
      <c r="FU102" s="1208"/>
      <c r="FV102" s="1208"/>
      <c r="FW102" s="1208"/>
      <c r="FX102" s="1199"/>
    </row>
    <row s="919" customFormat="1" customHeight="1" ht="12">
      <c r="A103" s="918"/>
      <c r="B103" s="917"/>
      <c r="C103" s="918"/>
      <c r="D103" s="918"/>
      <c r="E103" s="918"/>
      <c r="F103" s="1211"/>
      <c r="G103" s="1825" t="s">
        <v>1179</v>
      </c>
      <c r="H103" s="1212"/>
      <c r="I103" s="1212"/>
      <c r="J103" s="1212"/>
      <c r="K103" s="1212"/>
      <c r="L103" s="1212"/>
      <c r="M103" s="1212"/>
      <c r="N103" s="1212"/>
      <c r="O103" s="1212"/>
      <c r="P103" s="1212"/>
      <c r="Q103" s="1212"/>
      <c r="R103" s="1212"/>
      <c r="S103" s="1212"/>
      <c r="T103" s="1212"/>
      <c r="U103" s="1212"/>
      <c r="V103" s="1212"/>
      <c r="W103" s="1212"/>
      <c r="X103" s="1212"/>
      <c r="Y103" s="1212"/>
      <c r="Z103" s="1212"/>
      <c r="AA103" s="1212"/>
      <c r="AB103" s="1212"/>
      <c r="AC103" s="1212"/>
      <c r="AD103" s="1212"/>
      <c r="AE103" s="1212"/>
      <c r="AF103" s="1212"/>
      <c r="AG103" s="1212"/>
      <c r="AH103" s="1212"/>
      <c r="AI103" s="1212"/>
      <c r="AJ103" s="1212"/>
      <c r="AK103" s="1212"/>
      <c r="AL103" s="1212"/>
      <c r="AM103" s="1212"/>
      <c r="AN103" s="1212"/>
      <c r="AO103" s="1212"/>
      <c r="AP103" s="1212"/>
      <c r="AQ103" s="1212"/>
      <c r="AR103" s="1212"/>
      <c r="AS103" s="1212"/>
      <c r="AT103" s="1212"/>
      <c r="AU103" s="1212"/>
      <c r="AV103" s="1212"/>
      <c r="AW103" s="1212"/>
      <c r="AX103" s="1212"/>
      <c r="AY103" s="1212"/>
      <c r="AZ103" s="1212"/>
      <c r="BA103" s="1212"/>
      <c r="BB103" s="1212"/>
      <c r="BC103" s="1212"/>
      <c r="BD103" s="1212"/>
      <c r="BE103" s="1212"/>
      <c r="BF103" s="1212"/>
      <c r="BG103" s="1212"/>
      <c r="BH103" s="1212"/>
      <c r="BI103" s="1212"/>
      <c r="BJ103" s="1212"/>
      <c r="BK103" s="1212"/>
      <c r="BL103" s="1212"/>
      <c r="BM103" s="1212"/>
      <c r="BN103" s="1212"/>
      <c r="BO103" s="1212"/>
      <c r="BP103" s="1212"/>
      <c r="BQ103" s="1212"/>
      <c r="BR103" s="1212"/>
      <c r="BS103" s="1212"/>
      <c r="BT103" s="1212"/>
      <c r="BU103" s="1212"/>
      <c r="BV103" s="1212"/>
      <c r="BW103" s="1212"/>
      <c r="BX103" s="1212"/>
      <c r="BY103" s="1212"/>
      <c r="BZ103" s="1212"/>
      <c r="CA103" s="1212"/>
      <c r="CB103" s="1212"/>
      <c r="CC103" s="1212"/>
      <c r="CD103" s="1212"/>
      <c r="CE103" s="1212"/>
      <c r="CF103" s="1212"/>
      <c r="CG103" s="1212"/>
      <c r="CH103" s="1212"/>
      <c r="CI103" s="1212"/>
      <c r="CJ103" s="1212"/>
      <c r="CK103" s="1212"/>
      <c r="CL103" s="1212"/>
      <c r="CM103" s="1212"/>
      <c r="CN103" s="1212"/>
      <c r="CO103" s="1212"/>
      <c r="CP103" s="1212"/>
      <c r="CQ103" s="1212"/>
      <c r="CR103" s="1212"/>
      <c r="CS103" s="1212"/>
      <c r="CT103" s="1212"/>
      <c r="CU103" s="1212"/>
      <c r="CV103" s="1212"/>
      <c r="CW103" s="1212"/>
      <c r="CX103" s="1212"/>
      <c r="CY103" s="1212"/>
      <c r="CZ103" s="1212"/>
      <c r="DA103" s="1212"/>
      <c r="DB103" s="1212"/>
      <c r="DC103" s="1212"/>
      <c r="DD103" s="1212"/>
      <c r="DE103" s="1212"/>
      <c r="DF103" s="1212"/>
      <c r="DG103" s="1212"/>
      <c r="DH103" s="1212"/>
      <c r="DI103" s="1212"/>
      <c r="DJ103" s="1212"/>
      <c r="DK103" s="1212"/>
      <c r="DL103" s="1212"/>
      <c r="DM103" s="1212"/>
      <c r="DN103" s="1212"/>
      <c r="DO103" s="1212"/>
      <c r="DP103" s="1212"/>
      <c r="DQ103" s="1212"/>
      <c r="DR103" s="1212"/>
      <c r="DS103" s="1212"/>
      <c r="DT103" s="1212"/>
      <c r="DU103" s="1212"/>
      <c r="DV103" s="1212"/>
      <c r="DW103" s="1212"/>
      <c r="DX103" s="1212"/>
      <c r="DY103" s="1212"/>
      <c r="DZ103" s="1212"/>
      <c r="EA103" s="1212"/>
      <c r="EB103" s="1212"/>
      <c r="EC103" s="1212"/>
      <c r="ED103" s="1212"/>
      <c r="EE103" s="1212"/>
      <c r="EF103" s="1212"/>
      <c r="EG103" s="1212"/>
      <c r="EH103" s="1212"/>
      <c r="EI103" s="1212"/>
      <c r="EJ103" s="1212"/>
      <c r="EK103" s="1212"/>
      <c r="EL103" s="1212"/>
      <c r="EM103" s="1212"/>
      <c r="EN103" s="1212"/>
      <c r="EO103" s="1212"/>
      <c r="EP103" s="1212"/>
      <c r="EQ103" s="1212"/>
      <c r="ER103" s="1212"/>
      <c r="ES103" s="1212"/>
      <c r="ET103" s="1212"/>
      <c r="EU103" s="1212"/>
      <c r="EV103" s="1212"/>
      <c r="EW103" s="1212"/>
      <c r="EX103" s="1212"/>
      <c r="EY103" s="1212"/>
      <c r="EZ103" s="1212"/>
      <c r="FA103" s="1212"/>
      <c r="FB103" s="1212"/>
      <c r="FC103" s="1212"/>
      <c r="FD103" s="1212"/>
      <c r="FE103" s="1212"/>
      <c r="FF103" s="1212"/>
      <c r="FG103" s="1212"/>
      <c r="FH103" s="1212"/>
      <c r="FI103" s="1212"/>
      <c r="FJ103" s="1212"/>
      <c r="FK103" s="1212"/>
      <c r="FL103" s="1212"/>
      <c r="FM103" s="1212"/>
      <c r="FN103" s="1212"/>
      <c r="FO103" s="1212"/>
      <c r="FP103" s="1212"/>
      <c r="FQ103" s="1212"/>
      <c r="FR103" s="1212"/>
      <c r="FS103" s="1212"/>
      <c r="FT103" s="1212"/>
      <c r="FU103" s="1212"/>
      <c r="FV103" s="1212"/>
      <c r="FW103" s="1213"/>
      <c r="FX103" s="1214"/>
      <c r="FY103" s="935"/>
      <c r="FZ103" s="935"/>
      <c r="GA103" s="935"/>
      <c r="GB103" s="935"/>
    </row>
    <row r="105" s="1840" customFormat="1" customHeight="1" ht="11.25">
      <c r="A105" s="1840" t="s">
        <v>1180</v>
      </c>
    </row>
    <row r="107" s="2437" customFormat="1" customHeight="1" ht="15">
      <c r="A107" s="619"/>
      <c r="B107" s="0"/>
      <c r="C107" s="0"/>
      <c r="D107" s="2343" t="s">
        <v>108</v>
      </c>
      <c r="E107" s="2207" t="s">
        <v>104</v>
      </c>
      <c r="F107" s="2208"/>
      <c r="G107" s="2209"/>
      <c r="H107" s="2202" t="str">
        <f>IF(A107="","",INDEX(DIFFERENTIATION_UNMERGE_VD,MATCH(A107,DIFFERENTIATION_ID_DIFF,0)))</f>
        <v/>
      </c>
      <c r="I107" s="2202"/>
      <c r="J107" s="2202"/>
      <c r="K107" s="2202"/>
      <c r="L107" s="2202"/>
      <c r="M107" s="2202"/>
      <c r="N107" s="2202"/>
      <c r="O107" s="2202"/>
      <c r="P107" s="2202"/>
      <c r="Q107" s="2202"/>
      <c r="R107" s="2202"/>
      <c r="S107" s="714"/>
      <c r="T107" s="711"/>
      <c r="U107" s="620"/>
      <c r="V107" s="620"/>
      <c r="W107" s="621"/>
      <c r="X107" s="621"/>
      <c r="Y107" s="621"/>
      <c r="Z107" s="621"/>
      <c r="AA107" s="622"/>
      <c r="AB107" s="623"/>
      <c r="AC107" s="2206"/>
      <c r="AD107" s="624"/>
      <c r="AE107" s="625" t="s">
        <v>24</v>
      </c>
      <c r="AF107" s="625"/>
      <c r="AG107" s="626" t="s">
        <v>620</v>
      </c>
      <c r="AH107" s="627">
        <v>3</v>
      </c>
      <c r="AI107" s="620"/>
      <c r="AJ107" s="620"/>
      <c r="AK107" s="620"/>
      <c r="AL107" s="620"/>
      <c r="AM107" s="620"/>
      <c r="AN107" s="620"/>
      <c r="AO107" s="620"/>
      <c r="AP107" s="620"/>
      <c r="AQ107" s="620"/>
      <c r="AR107" s="620"/>
      <c r="AS107" s="620"/>
      <c r="AT107" s="620"/>
      <c r="AU107" s="620"/>
      <c r="AV107" s="620"/>
      <c r="AW107" s="620"/>
      <c r="AX107" s="620"/>
      <c r="AY107" s="620"/>
      <c r="AZ107" s="620"/>
      <c r="BA107" s="620"/>
      <c r="BB107" s="620"/>
      <c r="BC107" s="620"/>
      <c r="BD107" s="620"/>
      <c r="BE107" s="620"/>
      <c r="BF107" s="620"/>
      <c r="BG107" s="620"/>
      <c r="BH107" s="620"/>
      <c r="BI107" s="620"/>
      <c r="BJ107" s="620"/>
      <c r="BK107" s="620"/>
      <c r="BL107" s="620"/>
      <c r="BM107" s="620"/>
      <c r="BN107" s="620"/>
      <c r="BO107" s="620"/>
      <c r="BP107" s="620"/>
      <c r="BQ107" s="620"/>
      <c r="BR107" s="620"/>
      <c r="BS107" s="620"/>
      <c r="BT107" s="620"/>
      <c r="BU107" s="620"/>
      <c r="BV107" s="621"/>
      <c r="BW107" s="621"/>
      <c r="BX107" s="621"/>
      <c r="BY107" s="621"/>
      <c r="BZ107" s="621"/>
      <c r="CA107" s="621"/>
      <c r="CB107" s="621"/>
      <c r="CC107" s="621"/>
      <c r="CD107" s="621"/>
      <c r="CE107" s="621"/>
    </row>
    <row s="2437" customFormat="1" customHeight="1" ht="15">
      <c r="A108" s="619"/>
      <c r="B108" s="0"/>
      <c r="C108" s="0"/>
      <c r="D108" s="2344"/>
      <c r="E108" s="2207" t="s">
        <v>575</v>
      </c>
      <c r="F108" s="2208"/>
      <c r="G108" s="2209"/>
      <c r="H108" s="2202" t="str">
        <f>IF(A107="","",INDEX(DIFFERENTIATION_UNMERGE_AREA,MATCH(A107,DIFFERENTIATION_ID_DIFF,0)))</f>
        <v/>
      </c>
      <c r="I108" s="2202"/>
      <c r="J108" s="2202"/>
      <c r="K108" s="2202"/>
      <c r="L108" s="2202"/>
      <c r="M108" s="2202"/>
      <c r="N108" s="2202"/>
      <c r="O108" s="2202"/>
      <c r="P108" s="2202"/>
      <c r="Q108" s="2202"/>
      <c r="R108" s="2202"/>
      <c r="S108" s="714"/>
      <c r="T108" s="711"/>
      <c r="U108" s="620"/>
      <c r="V108" s="620"/>
      <c r="W108" s="621"/>
      <c r="X108" s="621"/>
      <c r="Y108" s="621"/>
      <c r="Z108" s="621"/>
      <c r="AA108" s="622"/>
      <c r="AB108" s="623"/>
      <c r="AC108" s="2206"/>
      <c r="AD108" s="624"/>
      <c r="AE108" s="625"/>
      <c r="AF108" s="625"/>
      <c r="AG108" s="626"/>
      <c r="AH108" s="627"/>
      <c r="AI108" s="620"/>
      <c r="AJ108" s="620"/>
      <c r="AK108" s="620"/>
      <c r="AL108" s="620"/>
      <c r="AM108" s="620"/>
      <c r="AN108" s="620"/>
      <c r="AO108" s="620"/>
      <c r="AP108" s="620"/>
      <c r="AQ108" s="620"/>
      <c r="AR108" s="620"/>
      <c r="AS108" s="620"/>
      <c r="AT108" s="620"/>
      <c r="AU108" s="620"/>
      <c r="AV108" s="620"/>
      <c r="AW108" s="620"/>
      <c r="AX108" s="620"/>
      <c r="AY108" s="620"/>
      <c r="AZ108" s="620"/>
      <c r="BA108" s="620"/>
      <c r="BB108" s="620"/>
      <c r="BC108" s="620"/>
      <c r="BD108" s="620"/>
      <c r="BE108" s="620"/>
      <c r="BF108" s="620"/>
      <c r="BG108" s="620"/>
      <c r="BH108" s="620"/>
      <c r="BI108" s="620"/>
      <c r="BJ108" s="620"/>
      <c r="BK108" s="620"/>
      <c r="BL108" s="620"/>
      <c r="BM108" s="620"/>
      <c r="BN108" s="620"/>
      <c r="BO108" s="620"/>
      <c r="BP108" s="620"/>
      <c r="BQ108" s="620"/>
      <c r="BR108" s="620"/>
      <c r="BS108" s="620"/>
      <c r="BT108" s="620"/>
      <c r="BU108" s="620"/>
      <c r="BV108" s="621"/>
      <c r="BW108" s="621"/>
      <c r="BX108" s="621"/>
      <c r="BY108" s="621"/>
      <c r="BZ108" s="621"/>
      <c r="CA108" s="621"/>
      <c r="CB108" s="621"/>
      <c r="CC108" s="621"/>
      <c r="CD108" s="621"/>
      <c r="CE108" s="621"/>
    </row>
    <row s="2437" customFormat="1" customHeight="1" ht="15">
      <c r="A109" s="619"/>
      <c r="B109" s="0"/>
      <c r="C109" s="0"/>
      <c r="D109" s="2344"/>
      <c r="E109" s="2207" t="s">
        <v>576</v>
      </c>
      <c r="F109" s="2208"/>
      <c r="G109" s="2209"/>
      <c r="H109" s="2202" t="str">
        <f>IF(A107="","",INDEX(DIFFERENTIATION_UNMERGE_SYSTEM,MATCH(A107,DIFFERENTIATION_ID_DIFF,0)))</f>
        <v/>
      </c>
      <c r="I109" s="2202"/>
      <c r="J109" s="2202"/>
      <c r="K109" s="2202"/>
      <c r="L109" s="2202"/>
      <c r="M109" s="2202"/>
      <c r="N109" s="2202"/>
      <c r="O109" s="2202"/>
      <c r="P109" s="2202"/>
      <c r="Q109" s="2202"/>
      <c r="R109" s="2202"/>
      <c r="S109" s="714"/>
      <c r="T109" s="711"/>
      <c r="U109" s="620"/>
      <c r="V109" s="620"/>
      <c r="W109" s="621"/>
      <c r="X109" s="621"/>
      <c r="Y109" s="621"/>
      <c r="Z109" s="621"/>
      <c r="AA109" s="622"/>
      <c r="AB109" s="623"/>
      <c r="AC109" s="2206"/>
      <c r="AD109" s="624"/>
      <c r="AE109" s="625"/>
      <c r="AF109" s="625"/>
      <c r="AG109" s="626"/>
      <c r="AH109" s="627"/>
      <c r="AI109" s="620"/>
      <c r="AJ109" s="620"/>
      <c r="AK109" s="620"/>
      <c r="AL109" s="620"/>
      <c r="AM109" s="620"/>
      <c r="AN109" s="620"/>
      <c r="AO109" s="620"/>
      <c r="AP109" s="620"/>
      <c r="AQ109" s="620"/>
      <c r="AR109" s="620"/>
      <c r="AS109" s="620"/>
      <c r="AT109" s="620"/>
      <c r="AU109" s="620"/>
      <c r="AV109" s="620"/>
      <c r="AW109" s="620"/>
      <c r="AX109" s="620"/>
      <c r="AY109" s="620"/>
      <c r="AZ109" s="620"/>
      <c r="BA109" s="620"/>
      <c r="BB109" s="620"/>
      <c r="BC109" s="620"/>
      <c r="BD109" s="620"/>
      <c r="BE109" s="620"/>
      <c r="BF109" s="620"/>
      <c r="BG109" s="620"/>
      <c r="BH109" s="620"/>
      <c r="BI109" s="620"/>
      <c r="BJ109" s="620"/>
      <c r="BK109" s="620"/>
      <c r="BL109" s="620"/>
      <c r="BM109" s="620"/>
      <c r="BN109" s="620"/>
      <c r="BO109" s="620"/>
      <c r="BP109" s="620"/>
      <c r="BQ109" s="620"/>
      <c r="BR109" s="620"/>
      <c r="BS109" s="620"/>
      <c r="BT109" s="620"/>
      <c r="BU109" s="620"/>
      <c r="BV109" s="621"/>
      <c r="BW109" s="621"/>
      <c r="BX109" s="621"/>
      <c r="BY109" s="621"/>
      <c r="BZ109" s="621"/>
      <c r="CA109" s="621"/>
      <c r="CB109" s="621"/>
      <c r="CC109" s="621"/>
      <c r="CD109" s="621"/>
      <c r="CE109" s="621"/>
    </row>
    <row s="2437" customFormat="1" customHeight="1" ht="24.75">
      <c r="A110" s="1831"/>
      <c r="B110" s="1155"/>
      <c r="C110" s="409"/>
      <c r="D110" s="2344"/>
      <c r="E110" s="2204" t="s">
        <v>621</v>
      </c>
      <c r="F110" s="2204"/>
      <c r="G110" s="2204"/>
      <c r="H110" s="2204"/>
      <c r="I110" s="2204"/>
      <c r="J110" s="2204"/>
      <c r="K110" s="2204"/>
      <c r="L110" s="2204"/>
      <c r="M110" s="2204"/>
      <c r="N110" s="2204"/>
      <c r="O110" s="2204"/>
      <c r="P110" s="2204"/>
      <c r="Q110" s="554">
        <f>SUMIF(T111:T112,"i",Q111:Q112)</f>
        <v>0</v>
      </c>
      <c r="R110" s="1012"/>
      <c r="S110" s="1823" t="s">
        <v>622</v>
      </c>
      <c r="T110" s="712" t="s">
        <v>623</v>
      </c>
      <c r="U110" s="2205">
        <v>1</v>
      </c>
      <c r="V110" s="2205" t="s">
        <v>586</v>
      </c>
      <c r="W110" s="1155"/>
      <c r="X110" s="1155"/>
      <c r="Y110" s="1155"/>
      <c r="Z110" s="1155"/>
      <c r="AA110" s="1661"/>
      <c r="AB110" s="1155"/>
      <c r="AC110" s="2206"/>
      <c r="AD110" s="624"/>
      <c r="AE110" s="1155"/>
      <c r="AF110" s="1155"/>
      <c r="AG110" s="1661"/>
      <c r="AH110" s="1661"/>
      <c r="AI110" s="1661"/>
      <c r="AJ110" s="1661"/>
      <c r="AK110" s="1661"/>
      <c r="AL110" s="1661"/>
      <c r="AM110" s="1661"/>
      <c r="AN110" s="1661"/>
      <c r="AO110" s="1661"/>
      <c r="AP110" s="1661"/>
      <c r="AQ110" s="1661"/>
      <c r="AR110" s="1661"/>
      <c r="AS110" s="1661"/>
      <c r="AT110" s="1661"/>
      <c r="AU110" s="1661"/>
      <c r="AV110" s="1661"/>
      <c r="AW110" s="1661"/>
      <c r="AX110" s="1661"/>
      <c r="AY110" s="1661"/>
      <c r="AZ110" s="1661"/>
      <c r="BA110" s="1661"/>
      <c r="BB110" s="1661"/>
      <c r="BC110" s="1661"/>
      <c r="BD110" s="1661"/>
      <c r="BE110" s="1661"/>
      <c r="BF110" s="1661"/>
      <c r="BG110" s="1661"/>
      <c r="BH110" s="1661"/>
      <c r="BI110" s="1661"/>
      <c r="BJ110" s="1661"/>
      <c r="BK110" s="1661"/>
      <c r="BL110" s="1661"/>
      <c r="BM110" s="1661"/>
      <c r="BN110" s="1661"/>
      <c r="BO110" s="1661"/>
      <c r="BP110" s="1661"/>
      <c r="BQ110" s="1661"/>
      <c r="BR110" s="1661"/>
      <c r="BS110" s="1661"/>
      <c r="BT110" s="1661"/>
      <c r="BU110" s="1661"/>
      <c r="BV110" s="1155"/>
      <c r="BW110" s="1155"/>
      <c r="BX110" s="1155"/>
      <c r="BY110" s="1155"/>
      <c r="BZ110" s="1155"/>
      <c r="CA110" s="1155"/>
      <c r="CB110" s="1155"/>
      <c r="CC110" s="1155"/>
      <c r="CD110" s="1155"/>
      <c r="CE110" s="1155"/>
    </row>
    <row s="2437" customFormat="1" customHeight="1" ht="11.25" hidden="1">
      <c r="A111" s="1818"/>
      <c r="B111" s="1661"/>
      <c r="C111" s="1661"/>
      <c r="D111" s="2344"/>
      <c r="E111" s="630"/>
      <c r="F111" s="630">
        <v>0</v>
      </c>
      <c r="G111" s="630"/>
      <c r="H111" s="630"/>
      <c r="I111" s="630"/>
      <c r="J111" s="630"/>
      <c r="K111" s="630"/>
      <c r="L111" s="630"/>
      <c r="M111" s="630"/>
      <c r="N111" s="630"/>
      <c r="O111" s="630"/>
      <c r="P111" s="630"/>
      <c r="Q111" s="630"/>
      <c r="R111" s="630"/>
      <c r="S111" s="631"/>
      <c r="T111" s="713"/>
      <c r="U111" s="2205"/>
      <c r="V111" s="2205"/>
      <c r="W111" s="1661"/>
      <c r="X111" s="1661"/>
      <c r="Y111" s="1661"/>
      <c r="Z111" s="1661"/>
      <c r="AA111" s="1661"/>
      <c r="AB111" s="1155"/>
      <c r="AC111" s="2206"/>
      <c r="AD111" s="624"/>
      <c r="AE111" s="1155"/>
      <c r="AF111" s="1155"/>
      <c r="AG111" s="1661"/>
      <c r="AH111" s="1661"/>
      <c r="AI111" s="1661"/>
      <c r="AJ111" s="1661"/>
      <c r="AK111" s="1661"/>
      <c r="AL111" s="1661"/>
      <c r="AM111" s="1661"/>
      <c r="AN111" s="1661"/>
      <c r="AO111" s="1661"/>
      <c r="AP111" s="1661"/>
      <c r="AQ111" s="1661"/>
      <c r="AR111" s="1661"/>
      <c r="AS111" s="1661"/>
      <c r="AT111" s="1661"/>
      <c r="AU111" s="1661"/>
      <c r="AV111" s="1661"/>
      <c r="AW111" s="1661"/>
      <c r="AX111" s="1661"/>
      <c r="AY111" s="1661"/>
      <c r="AZ111" s="1661"/>
      <c r="BA111" s="1661"/>
      <c r="BB111" s="1661"/>
      <c r="BC111" s="1661"/>
      <c r="BD111" s="1661"/>
      <c r="BE111" s="1661"/>
      <c r="BF111" s="1661"/>
      <c r="BG111" s="1661"/>
      <c r="BH111" s="1661"/>
      <c r="BI111" s="1661"/>
      <c r="BJ111" s="1661"/>
      <c r="BK111" s="1661"/>
      <c r="BL111" s="1661"/>
      <c r="BM111" s="1661"/>
      <c r="BN111" s="1661"/>
      <c r="BO111" s="1661"/>
      <c r="BP111" s="1661"/>
      <c r="BQ111" s="1661"/>
      <c r="BR111" s="1661"/>
      <c r="BS111" s="1661"/>
      <c r="BT111" s="1661"/>
      <c r="BU111" s="1661"/>
      <c r="BV111" s="1661"/>
      <c r="BW111" s="1661"/>
      <c r="BX111" s="1661"/>
      <c r="BY111" s="1661"/>
      <c r="BZ111" s="1661"/>
      <c r="CA111" s="1661"/>
      <c r="CB111" s="1661"/>
      <c r="CC111" s="1661"/>
      <c r="CD111" s="1661"/>
      <c r="CE111" s="1661"/>
    </row>
    <row s="2437" customFormat="1" customHeight="1" ht="11.25">
      <c r="A112" s="1831"/>
      <c r="B112" s="1155"/>
      <c r="C112" s="409"/>
      <c r="D112" s="2344"/>
      <c r="E112" s="644" t="s">
        <v>24</v>
      </c>
      <c r="F112" s="1163" t="s">
        <v>24</v>
      </c>
      <c r="G112" s="1163" t="s">
        <v>1181</v>
      </c>
      <c r="H112" s="646" t="s">
        <v>24</v>
      </c>
      <c r="I112" s="646"/>
      <c r="J112" s="646"/>
      <c r="K112" s="646"/>
      <c r="L112" s="646"/>
      <c r="M112" s="646"/>
      <c r="N112" s="646"/>
      <c r="O112" s="646"/>
      <c r="P112" s="646"/>
      <c r="Q112" s="646"/>
      <c r="R112" s="647"/>
      <c r="S112" s="648"/>
      <c r="T112" s="713"/>
      <c r="U112" s="2205"/>
      <c r="V112" s="2205"/>
      <c r="W112" s="1155"/>
      <c r="X112" s="1155"/>
      <c r="Y112" s="1155"/>
      <c r="Z112" s="1155"/>
      <c r="AA112" s="1661"/>
      <c r="AB112" s="1155"/>
      <c r="AC112" s="2206"/>
      <c r="AD112" s="624"/>
      <c r="AE112" s="1155"/>
      <c r="AF112" s="1155"/>
      <c r="AG112" s="1661"/>
      <c r="AH112" s="1661"/>
      <c r="AI112" s="1661"/>
      <c r="AJ112" s="1661"/>
      <c r="AK112" s="1661"/>
      <c r="AL112" s="1661"/>
      <c r="AM112" s="1661"/>
      <c r="AN112" s="1661"/>
      <c r="AO112" s="1661"/>
      <c r="AP112" s="1661"/>
      <c r="AQ112" s="1661"/>
      <c r="AR112" s="1661"/>
      <c r="AS112" s="1661"/>
      <c r="AT112" s="1661"/>
      <c r="AU112" s="1661"/>
      <c r="AV112" s="1661"/>
      <c r="AW112" s="1661"/>
      <c r="AX112" s="1661"/>
      <c r="AY112" s="1661"/>
      <c r="AZ112" s="1661"/>
      <c r="BA112" s="1661"/>
      <c r="BB112" s="1661"/>
      <c r="BC112" s="1661"/>
      <c r="BD112" s="1661"/>
      <c r="BE112" s="1661"/>
      <c r="BF112" s="1661"/>
      <c r="BG112" s="1661"/>
      <c r="BH112" s="1661"/>
      <c r="BI112" s="1661"/>
      <c r="BJ112" s="1661"/>
      <c r="BK112" s="1661"/>
      <c r="BL112" s="1661"/>
      <c r="BM112" s="1661"/>
      <c r="BN112" s="1661"/>
      <c r="BO112" s="1661"/>
      <c r="BP112" s="1661"/>
      <c r="BQ112" s="1661"/>
      <c r="BR112" s="1661"/>
      <c r="BS112" s="1661"/>
      <c r="BT112" s="1661"/>
      <c r="BU112" s="1661"/>
      <c r="BV112" s="1155"/>
      <c r="BW112" s="1155"/>
      <c r="BX112" s="1155"/>
      <c r="BY112" s="1155"/>
      <c r="BZ112" s="1155"/>
      <c r="CA112" s="1155"/>
      <c r="CB112" s="1155"/>
      <c r="CC112" s="1155"/>
      <c r="CD112" s="1155"/>
      <c r="CE112" s="1155"/>
    </row>
    <row s="2437" customFormat="1" customHeight="1" ht="24.75">
      <c r="A113" s="1831"/>
      <c r="B113" s="1155"/>
      <c r="C113" s="409"/>
      <c r="D113" s="2344"/>
      <c r="E113" s="2204" t="s">
        <v>624</v>
      </c>
      <c r="F113" s="2204"/>
      <c r="G113" s="2204"/>
      <c r="H113" s="2204"/>
      <c r="I113" s="2204"/>
      <c r="J113" s="2204"/>
      <c r="K113" s="2204"/>
      <c r="L113" s="2204"/>
      <c r="M113" s="2204"/>
      <c r="N113" s="2204"/>
      <c r="O113" s="2204"/>
      <c r="P113" s="2204"/>
      <c r="Q113" s="554">
        <f>SUMIF(T114:T115,"i",Q114:Q115)</f>
        <v>0</v>
      </c>
      <c r="R113" s="1012"/>
      <c r="S113" s="1823" t="s">
        <v>625</v>
      </c>
      <c r="T113" s="712" t="s">
        <v>623</v>
      </c>
      <c r="U113" s="2205">
        <v>1</v>
      </c>
      <c r="V113" s="2205" t="s">
        <v>586</v>
      </c>
      <c r="W113" s="1155"/>
      <c r="X113" s="1155"/>
      <c r="Y113" s="1155"/>
      <c r="Z113" s="1155"/>
      <c r="AA113" s="1661"/>
      <c r="AB113" s="1155"/>
      <c r="AC113" s="1821"/>
      <c r="AD113" s="624"/>
      <c r="AE113" s="1155"/>
      <c r="AF113" s="1155"/>
      <c r="AG113" s="1661"/>
      <c r="AH113" s="1661"/>
      <c r="AI113" s="1661"/>
      <c r="AJ113" s="1661"/>
      <c r="AK113" s="1661"/>
      <c r="AL113" s="1661"/>
      <c r="AM113" s="1661"/>
      <c r="AN113" s="1661"/>
      <c r="AO113" s="1661"/>
      <c r="AP113" s="1661"/>
      <c r="AQ113" s="1661"/>
      <c r="AR113" s="1661"/>
      <c r="AS113" s="1661"/>
      <c r="AT113" s="1661"/>
      <c r="AU113" s="1661"/>
      <c r="AV113" s="1661"/>
      <c r="AW113" s="1661"/>
      <c r="AX113" s="1661"/>
      <c r="AY113" s="1661"/>
      <c r="AZ113" s="1661"/>
      <c r="BA113" s="1661"/>
      <c r="BB113" s="1661"/>
      <c r="BC113" s="1661"/>
      <c r="BD113" s="1661"/>
      <c r="BE113" s="1661"/>
      <c r="BF113" s="1661"/>
      <c r="BG113" s="1661"/>
      <c r="BH113" s="1661"/>
      <c r="BI113" s="1661"/>
      <c r="BJ113" s="1661"/>
      <c r="BK113" s="1661"/>
      <c r="BL113" s="1661"/>
      <c r="BM113" s="1661"/>
      <c r="BN113" s="1661"/>
      <c r="BO113" s="1661"/>
      <c r="BP113" s="1661"/>
      <c r="BQ113" s="1661"/>
      <c r="BR113" s="1661"/>
      <c r="BS113" s="1661"/>
      <c r="BT113" s="1661"/>
      <c r="BU113" s="1661"/>
      <c r="BV113" s="1155"/>
      <c r="BW113" s="1155"/>
      <c r="BX113" s="1155"/>
      <c r="BY113" s="1155"/>
      <c r="BZ113" s="1155"/>
      <c r="CA113" s="1155"/>
      <c r="CB113" s="1155"/>
      <c r="CC113" s="1155"/>
      <c r="CD113" s="1155"/>
      <c r="CE113" s="1155"/>
    </row>
    <row s="2437" customFormat="1" customHeight="1" ht="11.25" hidden="1">
      <c r="A114" s="1818"/>
      <c r="B114" s="1661"/>
      <c r="C114" s="1661"/>
      <c r="D114" s="2344"/>
      <c r="E114" s="630"/>
      <c r="F114" s="630">
        <v>0</v>
      </c>
      <c r="G114" s="630"/>
      <c r="H114" s="630"/>
      <c r="I114" s="630"/>
      <c r="J114" s="630"/>
      <c r="K114" s="630"/>
      <c r="L114" s="630"/>
      <c r="M114" s="630"/>
      <c r="N114" s="630"/>
      <c r="O114" s="630"/>
      <c r="P114" s="630"/>
      <c r="Q114" s="630"/>
      <c r="R114" s="630"/>
      <c r="S114" s="631"/>
      <c r="T114" s="713"/>
      <c r="U114" s="2205"/>
      <c r="V114" s="2205"/>
      <c r="W114" s="1661"/>
      <c r="X114" s="1661"/>
      <c r="Y114" s="1661"/>
      <c r="Z114" s="1661"/>
      <c r="AA114" s="1661"/>
      <c r="AB114" s="1155"/>
      <c r="AC114" s="1821"/>
      <c r="AD114" s="624"/>
      <c r="AE114" s="1155"/>
      <c r="AF114" s="1155"/>
      <c r="AG114" s="1661"/>
      <c r="AH114" s="1661"/>
      <c r="AI114" s="1661"/>
      <c r="AJ114" s="1661"/>
      <c r="AK114" s="1661"/>
      <c r="AL114" s="1661"/>
      <c r="AM114" s="1661"/>
      <c r="AN114" s="1661"/>
      <c r="AO114" s="1661"/>
      <c r="AP114" s="1661"/>
      <c r="AQ114" s="1661"/>
      <c r="AR114" s="1661"/>
      <c r="AS114" s="1661"/>
      <c r="AT114" s="1661"/>
      <c r="AU114" s="1661"/>
      <c r="AV114" s="1661"/>
      <c r="AW114" s="1661"/>
      <c r="AX114" s="1661"/>
      <c r="AY114" s="1661"/>
      <c r="AZ114" s="1661"/>
      <c r="BA114" s="1661"/>
      <c r="BB114" s="1661"/>
      <c r="BC114" s="1661"/>
      <c r="BD114" s="1661"/>
      <c r="BE114" s="1661"/>
      <c r="BF114" s="1661"/>
      <c r="BG114" s="1661"/>
      <c r="BH114" s="1661"/>
      <c r="BI114" s="1661"/>
      <c r="BJ114" s="1661"/>
      <c r="BK114" s="1661"/>
      <c r="BL114" s="1661"/>
      <c r="BM114" s="1661"/>
      <c r="BN114" s="1661"/>
      <c r="BO114" s="1661"/>
      <c r="BP114" s="1661"/>
      <c r="BQ114" s="1661"/>
      <c r="BR114" s="1661"/>
      <c r="BS114" s="1661"/>
      <c r="BT114" s="1661"/>
      <c r="BU114" s="1661"/>
      <c r="BV114" s="1661"/>
      <c r="BW114" s="1661"/>
      <c r="BX114" s="1661"/>
      <c r="BY114" s="1661"/>
      <c r="BZ114" s="1661"/>
      <c r="CA114" s="1661"/>
      <c r="CB114" s="1661"/>
      <c r="CC114" s="1661"/>
      <c r="CD114" s="1661"/>
      <c r="CE114" s="1661"/>
    </row>
    <row s="2437" customFormat="1" customHeight="1" ht="11.25">
      <c r="A115" s="1831"/>
      <c r="B115" s="1155"/>
      <c r="C115" s="409"/>
      <c r="D115" s="2345"/>
      <c r="E115" s="644" t="s">
        <v>24</v>
      </c>
      <c r="F115" s="1163" t="s">
        <v>24</v>
      </c>
      <c r="G115" s="1163" t="s">
        <v>1181</v>
      </c>
      <c r="H115" s="646" t="s">
        <v>24</v>
      </c>
      <c r="I115" s="646"/>
      <c r="J115" s="646"/>
      <c r="K115" s="646"/>
      <c r="L115" s="646"/>
      <c r="M115" s="646"/>
      <c r="N115" s="646"/>
      <c r="O115" s="646"/>
      <c r="P115" s="646"/>
      <c r="Q115" s="646"/>
      <c r="R115" s="647"/>
      <c r="S115" s="648"/>
      <c r="T115" s="713"/>
      <c r="U115" s="2205"/>
      <c r="V115" s="2205"/>
      <c r="W115" s="1155"/>
      <c r="X115" s="1155"/>
      <c r="Y115" s="1155"/>
      <c r="Z115" s="1155"/>
      <c r="AA115" s="1661"/>
      <c r="AB115" s="1155"/>
      <c r="AC115" s="1821"/>
      <c r="AD115" s="624"/>
      <c r="AE115" s="1155"/>
      <c r="AF115" s="1155"/>
      <c r="AG115" s="1661"/>
      <c r="AH115" s="1661"/>
      <c r="AI115" s="1661"/>
      <c r="AJ115" s="1661"/>
      <c r="AK115" s="1661"/>
      <c r="AL115" s="1661"/>
      <c r="AM115" s="1661"/>
      <c r="AN115" s="1661"/>
      <c r="AO115" s="1661"/>
      <c r="AP115" s="1661"/>
      <c r="AQ115" s="1661"/>
      <c r="AR115" s="1661"/>
      <c r="AS115" s="1661"/>
      <c r="AT115" s="1661"/>
      <c r="AU115" s="1661"/>
      <c r="AV115" s="1661"/>
      <c r="AW115" s="1661"/>
      <c r="AX115" s="1661"/>
      <c r="AY115" s="1661"/>
      <c r="AZ115" s="1661"/>
      <c r="BA115" s="1661"/>
      <c r="BB115" s="1661"/>
      <c r="BC115" s="1661"/>
      <c r="BD115" s="1661"/>
      <c r="BE115" s="1661"/>
      <c r="BF115" s="1661"/>
      <c r="BG115" s="1661"/>
      <c r="BH115" s="1661"/>
      <c r="BI115" s="1661"/>
      <c r="BJ115" s="1661"/>
      <c r="BK115" s="1661"/>
      <c r="BL115" s="1661"/>
      <c r="BM115" s="1661"/>
      <c r="BN115" s="1661"/>
      <c r="BO115" s="1661"/>
      <c r="BP115" s="1661"/>
      <c r="BQ115" s="1661"/>
      <c r="BR115" s="1661"/>
      <c r="BS115" s="1661"/>
      <c r="BT115" s="1661"/>
      <c r="BU115" s="1661"/>
      <c r="BV115" s="1155"/>
      <c r="BW115" s="1155"/>
      <c r="BX115" s="1155"/>
      <c r="BY115" s="1155"/>
      <c r="BZ115" s="1155"/>
      <c r="CA115" s="1155"/>
      <c r="CB115" s="1155"/>
      <c r="CC115" s="1155"/>
      <c r="CD115" s="1155"/>
      <c r="CE115" s="1155"/>
    </row>
    <row r="117" s="1840" customFormat="1" customHeight="1" ht="11.25">
      <c r="A117" s="1840" t="s">
        <v>1182</v>
      </c>
    </row>
    <row r="119" s="2437" customFormat="1" customHeight="1" ht="15">
      <c r="A119" s="619"/>
      <c r="B119" s="0"/>
      <c r="C119" s="0"/>
      <c r="D119" s="2343" t="s">
        <v>108</v>
      </c>
      <c r="E119" s="2207" t="s">
        <v>104</v>
      </c>
      <c r="F119" s="2208"/>
      <c r="G119" s="2209"/>
      <c r="H119" s="2202" t="str">
        <f>IF(A119="","",INDEX(DIFFERENTIATION_UNMERGE_VD,MATCH(A119,DIFFERENTIATION_ID_DIFF,0)))</f>
        <v/>
      </c>
      <c r="I119" s="2202"/>
      <c r="J119" s="2202"/>
      <c r="K119" s="2202"/>
      <c r="L119" s="2202"/>
      <c r="M119" s="2202"/>
      <c r="N119" s="2202"/>
      <c r="O119" s="2202"/>
      <c r="P119" s="2202"/>
      <c r="Q119" s="2202"/>
      <c r="R119" s="2202"/>
      <c r="S119" s="714"/>
      <c r="T119" s="711"/>
      <c r="U119" s="620"/>
      <c r="V119" s="620"/>
      <c r="W119" s="621"/>
      <c r="X119" s="621"/>
      <c r="Y119" s="621"/>
      <c r="Z119" s="621"/>
      <c r="AA119" s="622"/>
      <c r="AB119" s="623"/>
      <c r="AC119" s="2206"/>
      <c r="AD119" s="624"/>
      <c r="AE119" s="625" t="s">
        <v>24</v>
      </c>
      <c r="AF119" s="625"/>
      <c r="AG119" s="626" t="s">
        <v>620</v>
      </c>
      <c r="AH119" s="627">
        <v>3</v>
      </c>
      <c r="AI119" s="620"/>
      <c r="AJ119" s="620"/>
      <c r="AK119" s="620"/>
      <c r="AL119" s="620"/>
      <c r="AM119" s="620"/>
      <c r="AN119" s="620"/>
      <c r="AO119" s="620"/>
      <c r="AP119" s="620"/>
      <c r="AQ119" s="620"/>
      <c r="AR119" s="620"/>
      <c r="AS119" s="620"/>
      <c r="AT119" s="620"/>
      <c r="AU119" s="620"/>
      <c r="AV119" s="620"/>
      <c r="AW119" s="620"/>
      <c r="AX119" s="620"/>
      <c r="AY119" s="620"/>
      <c r="AZ119" s="620"/>
      <c r="BA119" s="620"/>
      <c r="BB119" s="620"/>
      <c r="BC119" s="620"/>
      <c r="BD119" s="620"/>
      <c r="BE119" s="620"/>
      <c r="BF119" s="620"/>
      <c r="BG119" s="620"/>
      <c r="BH119" s="620"/>
      <c r="BI119" s="620"/>
      <c r="BJ119" s="620"/>
      <c r="BK119" s="620"/>
      <c r="BL119" s="620"/>
      <c r="BM119" s="620"/>
      <c r="BN119" s="620"/>
      <c r="BO119" s="620"/>
      <c r="BP119" s="620"/>
      <c r="BQ119" s="620"/>
      <c r="BR119" s="620"/>
      <c r="BS119" s="620"/>
      <c r="BT119" s="620"/>
      <c r="BU119" s="620"/>
      <c r="BV119" s="621"/>
      <c r="BW119" s="621"/>
      <c r="BX119" s="621"/>
      <c r="BY119" s="621"/>
      <c r="BZ119" s="621"/>
      <c r="CA119" s="621"/>
      <c r="CB119" s="621"/>
      <c r="CC119" s="621"/>
      <c r="CD119" s="621"/>
      <c r="CE119" s="621"/>
    </row>
    <row s="2437" customFormat="1" customHeight="1" ht="15">
      <c r="A120" s="619"/>
      <c r="B120" s="0"/>
      <c r="C120" s="0"/>
      <c r="D120" s="2344"/>
      <c r="E120" s="2207" t="s">
        <v>575</v>
      </c>
      <c r="F120" s="2208"/>
      <c r="G120" s="2209"/>
      <c r="H120" s="2202" t="str">
        <f>IF(A119="","",INDEX(DIFFERENTIATION_UNMERGE_AREA,MATCH(A119,DIFFERENTIATION_ID_DIFF,0)))</f>
        <v/>
      </c>
      <c r="I120" s="2202"/>
      <c r="J120" s="2202"/>
      <c r="K120" s="2202"/>
      <c r="L120" s="2202"/>
      <c r="M120" s="2202"/>
      <c r="N120" s="2202"/>
      <c r="O120" s="2202"/>
      <c r="P120" s="2202"/>
      <c r="Q120" s="2202"/>
      <c r="R120" s="2202"/>
      <c r="S120" s="714"/>
      <c r="T120" s="711"/>
      <c r="U120" s="620"/>
      <c r="V120" s="620"/>
      <c r="W120" s="621"/>
      <c r="X120" s="621"/>
      <c r="Y120" s="621"/>
      <c r="Z120" s="621"/>
      <c r="AA120" s="622"/>
      <c r="AB120" s="623"/>
      <c r="AC120" s="2206"/>
      <c r="AD120" s="624"/>
      <c r="AE120" s="625"/>
      <c r="AF120" s="625"/>
      <c r="AG120" s="626"/>
      <c r="AH120" s="627"/>
      <c r="AI120" s="620"/>
      <c r="AJ120" s="620"/>
      <c r="AK120" s="620"/>
      <c r="AL120" s="620"/>
      <c r="AM120" s="620"/>
      <c r="AN120" s="620"/>
      <c r="AO120" s="620"/>
      <c r="AP120" s="620"/>
      <c r="AQ120" s="620"/>
      <c r="AR120" s="620"/>
      <c r="AS120" s="620"/>
      <c r="AT120" s="620"/>
      <c r="AU120" s="620"/>
      <c r="AV120" s="620"/>
      <c r="AW120" s="620"/>
      <c r="AX120" s="620"/>
      <c r="AY120" s="620"/>
      <c r="AZ120" s="620"/>
      <c r="BA120" s="620"/>
      <c r="BB120" s="620"/>
      <c r="BC120" s="620"/>
      <c r="BD120" s="620"/>
      <c r="BE120" s="620"/>
      <c r="BF120" s="620"/>
      <c r="BG120" s="620"/>
      <c r="BH120" s="620"/>
      <c r="BI120" s="620"/>
      <c r="BJ120" s="620"/>
      <c r="BK120" s="620"/>
      <c r="BL120" s="620"/>
      <c r="BM120" s="620"/>
      <c r="BN120" s="620"/>
      <c r="BO120" s="620"/>
      <c r="BP120" s="620"/>
      <c r="BQ120" s="620"/>
      <c r="BR120" s="620"/>
      <c r="BS120" s="620"/>
      <c r="BT120" s="620"/>
      <c r="BU120" s="620"/>
      <c r="BV120" s="621"/>
      <c r="BW120" s="621"/>
      <c r="BX120" s="621"/>
      <c r="BY120" s="621"/>
      <c r="BZ120" s="621"/>
      <c r="CA120" s="621"/>
      <c r="CB120" s="621"/>
      <c r="CC120" s="621"/>
      <c r="CD120" s="621"/>
      <c r="CE120" s="621"/>
    </row>
    <row s="2437" customFormat="1" customHeight="1" ht="15">
      <c r="A121" s="619"/>
      <c r="B121" s="0"/>
      <c r="C121" s="0"/>
      <c r="D121" s="2344"/>
      <c r="E121" s="2207" t="s">
        <v>576</v>
      </c>
      <c r="F121" s="2208"/>
      <c r="G121" s="2209"/>
      <c r="H121" s="2202" t="str">
        <f>IF(A119="","",INDEX(DIFFERENTIATION_UNMERGE_SYSTEM,MATCH(A119,DIFFERENTIATION_ID_DIFF,0)))</f>
        <v/>
      </c>
      <c r="I121" s="2202"/>
      <c r="J121" s="2202"/>
      <c r="K121" s="2202"/>
      <c r="L121" s="2202"/>
      <c r="M121" s="2202"/>
      <c r="N121" s="2202"/>
      <c r="O121" s="2202"/>
      <c r="P121" s="2202"/>
      <c r="Q121" s="2202"/>
      <c r="R121" s="2202"/>
      <c r="S121" s="714"/>
      <c r="T121" s="711"/>
      <c r="U121" s="620"/>
      <c r="V121" s="620"/>
      <c r="W121" s="621"/>
      <c r="X121" s="621"/>
      <c r="Y121" s="621"/>
      <c r="Z121" s="621"/>
      <c r="AA121" s="622"/>
      <c r="AB121" s="623"/>
      <c r="AC121" s="2206"/>
      <c r="AD121" s="624"/>
      <c r="AE121" s="625"/>
      <c r="AF121" s="625"/>
      <c r="AG121" s="626"/>
      <c r="AH121" s="627"/>
      <c r="AI121" s="620"/>
      <c r="AJ121" s="620"/>
      <c r="AK121" s="620"/>
      <c r="AL121" s="620"/>
      <c r="AM121" s="620"/>
      <c r="AN121" s="620"/>
      <c r="AO121" s="620"/>
      <c r="AP121" s="620"/>
      <c r="AQ121" s="620"/>
      <c r="AR121" s="620"/>
      <c r="AS121" s="620"/>
      <c r="AT121" s="620"/>
      <c r="AU121" s="620"/>
      <c r="AV121" s="620"/>
      <c r="AW121" s="620"/>
      <c r="AX121" s="620"/>
      <c r="AY121" s="620"/>
      <c r="AZ121" s="620"/>
      <c r="BA121" s="620"/>
      <c r="BB121" s="620"/>
      <c r="BC121" s="620"/>
      <c r="BD121" s="620"/>
      <c r="BE121" s="620"/>
      <c r="BF121" s="620"/>
      <c r="BG121" s="620"/>
      <c r="BH121" s="620"/>
      <c r="BI121" s="620"/>
      <c r="BJ121" s="620"/>
      <c r="BK121" s="620"/>
      <c r="BL121" s="620"/>
      <c r="BM121" s="620"/>
      <c r="BN121" s="620"/>
      <c r="BO121" s="620"/>
      <c r="BP121" s="620"/>
      <c r="BQ121" s="620"/>
      <c r="BR121" s="620"/>
      <c r="BS121" s="620"/>
      <c r="BT121" s="620"/>
      <c r="BU121" s="620"/>
      <c r="BV121" s="621"/>
      <c r="BW121" s="621"/>
      <c r="BX121" s="621"/>
      <c r="BY121" s="621"/>
      <c r="BZ121" s="621"/>
      <c r="CA121" s="621"/>
      <c r="CB121" s="621"/>
      <c r="CC121" s="621"/>
      <c r="CD121" s="621"/>
      <c r="CE121" s="621"/>
    </row>
    <row s="2437" customFormat="1" customHeight="1" ht="24.75">
      <c r="A122" s="1831"/>
      <c r="B122" s="1155"/>
      <c r="C122" s="409"/>
      <c r="D122" s="2344"/>
      <c r="E122" s="2204" t="s">
        <v>621</v>
      </c>
      <c r="F122" s="2204"/>
      <c r="G122" s="2204"/>
      <c r="H122" s="2204"/>
      <c r="I122" s="2204"/>
      <c r="J122" s="2204"/>
      <c r="K122" s="2204"/>
      <c r="L122" s="2204"/>
      <c r="M122" s="2204"/>
      <c r="N122" s="2204"/>
      <c r="O122" s="2204"/>
      <c r="P122" s="2204"/>
      <c r="Q122" s="554">
        <f>SUMIF(T123:T124,"i",Q123:Q124)</f>
        <v>0</v>
      </c>
      <c r="R122" s="1012"/>
      <c r="S122" s="1823" t="s">
        <v>622</v>
      </c>
      <c r="T122" s="712" t="s">
        <v>623</v>
      </c>
      <c r="U122" s="2205">
        <v>1</v>
      </c>
      <c r="V122" s="2205" t="s">
        <v>586</v>
      </c>
      <c r="W122" s="1155"/>
      <c r="X122" s="1155"/>
      <c r="Y122" s="1155"/>
      <c r="Z122" s="1155"/>
      <c r="AA122" s="1661"/>
      <c r="AB122" s="1155"/>
      <c r="AC122" s="2206"/>
      <c r="AD122" s="624"/>
      <c r="AE122" s="1155"/>
      <c r="AF122" s="1155"/>
      <c r="AG122" s="1661"/>
      <c r="AH122" s="1661"/>
      <c r="AI122" s="1661"/>
      <c r="AJ122" s="1661"/>
      <c r="AK122" s="1661"/>
      <c r="AL122" s="1661"/>
      <c r="AM122" s="1661"/>
      <c r="AN122" s="1661"/>
      <c r="AO122" s="1661"/>
      <c r="AP122" s="1661"/>
      <c r="AQ122" s="1661"/>
      <c r="AR122" s="1661"/>
      <c r="AS122" s="1661"/>
      <c r="AT122" s="1661"/>
      <c r="AU122" s="1661"/>
      <c r="AV122" s="1661"/>
      <c r="AW122" s="1661"/>
      <c r="AX122" s="1661"/>
      <c r="AY122" s="1661"/>
      <c r="AZ122" s="1661"/>
      <c r="BA122" s="1661"/>
      <c r="BB122" s="1661"/>
      <c r="BC122" s="1661"/>
      <c r="BD122" s="1661"/>
      <c r="BE122" s="1661"/>
      <c r="BF122" s="1661"/>
      <c r="BG122" s="1661"/>
      <c r="BH122" s="1661"/>
      <c r="BI122" s="1661"/>
      <c r="BJ122" s="1661"/>
      <c r="BK122" s="1661"/>
      <c r="BL122" s="1661"/>
      <c r="BM122" s="1661"/>
      <c r="BN122" s="1661"/>
      <c r="BO122" s="1661"/>
      <c r="BP122" s="1661"/>
      <c r="BQ122" s="1661"/>
      <c r="BR122" s="1661"/>
      <c r="BS122" s="1661"/>
      <c r="BT122" s="1661"/>
      <c r="BU122" s="1661"/>
      <c r="BV122" s="1155"/>
      <c r="BW122" s="1155"/>
      <c r="BX122" s="1155"/>
      <c r="BY122" s="1155"/>
      <c r="BZ122" s="1155"/>
      <c r="CA122" s="1155"/>
      <c r="CB122" s="1155"/>
      <c r="CC122" s="1155"/>
      <c r="CD122" s="1155"/>
      <c r="CE122" s="1155"/>
    </row>
    <row s="2437" customFormat="1" customHeight="1" ht="11.25" hidden="1">
      <c r="A123" s="1818"/>
      <c r="B123" s="1661"/>
      <c r="C123" s="1661"/>
      <c r="D123" s="2344"/>
      <c r="E123" s="630"/>
      <c r="F123" s="630">
        <v>0</v>
      </c>
      <c r="G123" s="630"/>
      <c r="H123" s="630"/>
      <c r="I123" s="630"/>
      <c r="J123" s="630"/>
      <c r="K123" s="630"/>
      <c r="L123" s="630"/>
      <c r="M123" s="630"/>
      <c r="N123" s="630"/>
      <c r="O123" s="630"/>
      <c r="P123" s="630"/>
      <c r="Q123" s="630"/>
      <c r="R123" s="630"/>
      <c r="S123" s="631"/>
      <c r="T123" s="713"/>
      <c r="U123" s="2205"/>
      <c r="V123" s="2205"/>
      <c r="W123" s="1661"/>
      <c r="X123" s="1661"/>
      <c r="Y123" s="1661"/>
      <c r="Z123" s="1661"/>
      <c r="AA123" s="1661"/>
      <c r="AB123" s="1155"/>
      <c r="AC123" s="2206"/>
      <c r="AD123" s="624"/>
      <c r="AE123" s="1155"/>
      <c r="AF123" s="1155"/>
      <c r="AG123" s="1661"/>
      <c r="AH123" s="1661"/>
      <c r="AI123" s="1661"/>
      <c r="AJ123" s="1661"/>
      <c r="AK123" s="1661"/>
      <c r="AL123" s="1661"/>
      <c r="AM123" s="1661"/>
      <c r="AN123" s="1661"/>
      <c r="AO123" s="1661"/>
      <c r="AP123" s="1661"/>
      <c r="AQ123" s="1661"/>
      <c r="AR123" s="1661"/>
      <c r="AS123" s="1661"/>
      <c r="AT123" s="1661"/>
      <c r="AU123" s="1661"/>
      <c r="AV123" s="1661"/>
      <c r="AW123" s="1661"/>
      <c r="AX123" s="1661"/>
      <c r="AY123" s="1661"/>
      <c r="AZ123" s="1661"/>
      <c r="BA123" s="1661"/>
      <c r="BB123" s="1661"/>
      <c r="BC123" s="1661"/>
      <c r="BD123" s="1661"/>
      <c r="BE123" s="1661"/>
      <c r="BF123" s="1661"/>
      <c r="BG123" s="1661"/>
      <c r="BH123" s="1661"/>
      <c r="BI123" s="1661"/>
      <c r="BJ123" s="1661"/>
      <c r="BK123" s="1661"/>
      <c r="BL123" s="1661"/>
      <c r="BM123" s="1661"/>
      <c r="BN123" s="1661"/>
      <c r="BO123" s="1661"/>
      <c r="BP123" s="1661"/>
      <c r="BQ123" s="1661"/>
      <c r="BR123" s="1661"/>
      <c r="BS123" s="1661"/>
      <c r="BT123" s="1661"/>
      <c r="BU123" s="1661"/>
      <c r="BV123" s="1661"/>
      <c r="BW123" s="1661"/>
      <c r="BX123" s="1661"/>
      <c r="BY123" s="1661"/>
      <c r="BZ123" s="1661"/>
      <c r="CA123" s="1661"/>
      <c r="CB123" s="1661"/>
      <c r="CC123" s="1661"/>
      <c r="CD123" s="1661"/>
      <c r="CE123" s="1661"/>
    </row>
    <row s="2437" customFormat="1" customHeight="1" ht="11.25">
      <c r="A124" s="1831"/>
      <c r="B124" s="1155"/>
      <c r="C124" s="409"/>
      <c r="D124" s="2344"/>
      <c r="E124" s="644" t="s">
        <v>24</v>
      </c>
      <c r="F124" s="1163" t="s">
        <v>24</v>
      </c>
      <c r="G124" s="1163" t="s">
        <v>1181</v>
      </c>
      <c r="H124" s="646" t="s">
        <v>24</v>
      </c>
      <c r="I124" s="646"/>
      <c r="J124" s="646"/>
      <c r="K124" s="646"/>
      <c r="L124" s="646"/>
      <c r="M124" s="646"/>
      <c r="N124" s="646"/>
      <c r="O124" s="646"/>
      <c r="P124" s="646"/>
      <c r="Q124" s="646"/>
      <c r="R124" s="647"/>
      <c r="S124" s="648"/>
      <c r="T124" s="713"/>
      <c r="U124" s="2205"/>
      <c r="V124" s="2205"/>
      <c r="W124" s="1155"/>
      <c r="X124" s="1155"/>
      <c r="Y124" s="1155"/>
      <c r="Z124" s="1155"/>
      <c r="AA124" s="1661"/>
      <c r="AB124" s="1155"/>
      <c r="AC124" s="2206"/>
      <c r="AD124" s="624"/>
      <c r="AE124" s="1155"/>
      <c r="AF124" s="1155"/>
      <c r="AG124" s="1661"/>
      <c r="AH124" s="1661"/>
      <c r="AI124" s="1661"/>
      <c r="AJ124" s="1661"/>
      <c r="AK124" s="1661"/>
      <c r="AL124" s="1661"/>
      <c r="AM124" s="1661"/>
      <c r="AN124" s="1661"/>
      <c r="AO124" s="1661"/>
      <c r="AP124" s="1661"/>
      <c r="AQ124" s="1661"/>
      <c r="AR124" s="1661"/>
      <c r="AS124" s="1661"/>
      <c r="AT124" s="1661"/>
      <c r="AU124" s="1661"/>
      <c r="AV124" s="1661"/>
      <c r="AW124" s="1661"/>
      <c r="AX124" s="1661"/>
      <c r="AY124" s="1661"/>
      <c r="AZ124" s="1661"/>
      <c r="BA124" s="1661"/>
      <c r="BB124" s="1661"/>
      <c r="BC124" s="1661"/>
      <c r="BD124" s="1661"/>
      <c r="BE124" s="1661"/>
      <c r="BF124" s="1661"/>
      <c r="BG124" s="1661"/>
      <c r="BH124" s="1661"/>
      <c r="BI124" s="1661"/>
      <c r="BJ124" s="1661"/>
      <c r="BK124" s="1661"/>
      <c r="BL124" s="1661"/>
      <c r="BM124" s="1661"/>
      <c r="BN124" s="1661"/>
      <c r="BO124" s="1661"/>
      <c r="BP124" s="1661"/>
      <c r="BQ124" s="1661"/>
      <c r="BR124" s="1661"/>
      <c r="BS124" s="1661"/>
      <c r="BT124" s="1661"/>
      <c r="BU124" s="1661"/>
      <c r="BV124" s="1155"/>
      <c r="BW124" s="1155"/>
      <c r="BX124" s="1155"/>
      <c r="BY124" s="1155"/>
      <c r="BZ124" s="1155"/>
      <c r="CA124" s="1155"/>
      <c r="CB124" s="1155"/>
      <c r="CC124" s="1155"/>
      <c r="CD124" s="1155"/>
      <c r="CE124" s="1155"/>
    </row>
    <row s="1333" customFormat="1" customHeight="1" ht="5.25" hidden="1">
      <c r="A125" s="1818"/>
      <c r="B125" s="1661"/>
      <c r="C125" s="1661"/>
      <c r="D125" s="2344"/>
      <c r="E125" s="1034"/>
      <c r="F125" s="1034"/>
      <c r="G125" s="1034"/>
      <c r="H125" s="1034"/>
      <c r="I125" s="1034"/>
      <c r="J125" s="1034"/>
      <c r="K125" s="1034"/>
      <c r="L125" s="1034"/>
      <c r="M125" s="1034"/>
      <c r="N125" s="1034"/>
      <c r="O125" s="1034"/>
      <c r="P125" s="1034"/>
      <c r="Q125" s="1035"/>
      <c r="R125" s="1036"/>
      <c r="S125" s="1037"/>
      <c r="T125" s="712" t="s">
        <v>623</v>
      </c>
      <c r="U125" s="2205">
        <v>1</v>
      </c>
      <c r="V125" s="2205" t="s">
        <v>586</v>
      </c>
      <c r="W125" s="1661"/>
      <c r="X125" s="1661"/>
      <c r="Y125" s="1661"/>
      <c r="Z125" s="1661"/>
      <c r="AA125" s="1661"/>
      <c r="AB125" s="1661"/>
      <c r="AC125" s="1032"/>
      <c r="AD125" s="1033"/>
      <c r="AE125" s="1661"/>
      <c r="AF125" s="1661"/>
      <c r="AG125" s="1661"/>
      <c r="AH125" s="1661"/>
      <c r="AI125" s="1661"/>
      <c r="AJ125" s="1661"/>
      <c r="AK125" s="1661"/>
      <c r="AL125" s="1661"/>
      <c r="AM125" s="1661"/>
      <c r="AN125" s="1661"/>
      <c r="AO125" s="1661"/>
      <c r="AP125" s="1661"/>
      <c r="AQ125" s="1661"/>
      <c r="AR125" s="1661"/>
      <c r="AS125" s="1661"/>
      <c r="AT125" s="1661"/>
      <c r="AU125" s="1661"/>
      <c r="AV125" s="1661"/>
      <c r="AW125" s="1661"/>
      <c r="AX125" s="1661"/>
      <c r="AY125" s="1661"/>
      <c r="AZ125" s="1661"/>
      <c r="BA125" s="1661"/>
      <c r="BB125" s="1661"/>
      <c r="BC125" s="1661"/>
      <c r="BD125" s="1661"/>
      <c r="BE125" s="1661"/>
      <c r="BF125" s="1661"/>
      <c r="BG125" s="1661"/>
      <c r="BH125" s="1661"/>
      <c r="BI125" s="1661"/>
      <c r="BJ125" s="1661"/>
      <c r="BK125" s="1661"/>
      <c r="BL125" s="1661"/>
      <c r="BM125" s="1661"/>
      <c r="BN125" s="1661"/>
      <c r="BO125" s="1661"/>
      <c r="BP125" s="1661"/>
      <c r="BQ125" s="1661"/>
      <c r="BR125" s="1661"/>
      <c r="BS125" s="1661"/>
      <c r="BT125" s="1661"/>
      <c r="BU125" s="1661"/>
      <c r="BV125" s="1661"/>
      <c r="BW125" s="1661"/>
      <c r="BX125" s="1661"/>
      <c r="BY125" s="1661"/>
      <c r="BZ125" s="1661"/>
      <c r="CA125" s="1661"/>
      <c r="CB125" s="1661"/>
      <c r="CC125" s="1661"/>
      <c r="CD125" s="1661"/>
      <c r="CE125" s="1661"/>
    </row>
    <row s="1333" customFormat="1" customHeight="1" ht="5.25" hidden="1">
      <c r="A126" s="1818"/>
      <c r="B126" s="1661"/>
      <c r="C126" s="1661"/>
      <c r="D126" s="2344"/>
      <c r="E126" s="630"/>
      <c r="F126" s="630"/>
      <c r="G126" s="630"/>
      <c r="H126" s="630"/>
      <c r="I126" s="630"/>
      <c r="J126" s="630"/>
      <c r="K126" s="630"/>
      <c r="L126" s="630"/>
      <c r="M126" s="630"/>
      <c r="N126" s="630"/>
      <c r="O126" s="630"/>
      <c r="P126" s="630"/>
      <c r="Q126" s="630"/>
      <c r="R126" s="630"/>
      <c r="S126" s="631"/>
      <c r="T126" s="713"/>
      <c r="U126" s="2205"/>
      <c r="V126" s="2205"/>
      <c r="W126" s="1661"/>
      <c r="X126" s="1661"/>
      <c r="Y126" s="1661"/>
      <c r="Z126" s="1661"/>
      <c r="AA126" s="1661"/>
      <c r="AB126" s="1661"/>
      <c r="AC126" s="1032"/>
      <c r="AD126" s="1033"/>
      <c r="AE126" s="1661"/>
      <c r="AF126" s="1661"/>
      <c r="AG126" s="1661"/>
      <c r="AH126" s="1661"/>
      <c r="AI126" s="1661"/>
      <c r="AJ126" s="1661"/>
      <c r="AK126" s="1661"/>
      <c r="AL126" s="1661"/>
      <c r="AM126" s="1661"/>
      <c r="AN126" s="1661"/>
      <c r="AO126" s="1661"/>
      <c r="AP126" s="1661"/>
      <c r="AQ126" s="1661"/>
      <c r="AR126" s="1661"/>
      <c r="AS126" s="1661"/>
      <c r="AT126" s="1661"/>
      <c r="AU126" s="1661"/>
      <c r="AV126" s="1661"/>
      <c r="AW126" s="1661"/>
      <c r="AX126" s="1661"/>
      <c r="AY126" s="1661"/>
      <c r="AZ126" s="1661"/>
      <c r="BA126" s="1661"/>
      <c r="BB126" s="1661"/>
      <c r="BC126" s="1661"/>
      <c r="BD126" s="1661"/>
      <c r="BE126" s="1661"/>
      <c r="BF126" s="1661"/>
      <c r="BG126" s="1661"/>
      <c r="BH126" s="1661"/>
      <c r="BI126" s="1661"/>
      <c r="BJ126" s="1661"/>
      <c r="BK126" s="1661"/>
      <c r="BL126" s="1661"/>
      <c r="BM126" s="1661"/>
      <c r="BN126" s="1661"/>
      <c r="BO126" s="1661"/>
      <c r="BP126" s="1661"/>
      <c r="BQ126" s="1661"/>
      <c r="BR126" s="1661"/>
      <c r="BS126" s="1661"/>
      <c r="BT126" s="1661"/>
      <c r="BU126" s="1661"/>
      <c r="BV126" s="1661"/>
      <c r="BW126" s="1661"/>
      <c r="BX126" s="1661"/>
      <c r="BY126" s="1661"/>
      <c r="BZ126" s="1661"/>
      <c r="CA126" s="1661"/>
      <c r="CB126" s="1661"/>
      <c r="CC126" s="1661"/>
      <c r="CD126" s="1661"/>
      <c r="CE126" s="1661"/>
    </row>
    <row s="1333" customFormat="1" customHeight="1" ht="5.25" hidden="1">
      <c r="A127" s="1818"/>
      <c r="B127" s="1661"/>
      <c r="C127" s="1661"/>
      <c r="D127" s="2345"/>
      <c r="E127" s="1038"/>
      <c r="F127" s="1039"/>
      <c r="G127" s="1039"/>
      <c r="H127" s="1040"/>
      <c r="I127" s="1040"/>
      <c r="J127" s="1040"/>
      <c r="K127" s="1040"/>
      <c r="L127" s="1040"/>
      <c r="M127" s="1040"/>
      <c r="N127" s="1040"/>
      <c r="O127" s="1040"/>
      <c r="P127" s="1040"/>
      <c r="Q127" s="1040"/>
      <c r="R127" s="941"/>
      <c r="S127" s="1041"/>
      <c r="T127" s="713"/>
      <c r="U127" s="2205"/>
      <c r="V127" s="2205"/>
      <c r="W127" s="1661"/>
      <c r="X127" s="1661"/>
      <c r="Y127" s="1661"/>
      <c r="Z127" s="1661"/>
      <c r="AA127" s="1661"/>
      <c r="AB127" s="1661"/>
      <c r="AC127" s="1032"/>
      <c r="AD127" s="1033"/>
      <c r="AE127" s="1661"/>
      <c r="AF127" s="1661"/>
      <c r="AG127" s="1661"/>
      <c r="AH127" s="1661"/>
      <c r="AI127" s="1661"/>
      <c r="AJ127" s="1661"/>
      <c r="AK127" s="1661"/>
      <c r="AL127" s="1661"/>
      <c r="AM127" s="1661"/>
      <c r="AN127" s="1661"/>
      <c r="AO127" s="1661"/>
      <c r="AP127" s="1661"/>
      <c r="AQ127" s="1661"/>
      <c r="AR127" s="1661"/>
      <c r="AS127" s="1661"/>
      <c r="AT127" s="1661"/>
      <c r="AU127" s="1661"/>
      <c r="AV127" s="1661"/>
      <c r="AW127" s="1661"/>
      <c r="AX127" s="1661"/>
      <c r="AY127" s="1661"/>
      <c r="AZ127" s="1661"/>
      <c r="BA127" s="1661"/>
      <c r="BB127" s="1661"/>
      <c r="BC127" s="1661"/>
      <c r="BD127" s="1661"/>
      <c r="BE127" s="1661"/>
      <c r="BF127" s="1661"/>
      <c r="BG127" s="1661"/>
      <c r="BH127" s="1661"/>
      <c r="BI127" s="1661"/>
      <c r="BJ127" s="1661"/>
      <c r="BK127" s="1661"/>
      <c r="BL127" s="1661"/>
      <c r="BM127" s="1661"/>
      <c r="BN127" s="1661"/>
      <c r="BO127" s="1661"/>
      <c r="BP127" s="1661"/>
      <c r="BQ127" s="1661"/>
      <c r="BR127" s="1661"/>
      <c r="BS127" s="1661"/>
      <c r="BT127" s="1661"/>
      <c r="BU127" s="1661"/>
      <c r="BV127" s="1661"/>
      <c r="BW127" s="1661"/>
      <c r="BX127" s="1661"/>
      <c r="BY127" s="1661"/>
      <c r="BZ127" s="1661"/>
      <c r="CA127" s="1661"/>
      <c r="CB127" s="1661"/>
      <c r="CC127" s="1661"/>
      <c r="CD127" s="1661"/>
      <c r="CE127" s="1661"/>
    </row>
    <row customHeight="1" ht="17.25">
      <c r="D128" s="1860"/>
    </row>
    <row s="1840" customFormat="1" customHeight="1" ht="11.25">
      <c r="A129" s="1840" t="s">
        <v>1183</v>
      </c>
    </row>
    <row r="131" s="2437" customFormat="1" customHeight="1" ht="45">
      <c r="A131" s="1831"/>
      <c r="B131" s="1155"/>
      <c r="C131" s="409"/>
      <c r="D131" s="0"/>
      <c r="E131" s="2355"/>
      <c r="F131" s="1964" t="s">
        <v>108</v>
      </c>
      <c r="G131" s="2358" t="s">
        <v>24</v>
      </c>
      <c r="H131" s="270"/>
      <c r="I131" s="632" t="s">
        <v>108</v>
      </c>
      <c r="J131" s="1832" t="s">
        <v>1184</v>
      </c>
      <c r="K131" s="633" t="s">
        <v>557</v>
      </c>
      <c r="L131" s="2055" t="s">
        <v>557</v>
      </c>
      <c r="M131" s="2360"/>
      <c r="N131" s="633" t="s">
        <v>557</v>
      </c>
      <c r="O131" s="633" t="s">
        <v>557</v>
      </c>
      <c r="P131" s="633" t="s">
        <v>557</v>
      </c>
      <c r="Q131" s="634">
        <f>SUM(Q132:Q134)</f>
        <v>0</v>
      </c>
      <c r="R131" s="634">
        <f>IF(R128=0,0,(Q128/R128)*100)</f>
        <v>0</v>
      </c>
      <c r="S131" s="2023"/>
      <c r="T131" s="712" t="s">
        <v>623</v>
      </c>
      <c r="U131" s="0"/>
      <c r="V131" s="0"/>
      <c r="AC131" s="0"/>
    </row>
    <row s="2437" customFormat="1" customHeight="1" ht="11.25">
      <c r="A132" s="1831"/>
      <c r="B132" s="1155"/>
      <c r="C132" s="409"/>
      <c r="D132" s="0"/>
      <c r="E132" s="2356"/>
      <c r="F132" s="1964"/>
      <c r="G132" s="2358"/>
      <c r="H132" s="1953"/>
      <c r="I132" s="2338" t="s">
        <v>947</v>
      </c>
      <c r="J132" s="2352"/>
      <c r="K132" s="2353"/>
      <c r="L132" s="635"/>
      <c r="M132" s="636" t="s">
        <v>108</v>
      </c>
      <c r="N132" s="1820"/>
      <c r="O132" s="637"/>
      <c r="P132" s="638"/>
      <c r="Q132" s="637"/>
      <c r="R132" s="639">
        <v>0</v>
      </c>
      <c r="S132" s="2023"/>
      <c r="T132" s="712"/>
      <c r="U132" s="0"/>
      <c r="V132" s="0"/>
      <c r="AC132" s="0"/>
    </row>
    <row s="2437" customFormat="1" customHeight="1" ht="11.25">
      <c r="A133" s="1831"/>
      <c r="B133" s="1155"/>
      <c r="C133" s="409"/>
      <c r="D133" s="0"/>
      <c r="E133" s="2356"/>
      <c r="F133" s="1964"/>
      <c r="G133" s="2358"/>
      <c r="H133" s="1953"/>
      <c r="I133" s="2338"/>
      <c r="J133" s="2352"/>
      <c r="K133" s="2354"/>
      <c r="L133" s="640"/>
      <c r="M133" s="641"/>
      <c r="N133" s="642" t="s">
        <v>1185</v>
      </c>
      <c r="O133" s="642"/>
      <c r="P133" s="642"/>
      <c r="Q133" s="642"/>
      <c r="R133" s="643"/>
      <c r="S133" s="2023"/>
      <c r="T133" s="712"/>
      <c r="U133" s="0"/>
      <c r="V133" s="0"/>
      <c r="AC133" s="0"/>
    </row>
    <row s="2437" customFormat="1" customHeight="1" ht="11.25">
      <c r="A134" s="1831"/>
      <c r="B134" s="1155"/>
      <c r="C134" s="409"/>
      <c r="D134" s="0"/>
      <c r="E134" s="2357"/>
      <c r="F134" s="1964"/>
      <c r="G134" s="2359"/>
      <c r="H134" s="640" t="s">
        <v>24</v>
      </c>
      <c r="I134" s="641"/>
      <c r="J134" s="642" t="s">
        <v>1186</v>
      </c>
      <c r="K134" s="642"/>
      <c r="L134" s="642"/>
      <c r="M134" s="642"/>
      <c r="N134" s="642"/>
      <c r="O134" s="642"/>
      <c r="P134" s="642"/>
      <c r="Q134" s="642"/>
      <c r="R134" s="643"/>
      <c r="S134" s="2023"/>
      <c r="T134" s="712"/>
      <c r="U134" s="0"/>
      <c r="V134" s="0"/>
      <c r="AC134" s="0"/>
    </row>
    <row r="139" s="2437" customFormat="1" customHeight="1" ht="11.25">
      <c r="A139" s="1831"/>
      <c r="B139" s="1155"/>
      <c r="C139" s="409"/>
      <c r="D139" s="0"/>
      <c r="E139" s="1855"/>
      <c r="F139" s="1855"/>
      <c r="G139" s="1855"/>
      <c r="H139" s="1953"/>
      <c r="I139" s="2338" t="s">
        <v>947</v>
      </c>
      <c r="J139" s="2352"/>
      <c r="K139" s="2353"/>
      <c r="L139" s="635"/>
      <c r="M139" s="636" t="s">
        <v>108</v>
      </c>
      <c r="N139" s="1820"/>
      <c r="O139" s="637"/>
      <c r="P139" s="638"/>
      <c r="Q139" s="637"/>
      <c r="R139" s="639">
        <v>0</v>
      </c>
      <c r="S139" s="0"/>
      <c r="T139" s="712"/>
      <c r="U139" s="0"/>
      <c r="V139" s="0"/>
      <c r="AC139" s="0"/>
    </row>
    <row s="2437" customFormat="1" customHeight="1" ht="11.25">
      <c r="A140" s="1831"/>
      <c r="B140" s="1155"/>
      <c r="C140" s="409"/>
      <c r="D140" s="0"/>
      <c r="E140" s="1855"/>
      <c r="F140" s="1855"/>
      <c r="G140" s="1855"/>
      <c r="H140" s="1953"/>
      <c r="I140" s="2338"/>
      <c r="J140" s="2352"/>
      <c r="K140" s="2354"/>
      <c r="L140" s="640"/>
      <c r="M140" s="641"/>
      <c r="N140" s="642" t="s">
        <v>1185</v>
      </c>
      <c r="O140" s="642"/>
      <c r="P140" s="642"/>
      <c r="Q140" s="642"/>
      <c r="R140" s="643"/>
      <c r="S140" s="0"/>
      <c r="T140" s="712"/>
      <c r="U140" s="0"/>
      <c r="V140" s="0"/>
      <c r="AC140" s="0"/>
    </row>
    <row r="142" s="2437" customFormat="1" customHeight="1" ht="11.25">
      <c r="A142" s="1831"/>
      <c r="B142" s="1155"/>
      <c r="C142" s="409"/>
      <c r="D142" s="0"/>
      <c r="E142" s="1861"/>
      <c r="F142" s="0"/>
      <c r="G142" s="0"/>
      <c r="H142" s="1862"/>
      <c r="I142" s="1855"/>
      <c r="J142" s="1856"/>
      <c r="K142" s="1856"/>
      <c r="L142" s="635"/>
      <c r="M142" s="636" t="s">
        <v>108</v>
      </c>
      <c r="N142" s="1820"/>
      <c r="O142" s="637"/>
      <c r="P142" s="638"/>
      <c r="Q142" s="637"/>
      <c r="R142" s="639">
        <v>0</v>
      </c>
      <c r="S142" s="0"/>
      <c r="T142" s="712"/>
      <c r="U142" s="0"/>
      <c r="V142" s="0"/>
      <c r="AC142" s="0"/>
    </row>
    <row r="144" s="1840" customFormat="1" customHeight="1" ht="17.25">
      <c r="A144" s="1840" t="s">
        <v>1187</v>
      </c>
    </row>
    <row customHeight="1" ht="17.25">
      <c r="G145" s="1863"/>
      <c r="H145" s="1863"/>
      <c r="I145" s="1863"/>
      <c r="M145" s="0"/>
    </row>
    <row s="1877" customFormat="1" customHeight="1" ht="17.25">
      <c r="A146" s="1864"/>
      <c r="C146" s="1866"/>
      <c r="D146" s="2335"/>
      <c r="E146" s="1975"/>
      <c r="F146" s="1977"/>
      <c r="G146" s="2341"/>
      <c r="H146" s="2335"/>
      <c r="I146" s="2335">
        <v>1</v>
      </c>
      <c r="J146" s="2371"/>
      <c r="K146" s="2026" t="s">
        <v>61</v>
      </c>
      <c r="L146" s="1964"/>
      <c r="M146" s="1964" t="s">
        <v>108</v>
      </c>
      <c r="N146" s="2369" t="str">
        <f>IF(Z146="","",INDEX(TERRITORY_MR_LIST,MATCH(Z146,TERRITORY_LIST_ID,0)))</f>
        <v/>
      </c>
      <c r="O146" s="2026" t="s">
        <v>61</v>
      </c>
      <c r="P146" s="1964"/>
      <c r="Q146" s="1964" t="s">
        <v>108</v>
      </c>
      <c r="R146" s="2340" t="s">
        <v>24</v>
      </c>
      <c r="S146" s="1963" t="s">
        <v>61</v>
      </c>
      <c r="T146" s="1836"/>
      <c r="U146" s="1836" t="s">
        <v>108</v>
      </c>
      <c r="V146" s="1867" t="s">
        <v>24</v>
      </c>
      <c r="W146" s="1826"/>
      <c r="Y146" s="1283"/>
      <c r="Z146" s="1283"/>
      <c r="AA146" s="1283"/>
      <c r="AB146" s="1283"/>
      <c r="AC146" s="1283"/>
      <c r="AD146" s="1283"/>
      <c r="AE146" s="1283"/>
      <c r="AF146" s="1283"/>
      <c r="AG146" s="1283"/>
      <c r="AH146" s="1283"/>
      <c r="AI146" s="1283"/>
      <c r="AJ146" s="1283"/>
      <c r="AK146" s="1283"/>
      <c r="AL146" s="1868"/>
      <c r="AM146" s="1868"/>
      <c r="AN146" s="1283"/>
      <c r="AO146" s="1283"/>
      <c r="AP146" s="1283"/>
      <c r="AQ146" s="1283"/>
    </row>
    <row s="1877" customFormat="1" customHeight="1" ht="17.25">
      <c r="A147" s="1864"/>
      <c r="C147" s="1869"/>
      <c r="D147" s="2335"/>
      <c r="E147" s="1975"/>
      <c r="F147" s="1978"/>
      <c r="G147" s="2341"/>
      <c r="H147" s="2335"/>
      <c r="I147" s="2335"/>
      <c r="J147" s="2371"/>
      <c r="K147" s="2027"/>
      <c r="L147" s="1964"/>
      <c r="M147" s="1964"/>
      <c r="N147" s="2369"/>
      <c r="O147" s="2027"/>
      <c r="P147" s="1964"/>
      <c r="Q147" s="1964"/>
      <c r="R147" s="2340"/>
      <c r="S147" s="1963"/>
      <c r="T147" s="302"/>
      <c r="U147" s="303"/>
      <c r="V147" s="303" t="s">
        <v>160</v>
      </c>
      <c r="W147" s="304"/>
      <c r="Y147" s="1275"/>
      <c r="Z147" s="1275"/>
      <c r="AA147" s="1275"/>
      <c r="AB147" s="1275"/>
      <c r="AC147" s="1275"/>
      <c r="AD147" s="1275"/>
      <c r="AE147" s="1275"/>
      <c r="AF147" s="1275"/>
      <c r="AG147" s="1275"/>
      <c r="AH147" s="1275"/>
      <c r="AI147" s="1275"/>
      <c r="AJ147" s="1275"/>
      <c r="AK147" s="1275"/>
    </row>
    <row s="1877" customFormat="1" customHeight="1" ht="17.25">
      <c r="A148" s="1864"/>
      <c r="C148" s="1869"/>
      <c r="D148" s="2336"/>
      <c r="E148" s="2368"/>
      <c r="F148" s="1978"/>
      <c r="G148" s="2342"/>
      <c r="H148" s="2336"/>
      <c r="I148" s="2336"/>
      <c r="J148" s="2372"/>
      <c r="K148" s="2027"/>
      <c r="L148" s="2336"/>
      <c r="M148" s="2336"/>
      <c r="N148" s="2370"/>
      <c r="O148" s="1968"/>
      <c r="P148" s="302"/>
      <c r="Q148" s="303"/>
      <c r="R148" s="303" t="s">
        <v>161</v>
      </c>
      <c r="S148" s="1870"/>
      <c r="T148" s="1870"/>
      <c r="U148" s="1870"/>
      <c r="V148" s="1870"/>
      <c r="W148" s="304"/>
      <c r="Y148" s="1275"/>
      <c r="Z148" s="1275"/>
      <c r="AA148" s="1275"/>
      <c r="AB148" s="1275"/>
      <c r="AC148" s="1275"/>
      <c r="AD148" s="1275"/>
      <c r="AE148" s="1275"/>
      <c r="AF148" s="1275"/>
      <c r="AG148" s="1275"/>
      <c r="AH148" s="1275"/>
      <c r="AI148" s="1275"/>
      <c r="AJ148" s="1275"/>
      <c r="AK148" s="1275"/>
    </row>
    <row s="1877" customFormat="1" customHeight="1" ht="17.25">
      <c r="A149" s="1864"/>
      <c r="C149" s="1869"/>
      <c r="D149" s="2336"/>
      <c r="E149" s="2368"/>
      <c r="F149" s="1978"/>
      <c r="G149" s="2342"/>
      <c r="H149" s="2336"/>
      <c r="I149" s="2336"/>
      <c r="J149" s="2372"/>
      <c r="K149" s="1968"/>
      <c r="L149" s="302"/>
      <c r="M149" s="303"/>
      <c r="N149" s="303" t="s">
        <v>162</v>
      </c>
      <c r="O149" s="303"/>
      <c r="P149" s="303"/>
      <c r="Q149" s="303"/>
      <c r="R149" s="303"/>
      <c r="S149" s="1870"/>
      <c r="T149" s="1870"/>
      <c r="U149" s="1870"/>
      <c r="V149" s="1870"/>
      <c r="W149" s="304"/>
      <c r="Y149" s="1275"/>
      <c r="Z149" s="1275"/>
      <c r="AA149" s="1275"/>
      <c r="AB149" s="1275"/>
      <c r="AC149" s="1275"/>
      <c r="AD149" s="1275"/>
      <c r="AE149" s="1275"/>
      <c r="AF149" s="1275"/>
      <c r="AG149" s="1275"/>
      <c r="AH149" s="1275"/>
      <c r="AI149" s="1275"/>
      <c r="AJ149" s="1275"/>
      <c r="AK149" s="1275"/>
    </row>
    <row s="1877" customFormat="1" customHeight="1" ht="17.25">
      <c r="A150" s="1864"/>
      <c r="C150" s="1869"/>
      <c r="D150" s="2336"/>
      <c r="E150" s="2368"/>
      <c r="F150" s="1979"/>
      <c r="G150" s="2342"/>
      <c r="H150" s="302"/>
      <c r="I150" s="303"/>
      <c r="J150" s="303" t="s">
        <v>179</v>
      </c>
      <c r="K150" s="303"/>
      <c r="L150" s="303"/>
      <c r="M150" s="303"/>
      <c r="N150" s="303"/>
      <c r="O150" s="303"/>
      <c r="P150" s="303"/>
      <c r="Q150" s="303"/>
      <c r="R150" s="303"/>
      <c r="S150" s="1870"/>
      <c r="T150" s="1870"/>
      <c r="U150" s="1870"/>
      <c r="V150" s="1870"/>
      <c r="W150" s="304"/>
      <c r="Y150" s="1275"/>
      <c r="Z150" s="1275"/>
      <c r="AA150" s="1275"/>
      <c r="AB150" s="1275"/>
      <c r="AC150" s="1275"/>
      <c r="AD150" s="1275"/>
      <c r="AE150" s="1275"/>
      <c r="AF150" s="1275"/>
      <c r="AG150" s="1275"/>
      <c r="AH150" s="1275"/>
      <c r="AI150" s="1275"/>
      <c r="AJ150" s="1275"/>
      <c r="AK150" s="1275"/>
    </row>
    <row customHeight="1" ht="17.25">
      <c r="G151" s="1863"/>
      <c r="H151" s="1863"/>
      <c r="I151" s="1863"/>
      <c r="M151" s="0"/>
    </row>
    <row s="1877" customFormat="1" customHeight="1" ht="17.25">
      <c r="A152" s="1864"/>
      <c r="C152" s="1866"/>
      <c r="D152" s="1855"/>
      <c r="E152" s="1871"/>
      <c r="F152" s="1809"/>
      <c r="G152" s="1872"/>
      <c r="H152" s="2335"/>
      <c r="I152" s="2335">
        <v>1</v>
      </c>
      <c r="J152" s="2371"/>
      <c r="K152" s="2026" t="s">
        <v>61</v>
      </c>
      <c r="L152" s="1964"/>
      <c r="M152" s="1964" t="s">
        <v>108</v>
      </c>
      <c r="N152" s="2369" t="str">
        <f>IF(Z152="","",INDEX(TERRITORY_MR_LIST,MATCH(Z152,TERRITORY_LIST_ID,0)))</f>
        <v/>
      </c>
      <c r="O152" s="2026" t="s">
        <v>61</v>
      </c>
      <c r="P152" s="1964"/>
      <c r="Q152" s="1964" t="s">
        <v>108</v>
      </c>
      <c r="R152" s="2340" t="s">
        <v>24</v>
      </c>
      <c r="S152" s="1963" t="s">
        <v>61</v>
      </c>
      <c r="T152" s="1836"/>
      <c r="U152" s="1836" t="s">
        <v>108</v>
      </c>
      <c r="V152" s="1867" t="s">
        <v>24</v>
      </c>
      <c r="W152" s="1826"/>
      <c r="Y152" s="1283"/>
      <c r="Z152" s="1283"/>
      <c r="AA152" s="1283"/>
      <c r="AB152" s="1283"/>
      <c r="AC152" s="1283"/>
      <c r="AD152" s="1283"/>
      <c r="AE152" s="1283"/>
      <c r="AF152" s="1283"/>
      <c r="AG152" s="1283"/>
      <c r="AH152" s="1283"/>
      <c r="AI152" s="1283"/>
      <c r="AJ152" s="1283"/>
      <c r="AK152" s="1283"/>
      <c r="AL152" s="1868"/>
      <c r="AM152" s="1868"/>
      <c r="AN152" s="1283"/>
      <c r="AO152" s="1283"/>
      <c r="AP152" s="1283"/>
      <c r="AQ152" s="1283"/>
    </row>
    <row s="1877" customFormat="1" customHeight="1" ht="17.25">
      <c r="A153" s="1864"/>
      <c r="C153" s="1869"/>
      <c r="D153" s="1855"/>
      <c r="E153" s="1871"/>
      <c r="F153" s="1809"/>
      <c r="G153" s="1872"/>
      <c r="H153" s="2335"/>
      <c r="I153" s="2335"/>
      <c r="J153" s="2371"/>
      <c r="K153" s="2027"/>
      <c r="L153" s="1964"/>
      <c r="M153" s="1964"/>
      <c r="N153" s="2369"/>
      <c r="O153" s="2027"/>
      <c r="P153" s="1964"/>
      <c r="Q153" s="1964"/>
      <c r="R153" s="2340"/>
      <c r="S153" s="1963"/>
      <c r="T153" s="302"/>
      <c r="U153" s="303"/>
      <c r="V153" s="303" t="s">
        <v>160</v>
      </c>
      <c r="W153" s="304"/>
      <c r="Y153" s="1275"/>
      <c r="Z153" s="1275"/>
      <c r="AA153" s="1275"/>
      <c r="AB153" s="1275"/>
      <c r="AC153" s="1275"/>
      <c r="AD153" s="1275"/>
      <c r="AE153" s="1275"/>
      <c r="AF153" s="1275"/>
      <c r="AG153" s="1275"/>
      <c r="AH153" s="1275"/>
      <c r="AI153" s="1275"/>
      <c r="AJ153" s="1275"/>
      <c r="AK153" s="1275"/>
    </row>
    <row s="1877" customFormat="1" customHeight="1" ht="17.25">
      <c r="A154" s="1864"/>
      <c r="C154" s="1869"/>
      <c r="D154" s="1855"/>
      <c r="E154" s="1871"/>
      <c r="F154" s="1809"/>
      <c r="G154" s="1872"/>
      <c r="H154" s="2336"/>
      <c r="I154" s="2336"/>
      <c r="J154" s="2372"/>
      <c r="K154" s="2027"/>
      <c r="L154" s="2336"/>
      <c r="M154" s="2336"/>
      <c r="N154" s="2370"/>
      <c r="O154" s="1968"/>
      <c r="P154" s="302"/>
      <c r="Q154" s="303"/>
      <c r="R154" s="303" t="s">
        <v>161</v>
      </c>
      <c r="S154" s="1870"/>
      <c r="T154" s="1870"/>
      <c r="U154" s="1870"/>
      <c r="V154" s="1870"/>
      <c r="W154" s="304"/>
      <c r="Y154" s="1275"/>
      <c r="Z154" s="1275"/>
      <c r="AA154" s="1275"/>
      <c r="AB154" s="1275"/>
      <c r="AC154" s="1275"/>
      <c r="AD154" s="1275"/>
      <c r="AE154" s="1275"/>
      <c r="AF154" s="1275"/>
      <c r="AG154" s="1275"/>
      <c r="AH154" s="1275"/>
      <c r="AI154" s="1275"/>
      <c r="AJ154" s="1275"/>
      <c r="AK154" s="1275"/>
    </row>
    <row s="1877" customFormat="1" customHeight="1" ht="17.25">
      <c r="A155" s="1864"/>
      <c r="C155" s="1869"/>
      <c r="D155" s="1855"/>
      <c r="E155" s="1871"/>
      <c r="F155" s="1809"/>
      <c r="G155" s="1872"/>
      <c r="H155" s="2336"/>
      <c r="I155" s="2336"/>
      <c r="J155" s="2372"/>
      <c r="K155" s="1968"/>
      <c r="L155" s="302"/>
      <c r="M155" s="303"/>
      <c r="N155" s="303" t="s">
        <v>162</v>
      </c>
      <c r="O155" s="303"/>
      <c r="P155" s="303"/>
      <c r="Q155" s="303"/>
      <c r="R155" s="303"/>
      <c r="S155" s="1870"/>
      <c r="T155" s="1870"/>
      <c r="U155" s="1870"/>
      <c r="V155" s="1870"/>
      <c r="W155" s="304"/>
      <c r="Y155" s="1275"/>
      <c r="Z155" s="1275"/>
      <c r="AA155" s="1275"/>
      <c r="AB155" s="1275"/>
      <c r="AC155" s="1275"/>
      <c r="AD155" s="1275"/>
      <c r="AE155" s="1275"/>
      <c r="AF155" s="1275"/>
      <c r="AG155" s="1275"/>
      <c r="AH155" s="1275"/>
      <c r="AI155" s="1275"/>
      <c r="AJ155" s="1275"/>
      <c r="AK155" s="1275"/>
    </row>
    <row customHeight="1" ht="17.25">
      <c r="G156" s="1863"/>
      <c r="H156" s="1863"/>
      <c r="I156" s="1863"/>
      <c r="M156" s="0"/>
    </row>
    <row s="1877" customFormat="1" customHeight="1" ht="17.25">
      <c r="A157" s="1864"/>
      <c r="C157" s="1866"/>
      <c r="D157" s="1855"/>
      <c r="E157" s="1871"/>
      <c r="F157" s="1809"/>
      <c r="G157" s="1872"/>
      <c r="H157" s="1855"/>
      <c r="I157" s="1855"/>
      <c r="J157" s="1873"/>
      <c r="K157" s="1784"/>
      <c r="L157" s="1964"/>
      <c r="M157" s="1964" t="s">
        <v>108</v>
      </c>
      <c r="N157" s="2369" t="str">
        <f>IF(Z157="","",INDEX(TERRITORY_MR_LIST,MATCH(Z157,TERRITORY_LIST_ID,0)))</f>
        <v/>
      </c>
      <c r="O157" s="2026" t="s">
        <v>61</v>
      </c>
      <c r="P157" s="1964"/>
      <c r="Q157" s="1964" t="s">
        <v>108</v>
      </c>
      <c r="R157" s="2340" t="s">
        <v>24</v>
      </c>
      <c r="S157" s="1963" t="s">
        <v>61</v>
      </c>
      <c r="T157" s="1836"/>
      <c r="U157" s="1836" t="s">
        <v>108</v>
      </c>
      <c r="V157" s="1867" t="s">
        <v>24</v>
      </c>
      <c r="W157" s="1826"/>
      <c r="Y157" s="1283"/>
      <c r="Z157" s="1283"/>
      <c r="AA157" s="1283"/>
      <c r="AB157" s="1283"/>
      <c r="AC157" s="1283"/>
      <c r="AD157" s="1283"/>
      <c r="AE157" s="1283"/>
      <c r="AF157" s="1283"/>
      <c r="AG157" s="1283"/>
      <c r="AH157" s="1283"/>
      <c r="AI157" s="1283"/>
      <c r="AJ157" s="1283"/>
      <c r="AK157" s="1283"/>
      <c r="AL157" s="1868"/>
      <c r="AM157" s="1868"/>
      <c r="AN157" s="1283"/>
      <c r="AO157" s="1283"/>
      <c r="AP157" s="1283"/>
      <c r="AQ157" s="1283"/>
    </row>
    <row s="1877" customFormat="1" customHeight="1" ht="17.25">
      <c r="A158" s="1864"/>
      <c r="C158" s="1869"/>
      <c r="D158" s="1855"/>
      <c r="E158" s="1871"/>
      <c r="F158" s="1809"/>
      <c r="G158" s="1872"/>
      <c r="H158" s="1855"/>
      <c r="I158" s="1855"/>
      <c r="J158" s="1873"/>
      <c r="K158" s="1784"/>
      <c r="L158" s="1964"/>
      <c r="M158" s="1964"/>
      <c r="N158" s="2369"/>
      <c r="O158" s="2027"/>
      <c r="P158" s="1964"/>
      <c r="Q158" s="1964"/>
      <c r="R158" s="2340"/>
      <c r="S158" s="1963"/>
      <c r="T158" s="302"/>
      <c r="U158" s="303"/>
      <c r="V158" s="303" t="s">
        <v>160</v>
      </c>
      <c r="W158" s="304"/>
      <c r="Y158" s="1275"/>
      <c r="Z158" s="1275"/>
      <c r="AA158" s="1275"/>
      <c r="AB158" s="1275"/>
      <c r="AC158" s="1275"/>
      <c r="AD158" s="1275"/>
      <c r="AE158" s="1275"/>
      <c r="AF158" s="1275"/>
      <c r="AG158" s="1275"/>
      <c r="AH158" s="1275"/>
      <c r="AI158" s="1275"/>
      <c r="AJ158" s="1275"/>
      <c r="AK158" s="1275"/>
    </row>
    <row s="1877" customFormat="1" customHeight="1" ht="17.25">
      <c r="A159" s="1864"/>
      <c r="C159" s="1869"/>
      <c r="D159" s="1855"/>
      <c r="E159" s="1871"/>
      <c r="F159" s="1809"/>
      <c r="G159" s="1872"/>
      <c r="H159" s="1855"/>
      <c r="I159" s="1855"/>
      <c r="J159" s="1873"/>
      <c r="K159" s="1784"/>
      <c r="L159" s="2336"/>
      <c r="M159" s="2336"/>
      <c r="N159" s="2370"/>
      <c r="O159" s="1968"/>
      <c r="P159" s="302"/>
      <c r="Q159" s="303"/>
      <c r="R159" s="303" t="s">
        <v>161</v>
      </c>
      <c r="S159" s="1870"/>
      <c r="T159" s="1870"/>
      <c r="U159" s="1870"/>
      <c r="V159" s="1870"/>
      <c r="W159" s="304"/>
      <c r="Y159" s="1275"/>
      <c r="Z159" s="1275"/>
      <c r="AA159" s="1275"/>
      <c r="AB159" s="1275"/>
      <c r="AC159" s="1275"/>
      <c r="AD159" s="1275"/>
      <c r="AE159" s="1275"/>
      <c r="AF159" s="1275"/>
      <c r="AG159" s="1275"/>
      <c r="AH159" s="1275"/>
      <c r="AI159" s="1275"/>
      <c r="AJ159" s="1275"/>
      <c r="AK159" s="1275"/>
    </row>
    <row customHeight="1" ht="17.25">
      <c r="G160" s="1863"/>
      <c r="H160" s="1863"/>
      <c r="I160" s="1863"/>
      <c r="M160" s="0"/>
    </row>
    <row s="1877" customFormat="1" customHeight="1" ht="17.25">
      <c r="A161" s="1864"/>
      <c r="C161" s="1866"/>
      <c r="D161" s="1855"/>
      <c r="E161" s="1871"/>
      <c r="F161" s="1809"/>
      <c r="G161" s="1872"/>
      <c r="H161" s="1855"/>
      <c r="I161" s="1855"/>
      <c r="J161" s="1873"/>
      <c r="K161" s="1784"/>
      <c r="L161" s="1780"/>
      <c r="M161" s="1780"/>
      <c r="N161" s="1874"/>
      <c r="O161" s="1812"/>
      <c r="P161" s="1964"/>
      <c r="Q161" s="1964" t="s">
        <v>108</v>
      </c>
      <c r="R161" s="2340" t="s">
        <v>24</v>
      </c>
      <c r="S161" s="1963" t="s">
        <v>61</v>
      </c>
      <c r="T161" s="1836"/>
      <c r="U161" s="1836" t="s">
        <v>108</v>
      </c>
      <c r="V161" s="1867" t="s">
        <v>24</v>
      </c>
      <c r="W161" s="1826"/>
      <c r="Y161" s="1283"/>
      <c r="Z161" s="1283"/>
      <c r="AA161" s="1283"/>
      <c r="AB161" s="1283"/>
      <c r="AC161" s="1283"/>
      <c r="AD161" s="1283"/>
      <c r="AE161" s="1283"/>
      <c r="AF161" s="1283"/>
      <c r="AG161" s="1283"/>
      <c r="AH161" s="1283"/>
      <c r="AI161" s="1283"/>
      <c r="AJ161" s="1283"/>
      <c r="AK161" s="1283"/>
      <c r="AL161" s="1868"/>
      <c r="AM161" s="1868"/>
      <c r="AN161" s="1283"/>
      <c r="AO161" s="1283"/>
      <c r="AP161" s="1283"/>
      <c r="AQ161" s="1283"/>
    </row>
    <row s="1877" customFormat="1" customHeight="1" ht="17.25">
      <c r="A162" s="1864"/>
      <c r="C162" s="1869"/>
      <c r="D162" s="1855"/>
      <c r="E162" s="1871"/>
      <c r="F162" s="1809"/>
      <c r="G162" s="1872"/>
      <c r="H162" s="1855"/>
      <c r="I162" s="1855"/>
      <c r="J162" s="1873"/>
      <c r="K162" s="1784"/>
      <c r="L162" s="1780"/>
      <c r="M162" s="1780"/>
      <c r="N162" s="1874"/>
      <c r="O162" s="1812"/>
      <c r="P162" s="1964"/>
      <c r="Q162" s="1964"/>
      <c r="R162" s="2340"/>
      <c r="S162" s="1963"/>
      <c r="T162" s="302"/>
      <c r="U162" s="303"/>
      <c r="V162" s="303" t="s">
        <v>160</v>
      </c>
      <c r="W162" s="304"/>
      <c r="Y162" s="1275"/>
      <c r="Z162" s="1275"/>
      <c r="AA162" s="1275"/>
      <c r="AB162" s="1275"/>
      <c r="AC162" s="1275"/>
      <c r="AD162" s="1275"/>
      <c r="AE162" s="1275"/>
      <c r="AF162" s="1275"/>
      <c r="AG162" s="1275"/>
      <c r="AH162" s="1275"/>
      <c r="AI162" s="1275"/>
      <c r="AJ162" s="1275"/>
      <c r="AK162" s="1275"/>
    </row>
    <row customHeight="1" ht="17.25">
      <c r="G163" s="1863"/>
      <c r="H163" s="1863"/>
      <c r="I163" s="1863"/>
      <c r="M163" s="0"/>
    </row>
    <row s="1877" customFormat="1" customHeight="1" ht="17.25">
      <c r="A164" s="1864"/>
      <c r="C164" s="1866"/>
      <c r="D164" s="1855"/>
      <c r="E164" s="1871"/>
      <c r="F164" s="1809"/>
      <c r="G164" s="1872"/>
      <c r="H164" s="1780"/>
      <c r="I164" s="1780"/>
      <c r="J164" s="1781"/>
      <c r="K164" s="1872"/>
      <c r="L164" s="1780"/>
      <c r="M164" s="1780"/>
      <c r="N164" s="1872"/>
      <c r="O164" s="1872"/>
      <c r="P164" s="1780"/>
      <c r="Q164" s="1780"/>
      <c r="R164" s="1782"/>
      <c r="S164" s="1872"/>
      <c r="T164" s="1836"/>
      <c r="U164" s="1836" t="s">
        <v>108</v>
      </c>
      <c r="V164" s="1867" t="s">
        <v>24</v>
      </c>
      <c r="W164" s="1826"/>
      <c r="Y164" s="1283"/>
      <c r="Z164" s="1283"/>
      <c r="AA164" s="1283"/>
      <c r="AB164" s="1283"/>
      <c r="AC164" s="1283"/>
      <c r="AD164" s="1283"/>
      <c r="AE164" s="1283"/>
      <c r="AF164" s="1283"/>
      <c r="AG164" s="1283"/>
      <c r="AH164" s="1283"/>
      <c r="AI164" s="1283"/>
      <c r="AJ164" s="1283"/>
      <c r="AK164" s="1283"/>
      <c r="AL164" s="1868"/>
      <c r="AM164" s="1868"/>
      <c r="AN164" s="1283"/>
      <c r="AO164" s="1283"/>
      <c r="AP164" s="1283"/>
      <c r="AQ164" s="1283"/>
    </row>
    <row r="166" s="1840" customFormat="1" customHeight="1" ht="17.25">
      <c r="A166" s="1840" t="s">
        <v>1188</v>
      </c>
    </row>
    <row customHeight="1" ht="17.25">
      <c r="G167" s="1863"/>
      <c r="H167" s="1863"/>
      <c r="I167" s="1863"/>
      <c r="M167" s="0"/>
    </row>
    <row s="1877" customFormat="1" customHeight="1" ht="17.25">
      <c r="A168" s="1864"/>
      <c r="C168" s="1866"/>
      <c r="D168" s="2335"/>
      <c r="E168" s="1975"/>
      <c r="F168" s="1977"/>
      <c r="G168" s="2341"/>
      <c r="H168" s="2335"/>
      <c r="I168" s="2335">
        <v>1</v>
      </c>
      <c r="J168" s="2371"/>
      <c r="K168" s="2026" t="s">
        <v>61</v>
      </c>
      <c r="L168" s="1964"/>
      <c r="M168" s="1964" t="s">
        <v>108</v>
      </c>
      <c r="N168" s="2369" t="str">
        <f>IF(Z168="","",INDEX(TERRITORY_MR_LIST,MATCH(Z168,TERRITORY_LIST_ID,0)))</f>
        <v/>
      </c>
      <c r="O168" s="2026" t="s">
        <v>61</v>
      </c>
      <c r="P168" s="1964"/>
      <c r="Q168" s="1964" t="s">
        <v>108</v>
      </c>
      <c r="R168" s="2340" t="s">
        <v>24</v>
      </c>
      <c r="S168" s="2222" t="s">
        <v>56</v>
      </c>
      <c r="T168" s="1827"/>
      <c r="U168" s="1827" t="s">
        <v>108</v>
      </c>
      <c r="V168" s="1451"/>
      <c r="W168" s="2371"/>
      <c r="Y168" s="1283"/>
      <c r="Z168" s="1283"/>
      <c r="AA168" s="1283"/>
      <c r="AB168" s="1283"/>
      <c r="AC168" s="1283"/>
      <c r="AD168" s="1283"/>
      <c r="AE168" s="1283"/>
      <c r="AF168" s="1283"/>
      <c r="AG168" s="1283"/>
      <c r="AH168" s="1283"/>
      <c r="AI168" s="1283"/>
      <c r="AJ168" s="1283"/>
      <c r="AK168" s="1283"/>
      <c r="AL168" s="1868"/>
      <c r="AM168" s="1868"/>
      <c r="AN168" s="1283"/>
      <c r="AO168" s="1283"/>
      <c r="AP168" s="1283"/>
      <c r="AQ168" s="1283"/>
    </row>
    <row s="1877" customFormat="1" customHeight="1" ht="17.25">
      <c r="A169" s="1864"/>
      <c r="C169" s="1869"/>
      <c r="D169" s="2335"/>
      <c r="E169" s="1975"/>
      <c r="F169" s="1978"/>
      <c r="G169" s="2341"/>
      <c r="H169" s="2335"/>
      <c r="I169" s="2335"/>
      <c r="J169" s="2371"/>
      <c r="K169" s="2027"/>
      <c r="L169" s="1964"/>
      <c r="M169" s="1964"/>
      <c r="N169" s="2369"/>
      <c r="O169" s="2027"/>
      <c r="P169" s="1964"/>
      <c r="Q169" s="1964"/>
      <c r="R169" s="2340"/>
      <c r="S169" s="2222"/>
      <c r="T169" s="1452"/>
      <c r="U169" s="1453"/>
      <c r="V169" s="1453"/>
      <c r="W169" s="2371"/>
      <c r="Y169" s="1275"/>
      <c r="Z169" s="1275"/>
      <c r="AA169" s="1275"/>
      <c r="AB169" s="1275"/>
      <c r="AC169" s="1275"/>
      <c r="AD169" s="1275"/>
      <c r="AE169" s="1275"/>
      <c r="AF169" s="1275"/>
      <c r="AG169" s="1275"/>
      <c r="AH169" s="1275"/>
      <c r="AI169" s="1275"/>
      <c r="AJ169" s="1275"/>
      <c r="AK169" s="1275"/>
    </row>
    <row s="1877" customFormat="1" customHeight="1" ht="17.25">
      <c r="A170" s="1864"/>
      <c r="C170" s="1869"/>
      <c r="D170" s="2336"/>
      <c r="E170" s="2368"/>
      <c r="F170" s="1978"/>
      <c r="G170" s="2342"/>
      <c r="H170" s="2336"/>
      <c r="I170" s="2336"/>
      <c r="J170" s="2372"/>
      <c r="K170" s="2027"/>
      <c r="L170" s="2336"/>
      <c r="M170" s="2336"/>
      <c r="N170" s="2370"/>
      <c r="O170" s="1968"/>
      <c r="P170" s="302"/>
      <c r="Q170" s="303"/>
      <c r="R170" s="303" t="s">
        <v>161</v>
      </c>
      <c r="S170" s="1870"/>
      <c r="T170" s="1870"/>
      <c r="U170" s="1870"/>
      <c r="V170" s="1870"/>
      <c r="W170" s="1450"/>
      <c r="Y170" s="1275"/>
      <c r="Z170" s="1275"/>
      <c r="AA170" s="1275"/>
      <c r="AB170" s="1275"/>
      <c r="AC170" s="1275"/>
      <c r="AD170" s="1275"/>
      <c r="AE170" s="1275"/>
      <c r="AF170" s="1275"/>
      <c r="AG170" s="1275"/>
      <c r="AH170" s="1275"/>
      <c r="AI170" s="1275"/>
      <c r="AJ170" s="1275"/>
      <c r="AK170" s="1275"/>
    </row>
    <row s="1877" customFormat="1" customHeight="1" ht="17.25">
      <c r="A171" s="1864"/>
      <c r="C171" s="1869"/>
      <c r="D171" s="2336"/>
      <c r="E171" s="2368"/>
      <c r="F171" s="1978"/>
      <c r="G171" s="2342"/>
      <c r="H171" s="2336"/>
      <c r="I171" s="2336"/>
      <c r="J171" s="2372"/>
      <c r="K171" s="1968"/>
      <c r="L171" s="302"/>
      <c r="M171" s="303"/>
      <c r="N171" s="303" t="s">
        <v>162</v>
      </c>
      <c r="O171" s="303"/>
      <c r="P171" s="303"/>
      <c r="Q171" s="303"/>
      <c r="R171" s="303"/>
      <c r="S171" s="1870"/>
      <c r="T171" s="1870"/>
      <c r="U171" s="1870"/>
      <c r="V171" s="1870"/>
      <c r="W171" s="304"/>
      <c r="Y171" s="1275"/>
      <c r="Z171" s="1275"/>
      <c r="AA171" s="1275"/>
      <c r="AB171" s="1275"/>
      <c r="AC171" s="1275"/>
      <c r="AD171" s="1275"/>
      <c r="AE171" s="1275"/>
      <c r="AF171" s="1275"/>
      <c r="AG171" s="1275"/>
      <c r="AH171" s="1275"/>
      <c r="AI171" s="1275"/>
      <c r="AJ171" s="1275"/>
      <c r="AK171" s="1275"/>
    </row>
    <row s="1877" customFormat="1" customHeight="1" ht="17.25">
      <c r="A172" s="1864"/>
      <c r="C172" s="1869"/>
      <c r="D172" s="2336"/>
      <c r="E172" s="2368"/>
      <c r="F172" s="1979"/>
      <c r="G172" s="2342"/>
      <c r="H172" s="302"/>
      <c r="I172" s="303"/>
      <c r="J172" s="303" t="s">
        <v>179</v>
      </c>
      <c r="K172" s="303"/>
      <c r="L172" s="303"/>
      <c r="M172" s="303"/>
      <c r="N172" s="303"/>
      <c r="O172" s="303"/>
      <c r="P172" s="303"/>
      <c r="Q172" s="303"/>
      <c r="R172" s="303"/>
      <c r="S172" s="1870"/>
      <c r="T172" s="1870"/>
      <c r="U172" s="1870"/>
      <c r="V172" s="1870"/>
      <c r="W172" s="304"/>
      <c r="Y172" s="1275"/>
      <c r="Z172" s="1275"/>
      <c r="AA172" s="1275"/>
      <c r="AB172" s="1275"/>
      <c r="AC172" s="1275"/>
      <c r="AD172" s="1275"/>
      <c r="AE172" s="1275"/>
      <c r="AF172" s="1275"/>
      <c r="AG172" s="1275"/>
      <c r="AH172" s="1275"/>
      <c r="AI172" s="1275"/>
      <c r="AJ172" s="1275"/>
      <c r="AK172" s="1275"/>
    </row>
    <row customHeight="1" ht="17.25">
      <c r="A173" s="0"/>
    </row>
    <row s="1877" customFormat="1" customHeight="1" ht="17.25">
      <c r="A174" s="1864"/>
      <c r="C174" s="1866"/>
      <c r="D174" s="1855"/>
      <c r="E174" s="1871"/>
      <c r="F174" s="1809"/>
      <c r="G174" s="1872"/>
      <c r="H174" s="2335"/>
      <c r="I174" s="2335">
        <v>1</v>
      </c>
      <c r="J174" s="2371"/>
      <c r="K174" s="2026" t="s">
        <v>61</v>
      </c>
      <c r="L174" s="1964"/>
      <c r="M174" s="1964" t="s">
        <v>108</v>
      </c>
      <c r="N174" s="2369" t="str">
        <f>IF(Z174="","",INDEX(TERRITORY_MR_LIST,MATCH(Z174,TERRITORY_LIST_ID,0)))</f>
        <v/>
      </c>
      <c r="O174" s="2026" t="s">
        <v>61</v>
      </c>
      <c r="P174" s="1964"/>
      <c r="Q174" s="1964" t="s">
        <v>108</v>
      </c>
      <c r="R174" s="2340" t="s">
        <v>24</v>
      </c>
      <c r="S174" s="2222" t="s">
        <v>56</v>
      </c>
      <c r="T174" s="1827"/>
      <c r="U174" s="1827" t="s">
        <v>108</v>
      </c>
      <c r="V174" s="1451"/>
      <c r="W174" s="2371"/>
      <c r="Y174" s="1283"/>
      <c r="Z174" s="1283"/>
      <c r="AA174" s="1283"/>
      <c r="AB174" s="1283"/>
      <c r="AC174" s="1283"/>
      <c r="AD174" s="1283"/>
      <c r="AE174" s="1283"/>
      <c r="AF174" s="1283"/>
      <c r="AG174" s="1283"/>
      <c r="AH174" s="1283"/>
      <c r="AI174" s="1283"/>
      <c r="AJ174" s="1283"/>
      <c r="AK174" s="1283"/>
      <c r="AL174" s="1868"/>
      <c r="AM174" s="1868"/>
      <c r="AN174" s="1283"/>
      <c r="AO174" s="1283"/>
      <c r="AP174" s="1283"/>
      <c r="AQ174" s="1283"/>
    </row>
    <row s="1877" customFormat="1" customHeight="1" ht="17.25">
      <c r="A175" s="1864"/>
      <c r="C175" s="1869"/>
      <c r="D175" s="1855"/>
      <c r="E175" s="1871"/>
      <c r="F175" s="1809"/>
      <c r="G175" s="1872"/>
      <c r="H175" s="2335"/>
      <c r="I175" s="2335"/>
      <c r="J175" s="2371"/>
      <c r="K175" s="2027"/>
      <c r="L175" s="1964"/>
      <c r="M175" s="1964"/>
      <c r="N175" s="2369"/>
      <c r="O175" s="2027"/>
      <c r="P175" s="1964"/>
      <c r="Q175" s="1964"/>
      <c r="R175" s="2340"/>
      <c r="S175" s="2222"/>
      <c r="T175" s="1452"/>
      <c r="U175" s="1453"/>
      <c r="V175" s="1453"/>
      <c r="W175" s="2371"/>
      <c r="Y175" s="1275"/>
      <c r="Z175" s="1275"/>
      <c r="AA175" s="1275"/>
      <c r="AB175" s="1275"/>
      <c r="AC175" s="1275"/>
      <c r="AD175" s="1275"/>
      <c r="AE175" s="1275"/>
      <c r="AF175" s="1275"/>
      <c r="AG175" s="1275"/>
      <c r="AH175" s="1275"/>
      <c r="AI175" s="1275"/>
      <c r="AJ175" s="1275"/>
      <c r="AK175" s="1275"/>
    </row>
    <row s="1877" customFormat="1" customHeight="1" ht="17.25">
      <c r="A176" s="1864"/>
      <c r="C176" s="1869"/>
      <c r="D176" s="1855"/>
      <c r="E176" s="1871"/>
      <c r="F176" s="1809"/>
      <c r="G176" s="1872"/>
      <c r="H176" s="2336"/>
      <c r="I176" s="2336"/>
      <c r="J176" s="2372"/>
      <c r="K176" s="2027"/>
      <c r="L176" s="2336"/>
      <c r="M176" s="2336"/>
      <c r="N176" s="2370"/>
      <c r="O176" s="1968"/>
      <c r="P176" s="302"/>
      <c r="Q176" s="303"/>
      <c r="R176" s="303" t="s">
        <v>161</v>
      </c>
      <c r="S176" s="1870"/>
      <c r="T176" s="1870"/>
      <c r="U176" s="1870"/>
      <c r="V176" s="1870"/>
      <c r="W176" s="1450"/>
      <c r="Y176" s="1275"/>
      <c r="Z176" s="1275"/>
      <c r="AA176" s="1275"/>
      <c r="AB176" s="1275"/>
      <c r="AC176" s="1275"/>
      <c r="AD176" s="1275"/>
      <c r="AE176" s="1275"/>
      <c r="AF176" s="1275"/>
      <c r="AG176" s="1275"/>
      <c r="AH176" s="1275"/>
      <c r="AI176" s="1275"/>
      <c r="AJ176" s="1275"/>
      <c r="AK176" s="1275"/>
    </row>
    <row s="1877" customFormat="1" customHeight="1" ht="17.25">
      <c r="A177" s="1864"/>
      <c r="C177" s="1869"/>
      <c r="D177" s="1855"/>
      <c r="E177" s="1871"/>
      <c r="F177" s="1809"/>
      <c r="G177" s="1872"/>
      <c r="H177" s="2336"/>
      <c r="I177" s="2336"/>
      <c r="J177" s="2372"/>
      <c r="K177" s="1968"/>
      <c r="L177" s="302"/>
      <c r="M177" s="303"/>
      <c r="N177" s="303" t="s">
        <v>162</v>
      </c>
      <c r="O177" s="303"/>
      <c r="P177" s="303"/>
      <c r="Q177" s="303"/>
      <c r="R177" s="303"/>
      <c r="S177" s="1870"/>
      <c r="T177" s="1870"/>
      <c r="U177" s="1870"/>
      <c r="V177" s="1870"/>
      <c r="W177" s="304"/>
      <c r="Y177" s="1275"/>
      <c r="Z177" s="1275"/>
      <c r="AA177" s="1275"/>
      <c r="AB177" s="1275"/>
      <c r="AC177" s="1275"/>
      <c r="AD177" s="1275"/>
      <c r="AE177" s="1275"/>
      <c r="AF177" s="1275"/>
      <c r="AG177" s="1275"/>
      <c r="AH177" s="1275"/>
      <c r="AI177" s="1275"/>
      <c r="AJ177" s="1275"/>
      <c r="AK177" s="1275"/>
    </row>
    <row customHeight="1" ht="17.25">
      <c r="A178" s="0"/>
    </row>
    <row s="1877" customFormat="1" customHeight="1" ht="17.25">
      <c r="A179" s="1864"/>
      <c r="C179" s="1866"/>
      <c r="D179" s="1855"/>
      <c r="E179" s="1871"/>
      <c r="F179" s="1809"/>
      <c r="G179" s="1872"/>
      <c r="H179" s="1855"/>
      <c r="I179" s="1855"/>
      <c r="J179" s="1875"/>
      <c r="K179" s="1872"/>
      <c r="L179" s="1964"/>
      <c r="M179" s="1964" t="s">
        <v>108</v>
      </c>
      <c r="N179" s="2369" t="str">
        <f>IF(Z179="","",INDEX(TERRITORY_MR_LIST,MATCH(Z179,TERRITORY_LIST_ID,0)))</f>
        <v/>
      </c>
      <c r="O179" s="2026" t="s">
        <v>61</v>
      </c>
      <c r="P179" s="1964"/>
      <c r="Q179" s="1964" t="s">
        <v>108</v>
      </c>
      <c r="R179" s="2340" t="s">
        <v>24</v>
      </c>
      <c r="S179" s="2222" t="s">
        <v>56</v>
      </c>
      <c r="T179" s="1827"/>
      <c r="U179" s="1827" t="s">
        <v>108</v>
      </c>
      <c r="V179" s="1451"/>
      <c r="W179" s="2371"/>
      <c r="Y179" s="1283"/>
      <c r="Z179" s="1283"/>
      <c r="AA179" s="1283"/>
      <c r="AB179" s="1283"/>
      <c r="AC179" s="1283"/>
      <c r="AD179" s="1283"/>
      <c r="AE179" s="1283"/>
      <c r="AF179" s="1283"/>
      <c r="AG179" s="1283"/>
      <c r="AH179" s="1283"/>
      <c r="AI179" s="1283"/>
      <c r="AJ179" s="1283"/>
      <c r="AK179" s="1283"/>
      <c r="AL179" s="1868"/>
      <c r="AM179" s="1868"/>
      <c r="AN179" s="1283"/>
      <c r="AO179" s="1283"/>
      <c r="AP179" s="1283"/>
      <c r="AQ179" s="1283"/>
    </row>
    <row s="1877" customFormat="1" customHeight="1" ht="17.25">
      <c r="A180" s="1864"/>
      <c r="C180" s="1869"/>
      <c r="D180" s="1855"/>
      <c r="E180" s="1871"/>
      <c r="F180" s="1809"/>
      <c r="G180" s="1872"/>
      <c r="H180" s="1855"/>
      <c r="I180" s="1855"/>
      <c r="J180" s="1875"/>
      <c r="K180" s="1872"/>
      <c r="L180" s="1964"/>
      <c r="M180" s="1964"/>
      <c r="N180" s="2369"/>
      <c r="O180" s="2027"/>
      <c r="P180" s="1964"/>
      <c r="Q180" s="1964"/>
      <c r="R180" s="2340"/>
      <c r="S180" s="2222"/>
      <c r="T180" s="1452"/>
      <c r="U180" s="1453"/>
      <c r="V180" s="1453"/>
      <c r="W180" s="2371"/>
      <c r="Y180" s="1275"/>
      <c r="Z180" s="1275"/>
      <c r="AA180" s="1275"/>
      <c r="AB180" s="1275"/>
      <c r="AC180" s="1275"/>
      <c r="AD180" s="1275"/>
      <c r="AE180" s="1275"/>
      <c r="AF180" s="1275"/>
      <c r="AG180" s="1275"/>
      <c r="AH180" s="1275"/>
      <c r="AI180" s="1275"/>
      <c r="AJ180" s="1275"/>
      <c r="AK180" s="1275"/>
    </row>
    <row s="1877" customFormat="1" customHeight="1" ht="17.25">
      <c r="A181" s="1864"/>
      <c r="C181" s="1869"/>
      <c r="D181" s="1855"/>
      <c r="E181" s="1871"/>
      <c r="F181" s="1809"/>
      <c r="G181" s="1872"/>
      <c r="H181" s="1855"/>
      <c r="I181" s="1855"/>
      <c r="J181" s="1875"/>
      <c r="K181" s="1872"/>
      <c r="L181" s="2336"/>
      <c r="M181" s="2336"/>
      <c r="N181" s="2370"/>
      <c r="O181" s="1968"/>
      <c r="P181" s="302"/>
      <c r="Q181" s="303"/>
      <c r="R181" s="303" t="s">
        <v>161</v>
      </c>
      <c r="S181" s="1870"/>
      <c r="T181" s="1870"/>
      <c r="U181" s="1870"/>
      <c r="V181" s="1870"/>
      <c r="W181" s="1450"/>
      <c r="Y181" s="1275"/>
      <c r="Z181" s="1275"/>
      <c r="AA181" s="1275"/>
      <c r="AB181" s="1275"/>
      <c r="AC181" s="1275"/>
      <c r="AD181" s="1275"/>
      <c r="AE181" s="1275"/>
      <c r="AF181" s="1275"/>
      <c r="AG181" s="1275"/>
      <c r="AH181" s="1275"/>
      <c r="AI181" s="1275"/>
      <c r="AJ181" s="1275"/>
      <c r="AK181" s="1275"/>
    </row>
    <row customHeight="1" ht="17.25">
      <c r="A182" s="0"/>
    </row>
    <row s="1877" customFormat="1" customHeight="1" ht="17.25">
      <c r="A183" s="1864"/>
      <c r="C183" s="1866"/>
      <c r="D183" s="1855"/>
      <c r="E183" s="1871"/>
      <c r="F183" s="1809"/>
      <c r="G183" s="1872"/>
      <c r="H183" s="1855"/>
      <c r="I183" s="1855"/>
      <c r="J183" s="1875"/>
      <c r="K183" s="1872"/>
      <c r="L183" s="1855"/>
      <c r="M183" s="1855"/>
      <c r="N183" s="1874"/>
      <c r="O183" s="1812"/>
      <c r="P183" s="1964"/>
      <c r="Q183" s="1964" t="s">
        <v>108</v>
      </c>
      <c r="R183" s="2340" t="s">
        <v>24</v>
      </c>
      <c r="S183" s="2222" t="s">
        <v>56</v>
      </c>
      <c r="T183" s="1827"/>
      <c r="U183" s="1827" t="s">
        <v>108</v>
      </c>
      <c r="V183" s="1451"/>
      <c r="W183" s="2371"/>
      <c r="Y183" s="1283"/>
      <c r="Z183" s="1283"/>
      <c r="AA183" s="1283"/>
      <c r="AB183" s="1283"/>
      <c r="AC183" s="1283"/>
      <c r="AD183" s="1283"/>
      <c r="AE183" s="1283"/>
      <c r="AF183" s="1283"/>
      <c r="AG183" s="1283"/>
      <c r="AH183" s="1283"/>
      <c r="AI183" s="1283"/>
      <c r="AJ183" s="1283"/>
      <c r="AK183" s="1283"/>
      <c r="AL183" s="1868"/>
      <c r="AM183" s="1868"/>
      <c r="AN183" s="1283"/>
      <c r="AO183" s="1283"/>
      <c r="AP183" s="1283"/>
      <c r="AQ183" s="1283"/>
    </row>
    <row s="1877" customFormat="1" customHeight="1" ht="17.25">
      <c r="A184" s="1864"/>
      <c r="C184" s="1869"/>
      <c r="D184" s="1855"/>
      <c r="E184" s="1871"/>
      <c r="F184" s="1809"/>
      <c r="G184" s="1872"/>
      <c r="H184" s="1855"/>
      <c r="I184" s="1855"/>
      <c r="J184" s="1875"/>
      <c r="K184" s="1872"/>
      <c r="L184" s="1855"/>
      <c r="M184" s="1855"/>
      <c r="N184" s="1874"/>
      <c r="O184" s="1812"/>
      <c r="P184" s="1964"/>
      <c r="Q184" s="1964"/>
      <c r="R184" s="2340"/>
      <c r="S184" s="2222"/>
      <c r="T184" s="1452"/>
      <c r="U184" s="1453"/>
      <c r="V184" s="1453"/>
      <c r="W184" s="2371"/>
      <c r="Y184" s="1275"/>
      <c r="Z184" s="1275"/>
      <c r="AA184" s="1275"/>
      <c r="AB184" s="1275"/>
      <c r="AC184" s="1275"/>
      <c r="AD184" s="1275"/>
      <c r="AE184" s="1275"/>
      <c r="AF184" s="1275"/>
      <c r="AG184" s="1275"/>
      <c r="AH184" s="1275"/>
      <c r="AI184" s="1275"/>
      <c r="AJ184" s="1275"/>
      <c r="AK184" s="1275"/>
    </row>
    <row customHeight="1" ht="17.25">
      <c r="A185" s="0"/>
    </row>
    <row customHeight="1" ht="16.5">
      <c r="A186" s="1864"/>
      <c r="B186" s="1865"/>
      <c r="C186" s="1869"/>
      <c r="D186" s="2361"/>
      <c r="E186" s="2023"/>
      <c r="F186" s="2023"/>
      <c r="G186" s="1953"/>
      <c r="H186" s="2362"/>
      <c r="I186" s="2374"/>
      <c r="J186" s="1984"/>
      <c r="K186" s="1971"/>
      <c r="L186" s="1971"/>
      <c r="M186" s="1971"/>
      <c r="N186" s="2365"/>
      <c r="O186" s="1971"/>
      <c r="P186" s="1971"/>
      <c r="Q186" s="1971"/>
      <c r="R186" s="2373"/>
      <c r="S186" s="1971"/>
      <c r="T186" s="1808"/>
      <c r="U186" s="1808"/>
      <c r="V186" s="1876"/>
      <c r="W186" s="1313"/>
    </row>
    <row customHeight="1" ht="16.5">
      <c r="A187" s="1864"/>
      <c r="B187" s="1865"/>
      <c r="C187" s="1869"/>
      <c r="D187" s="2361"/>
      <c r="E187" s="2023"/>
      <c r="F187" s="2023"/>
      <c r="G187" s="1953"/>
      <c r="H187" s="2363"/>
      <c r="I187" s="2375"/>
      <c r="J187" s="1985"/>
      <c r="K187" s="1972"/>
      <c r="L187" s="1972"/>
      <c r="M187" s="1972"/>
      <c r="N187" s="2366"/>
      <c r="O187" s="1972"/>
      <c r="P187" s="1972"/>
      <c r="Q187" s="1972"/>
      <c r="R187" s="2367"/>
      <c r="S187" s="1972"/>
      <c r="T187" s="1314"/>
      <c r="U187" s="1314"/>
      <c r="V187" s="1314"/>
      <c r="W187" s="1315"/>
    </row>
    <row customHeight="1" ht="17.25">
      <c r="A188" s="1864"/>
      <c r="B188" s="1865"/>
      <c r="C188" s="1869"/>
      <c r="D188" s="2361"/>
      <c r="E188" s="2023"/>
      <c r="F188" s="2023"/>
      <c r="G188" s="1953"/>
      <c r="H188" s="2363"/>
      <c r="I188" s="2375"/>
      <c r="J188" s="2364"/>
      <c r="K188" s="1972"/>
      <c r="L188" s="1972"/>
      <c r="M188" s="1972"/>
      <c r="N188" s="2367"/>
      <c r="O188" s="1972"/>
      <c r="P188" s="1811"/>
      <c r="Q188" s="1314"/>
      <c r="R188" s="1314"/>
      <c r="S188" s="1877"/>
      <c r="T188" s="1877"/>
      <c r="U188" s="1877"/>
      <c r="V188" s="1877"/>
      <c r="W188" s="1315"/>
    </row>
    <row customHeight="1" ht="17.25">
      <c r="A189" s="1864"/>
      <c r="B189" s="1865"/>
      <c r="C189" s="1869"/>
      <c r="D189" s="2361"/>
      <c r="E189" s="2023"/>
      <c r="F189" s="2023"/>
      <c r="G189" s="1953"/>
      <c r="H189" s="2363"/>
      <c r="I189" s="2375"/>
      <c r="J189" s="2364"/>
      <c r="K189" s="1972"/>
      <c r="L189" s="1314"/>
      <c r="M189" s="1314"/>
      <c r="N189" s="1314"/>
      <c r="O189" s="1314"/>
      <c r="P189" s="1314"/>
      <c r="Q189" s="1314"/>
      <c r="R189" s="1314"/>
      <c r="S189" s="1877"/>
      <c r="T189" s="1877"/>
      <c r="U189" s="1877"/>
      <c r="V189" s="1877"/>
      <c r="W189" s="1315"/>
    </row>
    <row customHeight="1" ht="17.25">
      <c r="A190" s="1864"/>
      <c r="B190" s="1865"/>
      <c r="C190" s="1869"/>
      <c r="D190" s="2361"/>
      <c r="E190" s="2023"/>
      <c r="F190" s="2023"/>
      <c r="G190" s="1953"/>
      <c r="H190" s="1316"/>
      <c r="I190" s="1317"/>
      <c r="J190" s="1317"/>
      <c r="K190" s="1317"/>
      <c r="L190" s="1317"/>
      <c r="M190" s="1317"/>
      <c r="N190" s="1317"/>
      <c r="O190" s="1317"/>
      <c r="P190" s="1317"/>
      <c r="Q190" s="1317"/>
      <c r="R190" s="1317"/>
      <c r="S190" s="1878"/>
      <c r="T190" s="1878"/>
      <c r="U190" s="1878"/>
      <c r="V190" s="1878"/>
      <c r="W190" s="1319"/>
    </row>
    <row r="192" s="1840" customFormat="1" customHeight="1" ht="17.25">
      <c r="A192" s="1840" t="s">
        <v>1189</v>
      </c>
    </row>
    <row customHeight="1" ht="17.25">
      <c r="G193" s="1863"/>
      <c r="H193" s="1863"/>
      <c r="I193" s="1863"/>
      <c r="M193" s="0"/>
    </row>
    <row s="2437" customFormat="1" customHeight="1" ht="15">
      <c r="D194" s="2398"/>
      <c r="E194" s="2018"/>
      <c r="F194" s="2018"/>
      <c r="G194" s="2026"/>
      <c r="H194" s="1591"/>
      <c r="I194" s="2399">
        <v>1</v>
      </c>
      <c r="J194" s="2371"/>
      <c r="K194" s="1605"/>
      <c r="L194" s="2026" t="s">
        <v>61</v>
      </c>
      <c r="M194" s="2026" t="s">
        <v>61</v>
      </c>
      <c r="N194" s="1591"/>
      <c r="O194" s="1964" t="s">
        <v>108</v>
      </c>
      <c r="P194" s="2393"/>
      <c r="Q194" s="1606"/>
      <c r="R194" s="2026" t="s">
        <v>61</v>
      </c>
      <c r="S194" s="2026" t="s">
        <v>61</v>
      </c>
      <c r="T194" s="1879"/>
      <c r="U194" s="1964" t="s">
        <v>108</v>
      </c>
      <c r="V194" s="2395" t="str">
        <f>IF(AK194="","",INDEX(TERRITORY_MR_LIST,MATCH(AK194,TERRITORY_LIST_ID,0)))</f>
        <v/>
      </c>
      <c r="W194" s="1607"/>
      <c r="X194" s="2026" t="s">
        <v>61</v>
      </c>
      <c r="Y194" s="2026" t="s">
        <v>56</v>
      </c>
      <c r="Z194" s="1591"/>
      <c r="AA194" s="1964" t="s">
        <v>108</v>
      </c>
      <c r="AB194" s="2397"/>
      <c r="AC194" s="1608"/>
      <c r="AD194" s="2026" t="s">
        <v>61</v>
      </c>
      <c r="AE194" s="2026" t="s">
        <v>56</v>
      </c>
      <c r="AF194" s="1589"/>
      <c r="AG194" s="1836" t="s">
        <v>108</v>
      </c>
      <c r="AH194" s="1599"/>
      <c r="AI194" s="1826"/>
    </row>
    <row s="2437" customFormat="1" customHeight="1" ht="15">
      <c r="D195" s="2398"/>
      <c r="E195" s="2018"/>
      <c r="F195" s="2018"/>
      <c r="G195" s="2027"/>
      <c r="H195" s="1591"/>
      <c r="I195" s="2399"/>
      <c r="J195" s="2371"/>
      <c r="K195" s="1590"/>
      <c r="L195" s="2027"/>
      <c r="M195" s="2027"/>
      <c r="N195" s="1591"/>
      <c r="O195" s="1964"/>
      <c r="P195" s="2393"/>
      <c r="Q195" s="1587"/>
      <c r="R195" s="2027"/>
      <c r="S195" s="2027"/>
      <c r="T195" s="1879"/>
      <c r="U195" s="1964"/>
      <c r="V195" s="2396"/>
      <c r="W195" s="1588"/>
      <c r="X195" s="2027"/>
      <c r="Y195" s="2027"/>
      <c r="Z195" s="1591"/>
      <c r="AA195" s="1964"/>
      <c r="AB195" s="2324"/>
      <c r="AC195" s="1592"/>
      <c r="AD195" s="1968"/>
      <c r="AE195" s="1968"/>
      <c r="AF195" s="1593"/>
      <c r="AG195" s="1594"/>
      <c r="AH195" s="2401" t="s">
        <v>1190</v>
      </c>
      <c r="AI195" s="2402"/>
    </row>
    <row s="2437" customFormat="1" customHeight="1" ht="15">
      <c r="D196" s="2398"/>
      <c r="E196" s="2018"/>
      <c r="F196" s="2018"/>
      <c r="G196" s="2027"/>
      <c r="H196" s="1591"/>
      <c r="I196" s="2399"/>
      <c r="J196" s="2371"/>
      <c r="K196" s="1590"/>
      <c r="L196" s="2027"/>
      <c r="M196" s="2027"/>
      <c r="N196" s="1591"/>
      <c r="O196" s="1964"/>
      <c r="P196" s="2393"/>
      <c r="Q196" s="1587"/>
      <c r="R196" s="2027"/>
      <c r="S196" s="2027"/>
      <c r="T196" s="1879"/>
      <c r="U196" s="1964"/>
      <c r="V196" s="2396"/>
      <c r="W196" s="1588"/>
      <c r="X196" s="2027"/>
      <c r="Y196" s="2027"/>
      <c r="Z196" s="1629"/>
      <c r="AA196" s="1596"/>
      <c r="AB196" s="2403" t="s">
        <v>1191</v>
      </c>
      <c r="AC196" s="2403"/>
      <c r="AD196" s="2403"/>
      <c r="AE196" s="2403"/>
      <c r="AF196" s="2403"/>
      <c r="AG196" s="2403"/>
      <c r="AH196" s="2403"/>
      <c r="AI196" s="2404"/>
    </row>
    <row s="2437" customFormat="1" customHeight="1" ht="15">
      <c r="D197" s="2398"/>
      <c r="E197" s="2018"/>
      <c r="F197" s="2018"/>
      <c r="G197" s="2027"/>
      <c r="H197" s="1591"/>
      <c r="I197" s="2399"/>
      <c r="J197" s="2371"/>
      <c r="K197" s="1590"/>
      <c r="L197" s="2027"/>
      <c r="M197" s="2027"/>
      <c r="N197" s="1591"/>
      <c r="O197" s="1964"/>
      <c r="P197" s="2405"/>
      <c r="Q197" s="1587"/>
      <c r="R197" s="2027"/>
      <c r="S197" s="2027"/>
      <c r="T197" s="1880"/>
      <c r="U197" s="1630"/>
      <c r="V197" s="2401" t="s">
        <v>102</v>
      </c>
      <c r="W197" s="2401"/>
      <c r="X197" s="2401"/>
      <c r="Y197" s="2401"/>
      <c r="Z197" s="2401"/>
      <c r="AA197" s="2401"/>
      <c r="AB197" s="2401"/>
      <c r="AC197" s="2401"/>
      <c r="AD197" s="2401"/>
      <c r="AE197" s="2401"/>
      <c r="AF197" s="2401"/>
      <c r="AG197" s="2401"/>
      <c r="AH197" s="2401"/>
      <c r="AI197" s="2402"/>
    </row>
    <row s="2437" customFormat="1" customHeight="1" ht="11.25">
      <c r="D198" s="2398"/>
      <c r="E198" s="2018"/>
      <c r="F198" s="2018"/>
      <c r="G198" s="2027"/>
      <c r="H198" s="1595"/>
      <c r="I198" s="2399"/>
      <c r="J198" s="2400"/>
      <c r="K198" s="1590"/>
      <c r="L198" s="2027"/>
      <c r="M198" s="2027"/>
      <c r="N198" s="1595"/>
      <c r="O198" s="1596"/>
      <c r="P198" s="2401" t="s">
        <v>1192</v>
      </c>
      <c r="Q198" s="2401"/>
      <c r="R198" s="2401"/>
      <c r="S198" s="2401"/>
      <c r="T198" s="2401"/>
      <c r="U198" s="2401"/>
      <c r="V198" s="2401"/>
      <c r="W198" s="2401"/>
      <c r="X198" s="2401"/>
      <c r="Y198" s="2401"/>
      <c r="Z198" s="2401"/>
      <c r="AA198" s="2401"/>
      <c r="AB198" s="2401"/>
      <c r="AC198" s="2401"/>
      <c r="AD198" s="2401"/>
      <c r="AE198" s="2401"/>
      <c r="AF198" s="2401"/>
      <c r="AG198" s="2401"/>
      <c r="AH198" s="2401"/>
      <c r="AI198" s="2402"/>
    </row>
    <row s="1581" customFormat="1" customHeight="1" ht="11.25">
      <c r="D199" s="2398"/>
      <c r="E199" s="2018"/>
      <c r="F199" s="2018"/>
      <c r="G199" s="1968"/>
      <c r="H199" s="1597"/>
      <c r="I199" s="1598"/>
      <c r="J199" s="2401" t="s">
        <v>179</v>
      </c>
      <c r="K199" s="2401"/>
      <c r="L199" s="2401"/>
      <c r="M199" s="2401"/>
      <c r="N199" s="2401"/>
      <c r="O199" s="2401"/>
      <c r="P199" s="2401"/>
      <c r="Q199" s="2401"/>
      <c r="R199" s="2401"/>
      <c r="S199" s="2401"/>
      <c r="T199" s="2401"/>
      <c r="U199" s="2401"/>
      <c r="V199" s="2401"/>
      <c r="W199" s="2401"/>
      <c r="X199" s="2401"/>
      <c r="Y199" s="2401"/>
      <c r="Z199" s="2401"/>
      <c r="AA199" s="2401"/>
      <c r="AB199" s="2401"/>
      <c r="AC199" s="2401"/>
      <c r="AD199" s="2401"/>
      <c r="AE199" s="2401"/>
      <c r="AF199" s="2401"/>
      <c r="AG199" s="2401"/>
      <c r="AH199" s="2401"/>
      <c r="AI199" s="2402"/>
      <c r="BK199" s="0"/>
    </row>
    <row customHeight="1" ht="17.25">
      <c r="G200" s="1863"/>
      <c r="I200" s="1863"/>
      <c r="J200" s="1863"/>
      <c r="N200" s="0"/>
    </row>
    <row s="2437" customFormat="1" customHeight="1" ht="15">
      <c r="D201" s="2398"/>
      <c r="E201" s="2018"/>
      <c r="F201" s="2018"/>
      <c r="G201" s="2023"/>
      <c r="H201" s="1625"/>
      <c r="I201" s="2028"/>
      <c r="J201" s="1984"/>
      <c r="K201" s="1810"/>
      <c r="L201" s="1971"/>
      <c r="M201" s="1971"/>
      <c r="N201" s="1610"/>
      <c r="O201" s="1971"/>
      <c r="P201" s="1984"/>
      <c r="Q201" s="1814"/>
      <c r="R201" s="1971"/>
      <c r="S201" s="1971"/>
      <c r="T201" s="1881"/>
      <c r="U201" s="1971"/>
      <c r="V201" s="1984"/>
      <c r="W201" s="1613"/>
      <c r="X201" s="1971"/>
      <c r="Y201" s="1971"/>
      <c r="Z201" s="1610"/>
      <c r="AA201" s="1971"/>
      <c r="AB201" s="1984"/>
      <c r="AC201" s="1614"/>
      <c r="AD201" s="1971"/>
      <c r="AE201" s="1971"/>
      <c r="AF201" s="1808"/>
      <c r="AG201" s="1808"/>
      <c r="AH201" s="1615"/>
      <c r="AI201" s="1313"/>
    </row>
    <row s="2437" customFormat="1" customHeight="1" ht="15">
      <c r="D202" s="2398"/>
      <c r="E202" s="2018"/>
      <c r="F202" s="2018"/>
      <c r="G202" s="2023"/>
      <c r="H202" s="1626"/>
      <c r="I202" s="2029"/>
      <c r="J202" s="1985"/>
      <c r="K202" s="1635"/>
      <c r="L202" s="1972"/>
      <c r="M202" s="1972"/>
      <c r="N202" s="1616"/>
      <c r="O202" s="1972"/>
      <c r="P202" s="1985"/>
      <c r="Q202" s="1815"/>
      <c r="R202" s="1972"/>
      <c r="S202" s="1972"/>
      <c r="T202" s="1882"/>
      <c r="U202" s="1972"/>
      <c r="V202" s="1985"/>
      <c r="W202" s="1619"/>
      <c r="X202" s="1972"/>
      <c r="Y202" s="1972"/>
      <c r="Z202" s="1616"/>
      <c r="AA202" s="1972"/>
      <c r="AB202" s="1985"/>
      <c r="AC202" s="1620"/>
      <c r="AD202" s="1972"/>
      <c r="AE202" s="1972"/>
      <c r="AF202" s="1813"/>
      <c r="AG202" s="1813"/>
      <c r="AH202" s="2032"/>
      <c r="AI202" s="2033"/>
    </row>
    <row s="2437" customFormat="1" customHeight="1" ht="15">
      <c r="D203" s="2398"/>
      <c r="E203" s="2018"/>
      <c r="F203" s="2018"/>
      <c r="G203" s="2023"/>
      <c r="H203" s="1626"/>
      <c r="I203" s="2029"/>
      <c r="J203" s="1985"/>
      <c r="K203" s="1635"/>
      <c r="L203" s="1972"/>
      <c r="M203" s="1972"/>
      <c r="N203" s="1616"/>
      <c r="O203" s="1972"/>
      <c r="P203" s="1985"/>
      <c r="Q203" s="1815"/>
      <c r="R203" s="1972"/>
      <c r="S203" s="1972"/>
      <c r="T203" s="1882"/>
      <c r="U203" s="1972"/>
      <c r="V203" s="1985"/>
      <c r="W203" s="1619"/>
      <c r="X203" s="1972"/>
      <c r="Y203" s="1972"/>
      <c r="Z203" s="1811"/>
      <c r="AA203" s="1813"/>
      <c r="AB203" s="2032"/>
      <c r="AC203" s="2032"/>
      <c r="AD203" s="2032"/>
      <c r="AE203" s="2032"/>
      <c r="AF203" s="2032"/>
      <c r="AG203" s="2032"/>
      <c r="AH203" s="2032"/>
      <c r="AI203" s="2033"/>
    </row>
    <row s="2437" customFormat="1" customHeight="1" ht="15">
      <c r="D204" s="2398"/>
      <c r="E204" s="2018"/>
      <c r="F204" s="2018"/>
      <c r="G204" s="2023"/>
      <c r="H204" s="1626"/>
      <c r="I204" s="2029"/>
      <c r="J204" s="1985"/>
      <c r="K204" s="1635"/>
      <c r="L204" s="1972"/>
      <c r="M204" s="1972"/>
      <c r="N204" s="1616"/>
      <c r="O204" s="1972"/>
      <c r="P204" s="1985"/>
      <c r="Q204" s="1815"/>
      <c r="R204" s="1972"/>
      <c r="S204" s="1972"/>
      <c r="T204" s="1883"/>
      <c r="U204" s="1623"/>
      <c r="V204" s="2032"/>
      <c r="W204" s="2032"/>
      <c r="X204" s="2032"/>
      <c r="Y204" s="2032"/>
      <c r="Z204" s="2032"/>
      <c r="AA204" s="2032"/>
      <c r="AB204" s="2032"/>
      <c r="AC204" s="2032"/>
      <c r="AD204" s="2032"/>
      <c r="AE204" s="2032"/>
      <c r="AF204" s="2032"/>
      <c r="AG204" s="2032"/>
      <c r="AH204" s="2032"/>
      <c r="AI204" s="2033"/>
    </row>
    <row s="2437" customFormat="1" customHeight="1" ht="11.25">
      <c r="D205" s="2398"/>
      <c r="E205" s="2018"/>
      <c r="F205" s="2018"/>
      <c r="G205" s="2023"/>
      <c r="H205" s="1627"/>
      <c r="I205" s="2029"/>
      <c r="J205" s="1985"/>
      <c r="K205" s="1635"/>
      <c r="L205" s="1972"/>
      <c r="M205" s="1972"/>
      <c r="N205" s="1813"/>
      <c r="O205" s="1813"/>
      <c r="P205" s="2032"/>
      <c r="Q205" s="2032"/>
      <c r="R205" s="2032"/>
      <c r="S205" s="2032"/>
      <c r="T205" s="2032"/>
      <c r="U205" s="2032"/>
      <c r="V205" s="2032"/>
      <c r="W205" s="2032"/>
      <c r="X205" s="2032"/>
      <c r="Y205" s="2032"/>
      <c r="Z205" s="2032"/>
      <c r="AA205" s="2032"/>
      <c r="AB205" s="2032"/>
      <c r="AC205" s="2032"/>
      <c r="AD205" s="2032"/>
      <c r="AE205" s="2032"/>
      <c r="AF205" s="2032"/>
      <c r="AG205" s="2032"/>
      <c r="AH205" s="2032"/>
      <c r="AI205" s="2033"/>
    </row>
    <row s="1581" customFormat="1" customHeight="1" ht="11.25">
      <c r="D206" s="2398"/>
      <c r="E206" s="2018"/>
      <c r="F206" s="2018"/>
      <c r="G206" s="2034"/>
      <c r="H206" s="1624"/>
      <c r="I206" s="1628"/>
      <c r="J206" s="2030"/>
      <c r="K206" s="2030"/>
      <c r="L206" s="2030"/>
      <c r="M206" s="2030"/>
      <c r="N206" s="2030"/>
      <c r="O206" s="2030"/>
      <c r="P206" s="2030"/>
      <c r="Q206" s="2030"/>
      <c r="R206" s="2030"/>
      <c r="S206" s="2030"/>
      <c r="T206" s="2030"/>
      <c r="U206" s="2030"/>
      <c r="V206" s="2030"/>
      <c r="W206" s="2030"/>
      <c r="X206" s="2030"/>
      <c r="Y206" s="2030"/>
      <c r="Z206" s="2030"/>
      <c r="AA206" s="2030"/>
      <c r="AB206" s="2030"/>
      <c r="AC206" s="2030"/>
      <c r="AD206" s="2030"/>
      <c r="AE206" s="2030"/>
      <c r="AF206" s="2030"/>
      <c r="AG206" s="2030"/>
      <c r="AH206" s="2030"/>
      <c r="AI206" s="2031"/>
      <c r="BK206" s="0"/>
    </row>
    <row customHeight="1" ht="17.25">
      <c r="A207" s="0"/>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A88FECA-874D-D581-0FEC-9EE8233E3111}"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1199" width="32.57421875" customWidth="1"/>
    <col min="2" max="2" style="2437" width="11.00390625" customWidth="1"/>
    <col min="3" max="3" style="2437" width="9.140625"/>
    <col min="4" max="4" style="2437" width="26.57421875" customWidth="1"/>
    <col min="5" max="5" style="1848" width="27.7109375" customWidth="1"/>
    <col min="6" max="6" style="1848" width="23.57421875" customWidth="1"/>
    <col min="7" max="7" style="1848" width="31.421875" customWidth="1"/>
    <col min="8" max="8" style="1848" width="40.8515625" customWidth="1"/>
    <col min="9" max="9" style="1848" width="14.57421875" customWidth="1"/>
    <col min="10" max="10" style="1848" width="26.8515625" customWidth="1"/>
    <col min="11" max="11" style="1848" width="50.00390625" customWidth="1"/>
    <col min="12" max="12" style="1848" width="52.421875" customWidth="1"/>
    <col min="13" max="13" style="1848" width="10.7109375" customWidth="1"/>
    <col min="14" max="14" style="1848" width="55.140625" customWidth="1"/>
    <col min="15" max="15" style="1848" width="31.8515625" customWidth="1"/>
    <col min="16" max="16" style="1848" width="23.8515625" customWidth="1"/>
    <col min="17" max="17" style="1848" width="46.57421875" customWidth="1"/>
    <col min="18" max="18" style="1848" width="24.00390625" customWidth="1"/>
    <col min="19" max="19" style="1848" width="20.57421875" customWidth="1"/>
    <col min="20" max="20" style="1848" width="22.00390625" customWidth="1"/>
    <col min="21" max="22" style="1848" width="26.421875" customWidth="1"/>
    <col min="23" max="23" style="1848" width="8.28125" hidden="1" customWidth="1"/>
    <col min="24" max="24" style="1848" width="59.7109375" customWidth="1"/>
    <col min="25" max="25" style="1848" width="49.140625" customWidth="1"/>
    <col min="26" max="26" style="1848" width="11.140625" customWidth="1"/>
    <col min="27" max="30" style="1848" width="29.00390625" customWidth="1"/>
    <col min="31" max="31" style="1848" width="9.140625"/>
    <col min="32" max="32" style="1848" width="34.7109375" customWidth="1"/>
    <col min="33" max="33" style="1848" width="9.140625"/>
    <col min="34" max="35" style="1848" width="34.421875" customWidth="1"/>
    <col min="36" max="36" style="1848" width="9.140625"/>
    <col min="37" max="37" style="1848" width="24.57421875" customWidth="1"/>
    <col min="38" max="38" style="1848" width="9.140625"/>
    <col min="39" max="39" style="1848" width="26.140625" customWidth="1"/>
    <col min="40" max="40" style="1848" width="1.7109375" customWidth="1"/>
    <col min="41" max="41" style="1848" width="9.140625"/>
    <col min="42" max="43" style="1848" width="47.8515625" customWidth="1"/>
    <col min="44" max="44" style="1848" width="1.7109375" customWidth="1"/>
    <col min="45" max="45" style="1848" width="21.421875" customWidth="1"/>
    <col min="46" max="46" style="1848" width="1.7109375" customWidth="1"/>
    <col min="47" max="47" style="1848" width="31.28125" customWidth="1"/>
    <col min="48" max="48" style="1848" width="1.7109375" customWidth="1"/>
    <col min="49" max="50" style="1848" width="9.140625"/>
    <col min="51" max="51" style="1848" width="3.7109375" customWidth="1"/>
    <col min="52" max="52" style="1848" width="55.00390625" customWidth="1"/>
    <col min="53" max="53" style="1848" width="9.140625"/>
    <col min="54" max="54" style="1848" width="35.140625" customWidth="1"/>
    <col min="55" max="55" style="1848" width="9.140625"/>
    <col min="56" max="56" style="1848" width="1.7109375" customWidth="1"/>
    <col min="57" max="57" style="1266" width="12.57421875" customWidth="1"/>
    <col min="58" max="58" style="1266" width="14.28125" customWidth="1"/>
    <col min="59" max="59" style="1848" width="30.7109375" customWidth="1"/>
    <col min="60" max="60" style="1864" width="40.7109375" customWidth="1"/>
    <col min="61" max="61" style="1864" width="15.00390625" customWidth="1"/>
    <col min="62" max="62" style="1864" width="40.7109375" customWidth="1"/>
    <col min="63" max="63" style="1864" width="2.7109375" customWidth="1"/>
    <col min="64" max="64" style="1864" width="44.7109375" customWidth="1"/>
    <col min="65" max="65" style="1864" width="2.7109375" customWidth="1"/>
    <col min="66" max="66" style="1864" width="40.7109375" customWidth="1"/>
    <col min="67" max="68" style="1848" width="9.140625"/>
    <col min="69" max="69" style="1848" width="18.140625" customWidth="1"/>
    <col min="70" max="70" style="1848" width="57.8515625" customWidth="1"/>
    <col min="71" max="71" style="1848" width="1.7109375" customWidth="1"/>
    <col min="72" max="72" style="1848" width="22.57421875" customWidth="1"/>
    <col min="73" max="73" style="1848" width="57.8515625" customWidth="1"/>
    <col min="74" max="74" style="1848" width="1.7109375" customWidth="1"/>
    <col min="75" max="75" style="1848" width="22.57421875" customWidth="1"/>
    <col min="76" max="76" style="1848" width="57.8515625" customWidth="1"/>
    <col min="77" max="77" style="1848" width="1.7109375" customWidth="1"/>
    <col min="78" max="78" style="1848" width="22.57421875" customWidth="1"/>
    <col min="79" max="79" style="1848" width="57.8515625" customWidth="1"/>
    <col min="80" max="81" style="1848" width="9.140625"/>
    <col min="82" max="82" style="1848" width="49.57421875" customWidth="1"/>
  </cols>
  <sheetData>
    <row s="1444" customFormat="1" customHeight="1" ht="11.25">
      <c r="A1" s="1062" t="s">
        <v>1193</v>
      </c>
      <c r="B1" s="1062" t="s">
        <v>1194</v>
      </c>
      <c r="C1" s="1062" t="s">
        <v>1195</v>
      </c>
      <c r="D1" s="1062" t="s">
        <v>1196</v>
      </c>
      <c r="E1" s="1062" t="s">
        <v>1197</v>
      </c>
      <c r="F1" s="1062" t="s">
        <v>1198</v>
      </c>
      <c r="G1" s="1062" t="s">
        <v>1199</v>
      </c>
      <c r="H1" s="1062" t="s">
        <v>1200</v>
      </c>
      <c r="I1" s="1062" t="s">
        <v>1201</v>
      </c>
      <c r="J1" s="1062" t="s">
        <v>1202</v>
      </c>
      <c r="K1" s="1062" t="s">
        <v>1203</v>
      </c>
      <c r="L1" s="1062" t="s">
        <v>1204</v>
      </c>
      <c r="M1" s="1062"/>
      <c r="N1" s="1062" t="s">
        <v>1205</v>
      </c>
      <c r="O1" s="1062" t="s">
        <v>1206</v>
      </c>
      <c r="P1" s="1062" t="s">
        <v>1207</v>
      </c>
      <c r="Q1" s="1062" t="s">
        <v>1208</v>
      </c>
      <c r="R1" s="1062" t="s">
        <v>1209</v>
      </c>
      <c r="S1" s="1062" t="s">
        <v>1210</v>
      </c>
      <c r="T1" s="1062" t="s">
        <v>1211</v>
      </c>
      <c r="U1" s="1062" t="s">
        <v>1212</v>
      </c>
      <c r="V1" s="1062"/>
      <c r="W1" s="791" t="s">
        <v>1213</v>
      </c>
      <c r="X1" s="1062" t="s">
        <v>1214</v>
      </c>
      <c r="Y1" s="1062" t="s">
        <v>1215</v>
      </c>
      <c r="Z1" s="1062"/>
      <c r="AA1" s="1062" t="s">
        <v>1216</v>
      </c>
      <c r="AB1" s="1062"/>
      <c r="AC1" s="1062" t="s">
        <v>1217</v>
      </c>
      <c r="AD1" s="1062"/>
      <c r="AF1" s="1062" t="s">
        <v>1218</v>
      </c>
      <c r="AH1" s="1062" t="s">
        <v>1219</v>
      </c>
      <c r="AI1" s="1062" t="s">
        <v>1220</v>
      </c>
      <c r="AK1" s="1062" t="s">
        <v>1221</v>
      </c>
      <c r="AM1" s="1062" t="s">
        <v>1222</v>
      </c>
      <c r="AP1" s="1062" t="s">
        <v>1223</v>
      </c>
      <c r="AQ1" s="1062" t="s">
        <v>1224</v>
      </c>
      <c r="AS1" s="1062" t="s">
        <v>1225</v>
      </c>
      <c r="AU1" s="1062" t="s">
        <v>1226</v>
      </c>
      <c r="AW1" s="1062" t="s">
        <v>1227</v>
      </c>
      <c r="AX1" s="1062" t="s">
        <v>1228</v>
      </c>
      <c r="AZ1" s="1147" t="s">
        <v>1229</v>
      </c>
      <c r="BB1" s="1062" t="s">
        <v>1230</v>
      </c>
      <c r="BC1" s="1062"/>
      <c r="BE1" s="1062" t="s">
        <v>1231</v>
      </c>
      <c r="BF1" s="1062" t="s">
        <v>1232</v>
      </c>
      <c r="BH1" s="1064" t="s">
        <v>733</v>
      </c>
      <c r="BI1" s="1065"/>
      <c r="BJ1" s="1066" t="s">
        <v>1233</v>
      </c>
      <c r="BK1" s="1065"/>
      <c r="BL1" s="1067" t="s">
        <v>831</v>
      </c>
      <c r="BM1" s="1065"/>
      <c r="BN1" s="1068" t="s">
        <v>1234</v>
      </c>
      <c r="BS1" s="1444"/>
    </row>
    <row customHeight="1" ht="11.25">
      <c r="A2" s="1069" t="s">
        <v>1235</v>
      </c>
      <c r="B2" s="1070">
        <v>2000</v>
      </c>
      <c r="C2" s="1070">
        <v>2022</v>
      </c>
      <c r="D2" s="1070" t="s">
        <v>61</v>
      </c>
      <c r="E2" s="1071" t="s">
        <v>1236</v>
      </c>
      <c r="F2" s="1071" t="s">
        <v>1237</v>
      </c>
      <c r="G2" s="1071" t="s">
        <v>1238</v>
      </c>
      <c r="H2" s="1072" t="s">
        <v>54</v>
      </c>
      <c r="I2" s="1071" t="s">
        <v>108</v>
      </c>
      <c r="J2" s="1071" t="s">
        <v>1239</v>
      </c>
      <c r="K2" s="1073" t="s">
        <v>1240</v>
      </c>
      <c r="L2" s="1074"/>
      <c r="M2" s="1073">
        <v>1</v>
      </c>
      <c r="N2" s="1157" t="s">
        <v>1241</v>
      </c>
      <c r="O2" s="1072" t="s">
        <v>460</v>
      </c>
      <c r="P2" s="1075" t="s">
        <v>33</v>
      </c>
      <c r="Q2" s="1076" t="s">
        <v>459</v>
      </c>
      <c r="R2" s="123" t="s">
        <v>461</v>
      </c>
      <c r="S2" s="123" t="s">
        <v>1242</v>
      </c>
      <c r="T2" s="1077" t="s">
        <v>1243</v>
      </c>
      <c r="U2" s="1074" t="s">
        <v>1244</v>
      </c>
      <c r="V2" s="1078">
        <v>1</v>
      </c>
      <c r="W2" s="1079"/>
      <c r="X2" s="1079" t="s">
        <v>1245</v>
      </c>
      <c r="Y2" s="1070" t="s">
        <v>1246</v>
      </c>
      <c r="Z2" s="1080"/>
      <c r="AA2" s="1070" t="s">
        <v>1247</v>
      </c>
      <c r="AB2" s="1081" t="s">
        <v>1247</v>
      </c>
      <c r="AC2" s="1070" t="s">
        <v>215</v>
      </c>
      <c r="AD2" s="1081" t="s">
        <v>215</v>
      </c>
      <c r="AF2" s="1072" t="s">
        <v>1244</v>
      </c>
      <c r="AH2" s="1071" t="s">
        <v>1248</v>
      </c>
      <c r="AI2" s="1071" t="s">
        <v>1248</v>
      </c>
      <c r="AK2" s="1071" t="s">
        <v>1249</v>
      </c>
      <c r="AM2" s="1071" t="s">
        <v>1250</v>
      </c>
      <c r="AP2" s="1082" t="s">
        <v>1245</v>
      </c>
      <c r="AQ2" s="1083" t="s">
        <v>1245</v>
      </c>
      <c r="AS2" s="1070" t="s">
        <v>1251</v>
      </c>
      <c r="AU2" s="1115" t="s">
        <v>1252</v>
      </c>
      <c r="AW2" s="1115" t="s">
        <v>1253</v>
      </c>
      <c r="AX2" s="1115" t="s">
        <v>1253</v>
      </c>
      <c r="AZ2" s="1115" t="s">
        <v>1254</v>
      </c>
      <c r="BB2" s="1115" t="s">
        <v>1255</v>
      </c>
      <c r="BC2" s="1115" t="s">
        <v>1256</v>
      </c>
      <c r="BE2" s="1115">
        <v>2000</v>
      </c>
      <c r="BF2" s="1115" t="s">
        <v>1257</v>
      </c>
    </row>
    <row customHeight="1" ht="11.25">
      <c r="A3" s="1069" t="s">
        <v>1258</v>
      </c>
      <c r="B3" s="1070">
        <v>2001</v>
      </c>
      <c r="C3" s="1070">
        <v>2023</v>
      </c>
      <c r="D3" s="1070" t="s">
        <v>56</v>
      </c>
      <c r="E3" s="1071" t="s">
        <v>1259</v>
      </c>
      <c r="F3" s="1071" t="s">
        <v>1260</v>
      </c>
      <c r="G3" s="1071" t="s">
        <v>1261</v>
      </c>
      <c r="H3" s="1072" t="s">
        <v>1262</v>
      </c>
      <c r="I3" s="1071" t="s">
        <v>109</v>
      </c>
      <c r="J3" s="1071" t="s">
        <v>567</v>
      </c>
      <c r="K3" s="1073" t="s">
        <v>1263</v>
      </c>
      <c r="L3" s="1074">
        <f>_xlfn.IFERROR(MATCH(K3,OFFER_METHOD,0),0)</f>
        <v>0</v>
      </c>
      <c r="M3" s="1073">
        <v>2</v>
      </c>
      <c r="N3" s="1157" t="s">
        <v>1264</v>
      </c>
      <c r="O3" s="1072" t="s">
        <v>1265</v>
      </c>
      <c r="P3" s="1075" t="s">
        <v>1266</v>
      </c>
      <c r="Q3" s="1076" t="s">
        <v>463</v>
      </c>
      <c r="R3" s="123" t="s">
        <v>1267</v>
      </c>
      <c r="S3" s="123" t="s">
        <v>1268</v>
      </c>
      <c r="T3" s="1077" t="s">
        <v>1269</v>
      </c>
      <c r="U3" s="1074" t="s">
        <v>1270</v>
      </c>
      <c r="V3" s="1078">
        <v>2</v>
      </c>
      <c r="W3" s="1079"/>
      <c r="X3" s="1079" t="s">
        <v>1271</v>
      </c>
      <c r="Y3" s="1070" t="s">
        <v>1246</v>
      </c>
      <c r="Z3" s="1080"/>
      <c r="AA3" s="1070" t="s">
        <v>1272</v>
      </c>
      <c r="AB3" s="1081" t="s">
        <v>1272</v>
      </c>
      <c r="AC3" s="1070" t="s">
        <v>1273</v>
      </c>
      <c r="AD3" s="1081" t="s">
        <v>1273</v>
      </c>
      <c r="AF3" s="1072" t="s">
        <v>1270</v>
      </c>
      <c r="AH3" s="1071" t="s">
        <v>1274</v>
      </c>
      <c r="AI3" s="1071" t="s">
        <v>1275</v>
      </c>
      <c r="AK3" s="1071" t="s">
        <v>1276</v>
      </c>
      <c r="AM3" s="1071" t="s">
        <v>1277</v>
      </c>
      <c r="AP3" s="1082" t="s">
        <v>1278</v>
      </c>
      <c r="AQ3" s="1083" t="s">
        <v>1278</v>
      </c>
      <c r="AS3" s="1070" t="s">
        <v>1279</v>
      </c>
      <c r="AU3" s="1115" t="s">
        <v>1280</v>
      </c>
      <c r="AW3" s="1115" t="s">
        <v>1281</v>
      </c>
      <c r="AX3" s="1115" t="s">
        <v>1281</v>
      </c>
      <c r="AZ3" s="1115" t="s">
        <v>52</v>
      </c>
      <c r="BB3" s="1115" t="s">
        <v>1282</v>
      </c>
      <c r="BC3" s="1115" t="s">
        <v>1256</v>
      </c>
      <c r="BE3" s="1115">
        <v>2001</v>
      </c>
      <c r="BF3" s="1115" t="s">
        <v>1283</v>
      </c>
      <c r="BH3" s="1062" t="s">
        <v>1284</v>
      </c>
      <c r="BJ3" s="1062" t="s">
        <v>1285</v>
      </c>
      <c r="BL3" s="1062" t="s">
        <v>1286</v>
      </c>
      <c r="BN3" s="1062" t="s">
        <v>1287</v>
      </c>
      <c r="BR3" s="1062" t="s">
        <v>1288</v>
      </c>
      <c r="BS3" s="1445"/>
      <c r="BT3" s="1065"/>
      <c r="BU3" s="1062" t="s">
        <v>1289</v>
      </c>
      <c r="BV3" s="1065"/>
      <c r="BW3" s="0"/>
      <c r="BX3" s="1716" t="s">
        <v>1290</v>
      </c>
      <c r="CA3" s="1062" t="s">
        <v>1291</v>
      </c>
    </row>
    <row customHeight="1" ht="11.25">
      <c r="A4" s="1069" t="s">
        <v>1292</v>
      </c>
      <c r="B4" s="1070">
        <v>2002</v>
      </c>
      <c r="C4" s="1070">
        <v>2024</v>
      </c>
      <c r="E4" s="1071" t="s">
        <v>1293</v>
      </c>
      <c r="F4" s="1071" t="s">
        <v>1294</v>
      </c>
      <c r="H4" s="1072" t="s">
        <v>1295</v>
      </c>
      <c r="I4" s="1071" t="s">
        <v>89</v>
      </c>
      <c r="J4" s="1071" t="s">
        <v>1296</v>
      </c>
      <c r="K4" s="1073" t="s">
        <v>1297</v>
      </c>
      <c r="L4" s="1074">
        <f>_xlfn.IFERROR(MATCH(K4,OFFER_METHOD,0),0)</f>
        <v>0</v>
      </c>
      <c r="M4" s="1073">
        <v>3</v>
      </c>
      <c r="N4" s="1157" t="s">
        <v>1298</v>
      </c>
      <c r="O4" s="1071" t="s">
        <v>1299</v>
      </c>
      <c r="Q4" s="1076" t="s">
        <v>1300</v>
      </c>
      <c r="R4" s="123" t="s">
        <v>1301</v>
      </c>
      <c r="S4" s="123" t="s">
        <v>1302</v>
      </c>
      <c r="T4" s="1077" t="s">
        <v>1303</v>
      </c>
      <c r="U4" s="1074" t="s">
        <v>1304</v>
      </c>
      <c r="V4" s="1078">
        <v>3</v>
      </c>
      <c r="W4" s="1079"/>
      <c r="X4" s="1079" t="s">
        <v>1305</v>
      </c>
      <c r="Y4" s="1070" t="s">
        <v>1246</v>
      </c>
      <c r="Z4" s="1085"/>
      <c r="AC4" s="1070" t="s">
        <v>1306</v>
      </c>
      <c r="AD4" s="1081" t="s">
        <v>1306</v>
      </c>
      <c r="AF4" s="1072" t="s">
        <v>1304</v>
      </c>
      <c r="AH4" s="1072" t="s">
        <v>1307</v>
      </c>
      <c r="AK4" s="1071" t="s">
        <v>1308</v>
      </c>
      <c r="AM4" s="1071" t="s">
        <v>1309</v>
      </c>
      <c r="AP4" s="1082" t="s">
        <v>1271</v>
      </c>
      <c r="AQ4" s="1083" t="s">
        <v>1271</v>
      </c>
      <c r="AS4" s="1070" t="s">
        <v>1310</v>
      </c>
      <c r="AU4" s="1115" t="s">
        <v>1311</v>
      </c>
      <c r="AW4" s="1115" t="s">
        <v>1312</v>
      </c>
      <c r="AX4" s="1115" t="s">
        <v>1312</v>
      </c>
      <c r="AZ4" s="1115" t="s">
        <v>1313</v>
      </c>
      <c r="BB4" s="1115" t="s">
        <v>1314</v>
      </c>
      <c r="BC4" s="1115" t="s">
        <v>1315</v>
      </c>
      <c r="BE4" s="1115">
        <v>2002</v>
      </c>
      <c r="BF4" s="1115" t="s">
        <v>1316</v>
      </c>
      <c r="BH4" s="1063" t="s">
        <v>1317</v>
      </c>
      <c r="BJ4" s="1063" t="s">
        <v>1317</v>
      </c>
      <c r="BL4" s="1063" t="s">
        <v>1317</v>
      </c>
      <c r="BN4" s="1063" t="s">
        <v>1317</v>
      </c>
      <c r="BQ4" s="1449" t="s">
        <v>1318</v>
      </c>
      <c r="BR4" s="1154" t="s">
        <v>1319</v>
      </c>
      <c r="BS4" s="253"/>
      <c r="BT4" s="1449" t="s">
        <v>1320</v>
      </c>
      <c r="BU4" s="1154" t="s">
        <v>1321</v>
      </c>
      <c r="BV4" s="1065"/>
      <c r="BW4" s="1721" t="s">
        <v>1322</v>
      </c>
      <c r="BX4" s="1715" t="s">
        <v>1323</v>
      </c>
      <c r="BZ4" s="1449" t="s">
        <v>1324</v>
      </c>
      <c r="CA4" s="1154" t="s">
        <v>1325</v>
      </c>
    </row>
    <row customHeight="1" ht="11.25">
      <c r="A5" s="1069" t="s">
        <v>1326</v>
      </c>
      <c r="B5" s="1070">
        <v>2003</v>
      </c>
      <c r="C5" s="1070">
        <v>2025</v>
      </c>
      <c r="E5" s="1071" t="s">
        <v>1327</v>
      </c>
      <c r="F5" s="1071" t="s">
        <v>1328</v>
      </c>
      <c r="H5" s="1072" t="s">
        <v>1329</v>
      </c>
      <c r="I5" s="1071" t="s">
        <v>90</v>
      </c>
      <c r="K5" s="1073" t="s">
        <v>1330</v>
      </c>
      <c r="L5" s="1074">
        <f>_xlfn.IFERROR(MATCH(K5,OFFER_METHOD,0),0)</f>
        <v>0</v>
      </c>
      <c r="M5" s="1073">
        <v>4</v>
      </c>
      <c r="N5" s="1086" t="s">
        <v>1331</v>
      </c>
      <c r="O5" s="1071" t="s">
        <v>1332</v>
      </c>
      <c r="Q5" s="1076" t="s">
        <v>1333</v>
      </c>
      <c r="R5" s="123" t="s">
        <v>465</v>
      </c>
      <c r="T5" s="1072" t="s">
        <v>1334</v>
      </c>
      <c r="U5" s="1074" t="s">
        <v>1335</v>
      </c>
      <c r="V5" s="1078">
        <v>4</v>
      </c>
      <c r="W5" s="1079"/>
      <c r="X5" s="1079" t="s">
        <v>186</v>
      </c>
      <c r="Y5" s="1070" t="s">
        <v>1336</v>
      </c>
      <c r="Z5" s="1085">
        <v>1</v>
      </c>
      <c r="AF5" s="1072" t="s">
        <v>1337</v>
      </c>
      <c r="AH5" s="1071" t="s">
        <v>1338</v>
      </c>
      <c r="AK5" s="1071" t="s">
        <v>1339</v>
      </c>
      <c r="AM5" s="1071" t="s">
        <v>1340</v>
      </c>
      <c r="AP5" s="1082" t="s">
        <v>186</v>
      </c>
      <c r="AQ5" s="1083" t="s">
        <v>186</v>
      </c>
      <c r="AU5" s="1115" t="s">
        <v>1341</v>
      </c>
      <c r="AW5" s="1115" t="s">
        <v>1342</v>
      </c>
      <c r="AX5" s="1115" t="s">
        <v>1342</v>
      </c>
      <c r="AZ5" s="1115" t="s">
        <v>1343</v>
      </c>
      <c r="BB5" s="1115" t="s">
        <v>1344</v>
      </c>
      <c r="BC5" s="1115" t="s">
        <v>1345</v>
      </c>
      <c r="BE5" s="1115">
        <v>2003</v>
      </c>
      <c r="BF5" s="1115" t="s">
        <v>1346</v>
      </c>
      <c r="BH5" s="1063" t="s">
        <v>1347</v>
      </c>
      <c r="BJ5" s="1063" t="s">
        <v>1347</v>
      </c>
      <c r="BL5" s="1063" t="s">
        <v>1347</v>
      </c>
      <c r="BN5" s="1063" t="s">
        <v>1348</v>
      </c>
      <c r="BQ5" s="1298">
        <v>4213775</v>
      </c>
      <c r="BR5" s="1063" t="s">
        <v>1245</v>
      </c>
      <c r="BS5" s="1446"/>
      <c r="BT5" s="1298">
        <v>64236871</v>
      </c>
      <c r="BU5" s="1063" t="s">
        <v>241</v>
      </c>
      <c r="BV5" s="1065"/>
      <c r="BW5" s="1719">
        <v>4213767</v>
      </c>
      <c r="BX5" s="1717" t="s">
        <v>1349</v>
      </c>
      <c r="BZ5" s="1298">
        <v>64237509</v>
      </c>
      <c r="CA5" s="1312" t="s">
        <v>1350</v>
      </c>
    </row>
    <row customHeight="1" ht="11.25">
      <c r="A6" s="1069" t="s">
        <v>1351</v>
      </c>
      <c r="B6" s="1070">
        <v>2004</v>
      </c>
      <c r="C6" s="1070">
        <v>2026</v>
      </c>
      <c r="E6" s="1071" t="s">
        <v>1352</v>
      </c>
      <c r="F6" s="1087"/>
      <c r="H6" s="1072" t="s">
        <v>1353</v>
      </c>
      <c r="I6" s="1071" t="s">
        <v>110</v>
      </c>
      <c r="J6" s="1062" t="s">
        <v>1354</v>
      </c>
      <c r="L6" s="1074">
        <f>SUM(kind_of_control_method_filter)</f>
        <v>0</v>
      </c>
      <c r="N6" s="1086" t="s">
        <v>1355</v>
      </c>
      <c r="O6" s="1071" t="s">
        <v>1356</v>
      </c>
      <c r="R6" s="123" t="s">
        <v>459</v>
      </c>
      <c r="T6" s="1072" t="s">
        <v>1357</v>
      </c>
      <c r="U6" s="1074" t="s">
        <v>1337</v>
      </c>
      <c r="V6" s="1078">
        <v>5</v>
      </c>
      <c r="W6" s="1079"/>
      <c r="X6" s="1070" t="s">
        <v>194</v>
      </c>
      <c r="Y6" s="1070" t="s">
        <v>1358</v>
      </c>
      <c r="Z6" s="1085"/>
      <c r="AA6" s="1088"/>
      <c r="AH6" s="1071" t="s">
        <v>1359</v>
      </c>
      <c r="AK6" s="1071" t="s">
        <v>1360</v>
      </c>
      <c r="AM6" s="1071" t="s">
        <v>1361</v>
      </c>
      <c r="AP6" s="1082" t="s">
        <v>194</v>
      </c>
      <c r="AQ6" s="1083" t="s">
        <v>194</v>
      </c>
      <c r="AU6" s="1115" t="s">
        <v>1362</v>
      </c>
      <c r="AW6" s="1115" t="s">
        <v>1363</v>
      </c>
      <c r="AX6" s="1115" t="s">
        <v>1363</v>
      </c>
      <c r="BB6" s="1115" t="s">
        <v>1364</v>
      </c>
      <c r="BC6" s="1115" t="s">
        <v>1345</v>
      </c>
      <c r="BE6" s="1115">
        <v>2004</v>
      </c>
      <c r="BF6" s="1115" t="s">
        <v>1365</v>
      </c>
      <c r="BH6" s="1063" t="s">
        <v>1366</v>
      </c>
      <c r="BJ6" s="1063" t="s">
        <v>1367</v>
      </c>
      <c r="BL6" s="1063" t="s">
        <v>1367</v>
      </c>
      <c r="BN6" s="1063" t="s">
        <v>1368</v>
      </c>
      <c r="BQ6" s="1298">
        <v>4213784</v>
      </c>
      <c r="BR6" s="1312" t="s">
        <v>1278</v>
      </c>
      <c r="BS6" s="1447"/>
      <c r="BT6" s="1298">
        <v>64236872</v>
      </c>
      <c r="BU6" s="1063" t="s">
        <v>246</v>
      </c>
      <c r="BV6" s="1065"/>
      <c r="BW6" s="1719">
        <v>4213768</v>
      </c>
      <c r="BX6" s="1717" t="s">
        <v>266</v>
      </c>
      <c r="BZ6" s="1298">
        <v>64237510</v>
      </c>
      <c r="CA6" s="1063" t="s">
        <v>1369</v>
      </c>
    </row>
    <row customHeight="1" ht="11.25">
      <c r="A7" s="1069" t="s">
        <v>1370</v>
      </c>
      <c r="B7" s="1070">
        <v>2005</v>
      </c>
      <c r="E7" s="1071" t="s">
        <v>1371</v>
      </c>
      <c r="F7" s="1087"/>
      <c r="H7" s="1072" t="s">
        <v>1372</v>
      </c>
      <c r="I7" s="1071" t="s">
        <v>91</v>
      </c>
      <c r="J7" s="1071" t="s">
        <v>1373</v>
      </c>
      <c r="N7" s="1090" t="s">
        <v>1374</v>
      </c>
      <c r="O7" s="1071" t="s">
        <v>1375</v>
      </c>
      <c r="U7" s="1074" t="s">
        <v>56</v>
      </c>
      <c r="V7" s="362" t="s">
        <v>91</v>
      </c>
      <c r="W7" s="1079"/>
      <c r="X7" s="1070" t="s">
        <v>202</v>
      </c>
      <c r="Y7" s="1070" t="s">
        <v>1336</v>
      </c>
      <c r="Z7" s="1085"/>
      <c r="AA7" s="1088"/>
      <c r="AH7" s="1071" t="s">
        <v>1376</v>
      </c>
      <c r="AK7" s="1071" t="s">
        <v>1377</v>
      </c>
      <c r="AM7" s="1071" t="s">
        <v>1378</v>
      </c>
      <c r="AP7" s="1082" t="s">
        <v>202</v>
      </c>
      <c r="AQ7" s="1083" t="s">
        <v>202</v>
      </c>
      <c r="AU7" s="1115" t="s">
        <v>1379</v>
      </c>
      <c r="AW7" s="1115" t="s">
        <v>1380</v>
      </c>
      <c r="AX7" s="1115" t="s">
        <v>1380</v>
      </c>
      <c r="AZ7" s="1062" t="s">
        <v>1381</v>
      </c>
      <c r="BB7" s="1115" t="s">
        <v>1382</v>
      </c>
      <c r="BC7" s="1115" t="s">
        <v>1345</v>
      </c>
      <c r="BE7" s="1115">
        <v>2005</v>
      </c>
      <c r="BF7" s="1115" t="s">
        <v>1383</v>
      </c>
      <c r="BH7" s="1063" t="s">
        <v>1384</v>
      </c>
      <c r="BJ7" s="1063" t="s">
        <v>1366</v>
      </c>
      <c r="BL7" s="1063" t="s">
        <v>1366</v>
      </c>
      <c r="BN7" s="1063" t="s">
        <v>1385</v>
      </c>
      <c r="BQ7" s="1298">
        <v>4213781</v>
      </c>
      <c r="BR7" s="1063" t="s">
        <v>1271</v>
      </c>
      <c r="BS7" s="1446"/>
      <c r="BT7" s="1298">
        <v>64236873</v>
      </c>
      <c r="BU7" s="1063" t="s">
        <v>251</v>
      </c>
      <c r="BV7" s="1065"/>
      <c r="BW7" s="1719">
        <v>4213769</v>
      </c>
      <c r="BX7" s="1717" t="s">
        <v>1386</v>
      </c>
      <c r="BZ7" s="1298">
        <v>64237511</v>
      </c>
      <c r="CA7" s="1063" t="s">
        <v>281</v>
      </c>
    </row>
    <row customHeight="1" ht="11.25">
      <c r="A8" s="1069" t="s">
        <v>1387</v>
      </c>
      <c r="B8" s="1070">
        <v>2006</v>
      </c>
      <c r="E8" s="1071" t="s">
        <v>1388</v>
      </c>
      <c r="F8" s="1087"/>
      <c r="I8" s="1071" t="s">
        <v>92</v>
      </c>
      <c r="J8" s="1071" t="s">
        <v>1389</v>
      </c>
      <c r="N8" s="1158" t="s">
        <v>1390</v>
      </c>
      <c r="O8" s="1071" t="s">
        <v>1391</v>
      </c>
      <c r="V8" s="362" t="s">
        <v>92</v>
      </c>
      <c r="W8" s="1079"/>
      <c r="X8" s="1070" t="s">
        <v>208</v>
      </c>
      <c r="Y8" s="1070" t="s">
        <v>1336</v>
      </c>
      <c r="Z8" s="1085"/>
      <c r="AA8" s="1088"/>
      <c r="AK8" s="1071" t="s">
        <v>1392</v>
      </c>
      <c r="AP8" s="1082" t="s">
        <v>208</v>
      </c>
      <c r="AQ8" s="1083" t="s">
        <v>208</v>
      </c>
      <c r="AU8" s="1115" t="s">
        <v>1393</v>
      </c>
      <c r="AW8" s="1115" t="s">
        <v>1394</v>
      </c>
      <c r="AX8" s="1115" t="s">
        <v>1394</v>
      </c>
      <c r="AZ8" s="1115" t="s">
        <v>1395</v>
      </c>
      <c r="BB8" s="1115" t="s">
        <v>1396</v>
      </c>
      <c r="BC8" s="1115" t="s">
        <v>1345</v>
      </c>
      <c r="BE8" s="1115">
        <v>2006</v>
      </c>
      <c r="BF8" s="1115" t="s">
        <v>1397</v>
      </c>
      <c r="BH8" s="1063" t="s">
        <v>1398</v>
      </c>
      <c r="BJ8" s="1063" t="s">
        <v>1399</v>
      </c>
      <c r="BL8" s="1063" t="s">
        <v>1399</v>
      </c>
      <c r="BN8" s="1063" t="s">
        <v>1400</v>
      </c>
      <c r="BQ8" s="1298">
        <v>4213776</v>
      </c>
      <c r="BR8" s="1063" t="s">
        <v>186</v>
      </c>
      <c r="BS8" s="1446"/>
      <c r="BT8" s="1298">
        <v>64236874</v>
      </c>
      <c r="BU8" s="1312" t="s">
        <v>1401</v>
      </c>
      <c r="BV8" s="1065"/>
      <c r="BW8" s="1719">
        <v>4213770</v>
      </c>
      <c r="BX8" s="1720" t="s">
        <v>1402</v>
      </c>
      <c r="BZ8" s="1298">
        <v>64237512</v>
      </c>
      <c r="CA8" s="1063" t="s">
        <v>276</v>
      </c>
    </row>
    <row customHeight="1" ht="11.25">
      <c r="A9" s="1069" t="s">
        <v>1403</v>
      </c>
      <c r="B9" s="1070">
        <v>2007</v>
      </c>
      <c r="E9" s="1071" t="s">
        <v>1404</v>
      </c>
      <c r="F9" s="1087"/>
      <c r="G9" s="1062" t="s">
        <v>1405</v>
      </c>
      <c r="H9" s="1062" t="s">
        <v>1406</v>
      </c>
      <c r="I9" s="1071" t="s">
        <v>111</v>
      </c>
      <c r="O9" s="1071" t="s">
        <v>1407</v>
      </c>
      <c r="V9" s="362" t="s">
        <v>111</v>
      </c>
      <c r="W9" s="1079"/>
      <c r="X9" s="1070" t="s">
        <v>214</v>
      </c>
      <c r="Y9" s="1070" t="s">
        <v>1246</v>
      </c>
      <c r="Z9" s="1085">
        <v>1</v>
      </c>
      <c r="AA9" s="1088"/>
      <c r="AK9" s="1071" t="s">
        <v>1408</v>
      </c>
      <c r="AP9" s="1082" t="s">
        <v>1409</v>
      </c>
      <c r="AQ9" s="1083" t="s">
        <v>1409</v>
      </c>
      <c r="AW9" s="1115" t="s">
        <v>1410</v>
      </c>
      <c r="AX9" s="1115" t="s">
        <v>1410</v>
      </c>
      <c r="AZ9" s="1115" t="s">
        <v>1411</v>
      </c>
      <c r="BB9" s="1115" t="s">
        <v>1412</v>
      </c>
      <c r="BC9" s="1115" t="s">
        <v>1345</v>
      </c>
      <c r="BE9" s="1115">
        <v>2007</v>
      </c>
      <c r="BF9" s="1115" t="s">
        <v>1413</v>
      </c>
      <c r="BH9" s="1063" t="s">
        <v>1414</v>
      </c>
      <c r="BJ9" s="1063" t="s">
        <v>1415</v>
      </c>
      <c r="BL9" s="1063" t="s">
        <v>1415</v>
      </c>
      <c r="BN9" s="1063" t="s">
        <v>1416</v>
      </c>
      <c r="BQ9" s="1298">
        <v>4213777</v>
      </c>
      <c r="BR9" s="1063" t="s">
        <v>194</v>
      </c>
      <c r="BS9" s="1446"/>
      <c r="BT9" s="1298">
        <v>64236875</v>
      </c>
      <c r="BU9" s="1063" t="s">
        <v>256</v>
      </c>
      <c r="BV9" s="1065"/>
      <c r="BW9" s="0"/>
      <c r="BX9" s="0"/>
    </row>
    <row customHeight="1" ht="11.25">
      <c r="A10" s="1069" t="s">
        <v>1417</v>
      </c>
      <c r="B10" s="1070">
        <v>2008</v>
      </c>
      <c r="E10" s="1071" t="s">
        <v>1418</v>
      </c>
      <c r="F10" s="1087"/>
      <c r="G10" s="1071" t="s">
        <v>1419</v>
      </c>
      <c r="H10" s="1071" t="s">
        <v>1420</v>
      </c>
      <c r="I10" s="1071" t="s">
        <v>98</v>
      </c>
      <c r="J10" s="1062" t="s">
        <v>1421</v>
      </c>
      <c r="K10" s="1062" t="s">
        <v>1422</v>
      </c>
      <c r="O10" s="1071" t="s">
        <v>479</v>
      </c>
      <c r="V10" s="363" t="s">
        <v>98</v>
      </c>
      <c r="W10" s="1091"/>
      <c r="X10" s="1091" t="s">
        <v>1423</v>
      </c>
      <c r="Y10" s="1092" t="s">
        <v>1424</v>
      </c>
      <c r="Z10" s="1085"/>
      <c r="AP10" s="1082" t="s">
        <v>1423</v>
      </c>
      <c r="AQ10" s="1083" t="s">
        <v>1423</v>
      </c>
      <c r="AW10" s="1115" t="s">
        <v>1425</v>
      </c>
      <c r="AX10" s="1115" t="s">
        <v>1425</v>
      </c>
      <c r="AZ10" s="1115" t="s">
        <v>1426</v>
      </c>
      <c r="BB10" s="1115" t="s">
        <v>1427</v>
      </c>
      <c r="BC10" s="1115" t="s">
        <v>1345</v>
      </c>
      <c r="BE10" s="1115">
        <v>2008</v>
      </c>
      <c r="BF10" s="1115" t="s">
        <v>1428</v>
      </c>
      <c r="BH10" s="1063" t="s">
        <v>1429</v>
      </c>
      <c r="BJ10" s="1063" t="s">
        <v>1430</v>
      </c>
      <c r="BL10" s="1063" t="s">
        <v>1430</v>
      </c>
      <c r="BN10" s="1063" t="s">
        <v>1431</v>
      </c>
      <c r="BQ10" s="1298">
        <v>4213778</v>
      </c>
      <c r="BR10" s="1063" t="s">
        <v>202</v>
      </c>
      <c r="BS10" s="1446"/>
      <c r="BT10" s="1298">
        <v>64236876</v>
      </c>
      <c r="BU10" s="1063" t="s">
        <v>236</v>
      </c>
      <c r="BV10" s="1065"/>
      <c r="BW10" s="0"/>
      <c r="BX10" s="0"/>
    </row>
    <row customHeight="1" ht="11.25">
      <c r="A11" s="1069" t="s">
        <v>1432</v>
      </c>
      <c r="B11" s="1070">
        <v>2009</v>
      </c>
      <c r="E11" s="1071" t="s">
        <v>1433</v>
      </c>
      <c r="F11" s="1087"/>
      <c r="G11" s="1071" t="s">
        <v>1434</v>
      </c>
      <c r="H11" s="1071" t="s">
        <v>1435</v>
      </c>
      <c r="I11" s="1071" t="s">
        <v>147</v>
      </c>
      <c r="J11" s="1072" t="s">
        <v>1436</v>
      </c>
      <c r="K11" s="1093" t="s">
        <v>1437</v>
      </c>
      <c r="O11" s="1072" t="s">
        <v>1438</v>
      </c>
      <c r="V11" s="362" t="s">
        <v>147</v>
      </c>
      <c r="W11" s="254"/>
      <c r="X11" s="1079" t="s">
        <v>1409</v>
      </c>
      <c r="Y11" s="1070" t="s">
        <v>1439</v>
      </c>
      <c r="Z11" s="1085"/>
      <c r="AP11" s="1082" t="s">
        <v>214</v>
      </c>
      <c r="AQ11" s="1084" t="s">
        <v>214</v>
      </c>
      <c r="AW11" s="1115" t="s">
        <v>1440</v>
      </c>
      <c r="AX11" s="1115" t="s">
        <v>1440</v>
      </c>
      <c r="AZ11" s="1115" t="s">
        <v>1441</v>
      </c>
      <c r="BB11" s="1115" t="s">
        <v>1442</v>
      </c>
      <c r="BC11" s="1115" t="s">
        <v>1345</v>
      </c>
      <c r="BE11" s="1115">
        <v>2009</v>
      </c>
      <c r="BF11" s="1115" t="s">
        <v>1443</v>
      </c>
      <c r="BH11" s="1063" t="s">
        <v>1444</v>
      </c>
      <c r="BJ11" s="1063" t="s">
        <v>1414</v>
      </c>
      <c r="BL11" s="1063" t="s">
        <v>1414</v>
      </c>
      <c r="BN11" s="1063" t="s">
        <v>1445</v>
      </c>
      <c r="BQ11" s="1298">
        <v>4213780</v>
      </c>
      <c r="BR11" s="1063" t="s">
        <v>208</v>
      </c>
      <c r="BS11" s="1446"/>
      <c r="BW11" s="0"/>
      <c r="BX11" s="0"/>
    </row>
    <row customHeight="1" ht="11.25">
      <c r="A12" s="1069" t="s">
        <v>1446</v>
      </c>
      <c r="B12" s="1070">
        <v>2010</v>
      </c>
      <c r="E12" s="1071" t="s">
        <v>1447</v>
      </c>
      <c r="F12" s="1087"/>
      <c r="G12" s="1071" t="s">
        <v>1435</v>
      </c>
      <c r="I12" s="1071" t="s">
        <v>148</v>
      </c>
      <c r="J12" s="1072" t="s">
        <v>1448</v>
      </c>
      <c r="K12" s="1093" t="s">
        <v>1449</v>
      </c>
      <c r="O12" s="1072" t="s">
        <v>459</v>
      </c>
      <c r="V12" s="362" t="s">
        <v>148</v>
      </c>
      <c r="W12" s="1084"/>
      <c r="X12" s="1079" t="s">
        <v>1450</v>
      </c>
      <c r="Y12" s="1070" t="s">
        <v>1246</v>
      </c>
      <c r="AP12" s="1082"/>
      <c r="AW12" s="1115" t="s">
        <v>147</v>
      </c>
      <c r="AX12" s="1115" t="s">
        <v>147</v>
      </c>
      <c r="AZ12" s="1115" t="s">
        <v>1451</v>
      </c>
      <c r="BB12" s="1115" t="s">
        <v>1452</v>
      </c>
      <c r="BC12" s="1115" t="s">
        <v>1345</v>
      </c>
      <c r="BE12" s="1115">
        <v>2010</v>
      </c>
      <c r="BF12" s="1115" t="s">
        <v>1453</v>
      </c>
      <c r="BH12" s="1063" t="s">
        <v>1454</v>
      </c>
      <c r="BJ12" s="1063" t="s">
        <v>1455</v>
      </c>
      <c r="BL12" s="1063" t="s">
        <v>1455</v>
      </c>
      <c r="BN12" s="1063" t="s">
        <v>1456</v>
      </c>
      <c r="BQ12" s="1298">
        <v>4213779</v>
      </c>
      <c r="BR12" s="1063" t="s">
        <v>1409</v>
      </c>
      <c r="BS12" s="1446"/>
      <c r="BT12" s="1065"/>
      <c r="BU12" s="1065"/>
      <c r="BV12" s="1065"/>
      <c r="BW12" s="0"/>
      <c r="BX12" s="0"/>
    </row>
    <row customHeight="1" ht="11.25">
      <c r="A13" s="1069" t="s">
        <v>1457</v>
      </c>
      <c r="B13" s="1070">
        <v>2011</v>
      </c>
      <c r="E13" s="1071" t="s">
        <v>1458</v>
      </c>
      <c r="F13" s="1087"/>
      <c r="I13" s="1071" t="s">
        <v>149</v>
      </c>
      <c r="K13" s="1093" t="s">
        <v>1408</v>
      </c>
      <c r="V13" s="362" t="s">
        <v>149</v>
      </c>
      <c r="W13" s="1084"/>
      <c r="X13" s="1084"/>
      <c r="Y13" s="1084"/>
      <c r="AW13" s="1115" t="s">
        <v>148</v>
      </c>
      <c r="AX13" s="1115" t="s">
        <v>148</v>
      </c>
      <c r="BB13" s="1115" t="s">
        <v>1459</v>
      </c>
      <c r="BC13" s="1115" t="s">
        <v>1460</v>
      </c>
      <c r="BE13" s="1115">
        <v>2011</v>
      </c>
      <c r="BF13" s="1115" t="s">
        <v>1461</v>
      </c>
      <c r="BH13" s="1063" t="s">
        <v>1462</v>
      </c>
      <c r="BJ13" s="1063" t="s">
        <v>1444</v>
      </c>
      <c r="BL13" s="1063" t="s">
        <v>1444</v>
      </c>
      <c r="BN13" s="1063" t="s">
        <v>1463</v>
      </c>
      <c r="BQ13" s="1298">
        <v>4213783</v>
      </c>
      <c r="BR13" s="1063" t="s">
        <v>1423</v>
      </c>
      <c r="BS13" s="1446"/>
      <c r="BT13" s="1065"/>
      <c r="BU13" s="1065"/>
      <c r="BV13" s="1065"/>
      <c r="BW13" s="1718"/>
      <c r="BX13" s="0"/>
    </row>
    <row customHeight="1" ht="11.25">
      <c r="A14" s="1069" t="s">
        <v>14</v>
      </c>
      <c r="B14" s="1070">
        <v>2012</v>
      </c>
      <c r="I14" s="1071" t="s">
        <v>150</v>
      </c>
      <c r="J14" s="1062" t="s">
        <v>1464</v>
      </c>
      <c r="N14" s="1062" t="s">
        <v>1465</v>
      </c>
      <c r="V14" s="1078">
        <v>13</v>
      </c>
      <c r="W14" s="1079"/>
      <c r="X14" s="1079" t="s">
        <v>1278</v>
      </c>
      <c r="Y14" s="1070" t="s">
        <v>1246</v>
      </c>
      <c r="AW14" s="1115" t="s">
        <v>149</v>
      </c>
      <c r="AX14" s="1115" t="s">
        <v>149</v>
      </c>
      <c r="AZ14" s="1062" t="s">
        <v>1466</v>
      </c>
      <c r="BB14" s="1115" t="s">
        <v>1467</v>
      </c>
      <c r="BC14" s="1115" t="s">
        <v>1460</v>
      </c>
      <c r="BE14" s="1115">
        <v>2012</v>
      </c>
      <c r="BH14" s="1063" t="s">
        <v>1385</v>
      </c>
      <c r="BJ14" s="1216" t="s">
        <v>1468</v>
      </c>
      <c r="BL14" s="1216" t="s">
        <v>1468</v>
      </c>
      <c r="BN14" s="1063" t="s">
        <v>1469</v>
      </c>
      <c r="BQ14" s="1298">
        <v>4213782</v>
      </c>
      <c r="BR14" s="1063" t="s">
        <v>214</v>
      </c>
      <c r="BS14" s="1446"/>
      <c r="BT14" s="1065"/>
      <c r="BU14" s="1065"/>
      <c r="BV14" s="1065"/>
      <c r="BW14" s="1718"/>
      <c r="BX14" s="0"/>
    </row>
    <row customHeight="1" ht="19.5">
      <c r="A15" s="1069" t="s">
        <v>1470</v>
      </c>
      <c r="B15" s="1070">
        <v>2013</v>
      </c>
      <c r="E15" s="1722" t="s">
        <v>1471</v>
      </c>
      <c r="G15" s="1062" t="s">
        <v>1472</v>
      </c>
      <c r="H15" s="1062" t="s">
        <v>1473</v>
      </c>
      <c r="I15" s="1073" t="s">
        <v>151</v>
      </c>
      <c r="J15" s="1084" t="s">
        <v>594</v>
      </c>
      <c r="N15" s="1153" t="s">
        <v>1474</v>
      </c>
      <c r="X15" s="1082"/>
      <c r="AW15" s="1115" t="s">
        <v>150</v>
      </c>
      <c r="AX15" s="1115" t="s">
        <v>150</v>
      </c>
      <c r="AZ15" s="1115" t="s">
        <v>1395</v>
      </c>
      <c r="BB15" s="1115" t="s">
        <v>1475</v>
      </c>
      <c r="BC15" s="1115" t="s">
        <v>1460</v>
      </c>
      <c r="BE15" s="1115">
        <v>2013</v>
      </c>
      <c r="BH15" s="1063" t="s">
        <v>1400</v>
      </c>
      <c r="BJ15" s="1216" t="s">
        <v>1476</v>
      </c>
      <c r="BL15" s="1216" t="s">
        <v>1476</v>
      </c>
      <c r="BN15" s="1063" t="s">
        <v>1477</v>
      </c>
      <c r="BR15" s="1065"/>
      <c r="BS15" s="1448"/>
      <c r="BT15" s="1065"/>
      <c r="BU15" s="1065"/>
      <c r="BV15" s="1065"/>
      <c r="BW15" s="1718"/>
      <c r="BX15" s="0"/>
    </row>
    <row customHeight="1" ht="21">
      <c r="A16" s="1895" t="s">
        <v>1478</v>
      </c>
      <c r="B16" s="1070">
        <v>2014</v>
      </c>
      <c r="E16" s="1723" t="s">
        <v>1479</v>
      </c>
      <c r="G16" s="1071" t="s">
        <v>1480</v>
      </c>
      <c r="H16" s="1071" t="s">
        <v>1481</v>
      </c>
      <c r="I16" s="1073" t="s">
        <v>1482</v>
      </c>
      <c r="J16" s="1084" t="s">
        <v>567</v>
      </c>
      <c r="N16" s="1153" t="s">
        <v>1483</v>
      </c>
      <c r="AW16" s="1115" t="s">
        <v>151</v>
      </c>
      <c r="AX16" s="1115" t="s">
        <v>151</v>
      </c>
      <c r="AZ16" s="1115" t="s">
        <v>1411</v>
      </c>
      <c r="BB16" s="1115" t="s">
        <v>1484</v>
      </c>
      <c r="BC16" s="1115" t="s">
        <v>1460</v>
      </c>
      <c r="BE16" s="1115">
        <v>2014</v>
      </c>
      <c r="BH16" s="1063" t="s">
        <v>1416</v>
      </c>
      <c r="BJ16" s="1216" t="s">
        <v>1485</v>
      </c>
      <c r="BL16" s="1216" t="s">
        <v>1485</v>
      </c>
      <c r="BN16" s="1063" t="s">
        <v>1486</v>
      </c>
      <c r="BR16" s="1065"/>
      <c r="BS16" s="1448"/>
      <c r="BT16" s="1065"/>
      <c r="BU16" s="1065"/>
      <c r="BV16" s="1065"/>
      <c r="BW16" s="1718"/>
      <c r="BX16" s="0"/>
    </row>
    <row customHeight="1" ht="21">
      <c r="A17" s="1069" t="s">
        <v>1487</v>
      </c>
      <c r="B17" s="1070">
        <v>2015</v>
      </c>
      <c r="G17" s="1071" t="s">
        <v>1435</v>
      </c>
      <c r="H17" s="1071" t="s">
        <v>1435</v>
      </c>
      <c r="I17" s="1071" t="s">
        <v>1488</v>
      </c>
      <c r="N17" s="1153" t="s">
        <v>1489</v>
      </c>
      <c r="X17" s="1082"/>
      <c r="AW17" s="1115" t="s">
        <v>1482</v>
      </c>
      <c r="AX17" s="1115" t="s">
        <v>1482</v>
      </c>
      <c r="AZ17" s="1115" t="s">
        <v>1490</v>
      </c>
      <c r="BB17" s="1115" t="s">
        <v>1491</v>
      </c>
      <c r="BC17" s="1115" t="s">
        <v>1345</v>
      </c>
      <c r="BE17" s="1115">
        <v>2015</v>
      </c>
      <c r="BH17" s="1063" t="s">
        <v>1431</v>
      </c>
      <c r="BJ17" s="1216" t="s">
        <v>1492</v>
      </c>
      <c r="BL17" s="1216" t="s">
        <v>1492</v>
      </c>
      <c r="BN17" s="1063" t="s">
        <v>1493</v>
      </c>
      <c r="BR17" s="1062" t="s">
        <v>1288</v>
      </c>
      <c r="BS17" s="1445"/>
      <c r="BU17" s="1062" t="s">
        <v>1494</v>
      </c>
      <c r="BV17" s="1065"/>
      <c r="BW17" s="0"/>
      <c r="BX17" s="1716" t="s">
        <v>1495</v>
      </c>
      <c r="CA17" s="1062" t="s">
        <v>1496</v>
      </c>
      <c r="CD17" s="1062" t="s">
        <v>1497</v>
      </c>
    </row>
    <row customHeight="1" ht="21">
      <c r="A18" s="1069" t="s">
        <v>1498</v>
      </c>
      <c r="B18" s="1070">
        <v>2016</v>
      </c>
      <c r="I18" s="1071" t="s">
        <v>1499</v>
      </c>
      <c r="N18" s="1153" t="s">
        <v>1500</v>
      </c>
      <c r="X18" s="1082"/>
      <c r="AW18" s="1115" t="s">
        <v>1488</v>
      </c>
      <c r="AX18" s="1115" t="s">
        <v>1488</v>
      </c>
      <c r="BB18" s="1115" t="s">
        <v>1501</v>
      </c>
      <c r="BC18" s="1115" t="s">
        <v>1345</v>
      </c>
      <c r="BE18" s="1115">
        <v>2016</v>
      </c>
      <c r="BH18" s="1063" t="s">
        <v>1445</v>
      </c>
      <c r="BJ18" s="1216" t="s">
        <v>1502</v>
      </c>
      <c r="BL18" s="1216" t="s">
        <v>1502</v>
      </c>
      <c r="BN18" s="1063" t="s">
        <v>1503</v>
      </c>
      <c r="BQ18" s="1449" t="s">
        <v>1318</v>
      </c>
      <c r="BR18" s="1154" t="s">
        <v>1319</v>
      </c>
      <c r="BS18" s="253"/>
      <c r="BT18" s="1449" t="s">
        <v>1504</v>
      </c>
      <c r="BU18" s="1154" t="s">
        <v>1505</v>
      </c>
      <c r="BV18" s="1065"/>
      <c r="BW18" s="1721" t="s">
        <v>1506</v>
      </c>
      <c r="BX18" s="1715" t="s">
        <v>1507</v>
      </c>
      <c r="BZ18" s="1449" t="s">
        <v>1508</v>
      </c>
      <c r="CA18" s="1154" t="s">
        <v>1509</v>
      </c>
      <c r="CC18" s="1449" t="s">
        <v>1510</v>
      </c>
      <c r="CD18" s="1154" t="s">
        <v>1511</v>
      </c>
    </row>
    <row customHeight="1" ht="21">
      <c r="A19" s="1895" t="s">
        <v>1512</v>
      </c>
      <c r="B19" s="1070">
        <v>2017</v>
      </c>
      <c r="I19" s="1071" t="s">
        <v>1513</v>
      </c>
      <c r="N19" s="1153" t="s">
        <v>1514</v>
      </c>
      <c r="X19" s="1082"/>
      <c r="AW19" s="1115" t="s">
        <v>1499</v>
      </c>
      <c r="AX19" s="1115" t="s">
        <v>1499</v>
      </c>
      <c r="AZ19" s="1062" t="s">
        <v>1515</v>
      </c>
      <c r="BB19" s="1115" t="s">
        <v>1516</v>
      </c>
      <c r="BC19" s="1115" t="s">
        <v>1345</v>
      </c>
      <c r="BE19" s="1115">
        <v>2017</v>
      </c>
      <c r="BH19" s="1063" t="s">
        <v>1517</v>
      </c>
      <c r="BJ19" s="1216" t="s">
        <v>1518</v>
      </c>
      <c r="BL19" s="1216" t="s">
        <v>1518</v>
      </c>
      <c r="BQ19" s="1298">
        <v>4190064</v>
      </c>
      <c r="BR19" s="1063" t="s">
        <v>1519</v>
      </c>
      <c r="BS19" s="1446"/>
      <c r="BT19" s="1298">
        <v>4189671</v>
      </c>
      <c r="BU19" s="1063" t="s">
        <v>1520</v>
      </c>
      <c r="BV19" s="1065"/>
      <c r="BW19" s="1719">
        <v>4189706</v>
      </c>
      <c r="BX19" s="1717" t="s">
        <v>1521</v>
      </c>
      <c r="BZ19" s="1298">
        <v>4189714</v>
      </c>
      <c r="CA19" s="1063" t="s">
        <v>1522</v>
      </c>
      <c r="CC19" s="1298">
        <v>4189708</v>
      </c>
      <c r="CD19" s="1063" t="s">
        <v>1523</v>
      </c>
    </row>
    <row customHeight="1" ht="21">
      <c r="A20" s="1069" t="s">
        <v>1524</v>
      </c>
      <c r="B20" s="1070">
        <v>2018</v>
      </c>
      <c r="I20" s="1071" t="s">
        <v>1525</v>
      </c>
      <c r="N20" s="1153" t="s">
        <v>1526</v>
      </c>
      <c r="AW20" s="1115" t="s">
        <v>1513</v>
      </c>
      <c r="AX20" s="1115" t="s">
        <v>1513</v>
      </c>
      <c r="AZ20" s="1115" t="s">
        <v>1527</v>
      </c>
      <c r="BB20" s="1115" t="s">
        <v>1528</v>
      </c>
      <c r="BC20" s="1115" t="s">
        <v>1460</v>
      </c>
      <c r="BE20" s="1115">
        <v>2018</v>
      </c>
      <c r="BH20" s="1063" t="s">
        <v>1456</v>
      </c>
      <c r="BJ20" s="1063" t="s">
        <v>1385</v>
      </c>
      <c r="BL20" s="1063" t="s">
        <v>1385</v>
      </c>
      <c r="BQ20" s="1298">
        <v>4190065</v>
      </c>
      <c r="BR20" s="1063" t="s">
        <v>1529</v>
      </c>
      <c r="BS20" s="1446"/>
      <c r="BT20" s="1298">
        <v>4189672</v>
      </c>
      <c r="BU20" s="1063" t="s">
        <v>1530</v>
      </c>
      <c r="BV20" s="1065"/>
      <c r="BW20" s="1719">
        <v>4189705</v>
      </c>
      <c r="BX20" s="1717" t="s">
        <v>1531</v>
      </c>
      <c r="BZ20" s="1298">
        <v>4189713</v>
      </c>
      <c r="CA20" s="1063" t="s">
        <v>1531</v>
      </c>
      <c r="CC20" s="1298">
        <v>4189709</v>
      </c>
      <c r="CD20" s="1063" t="s">
        <v>1532</v>
      </c>
    </row>
    <row customHeight="1" ht="21">
      <c r="A21" s="1069" t="s">
        <v>1533</v>
      </c>
      <c r="B21" s="1070">
        <v>2019</v>
      </c>
      <c r="I21" s="1071" t="s">
        <v>1534</v>
      </c>
      <c r="N21" s="1153" t="s">
        <v>1535</v>
      </c>
      <c r="AW21" s="1115" t="s">
        <v>1525</v>
      </c>
      <c r="AX21" s="1115" t="s">
        <v>1525</v>
      </c>
      <c r="AZ21" s="1115" t="s">
        <v>1536</v>
      </c>
      <c r="BB21" s="1115" t="s">
        <v>1537</v>
      </c>
      <c r="BC21" s="1115" t="s">
        <v>1345</v>
      </c>
      <c r="BE21" s="1115">
        <v>2019</v>
      </c>
      <c r="BH21" s="1063" t="s">
        <v>1463</v>
      </c>
      <c r="BJ21" s="1063" t="s">
        <v>1400</v>
      </c>
      <c r="BL21" s="1063" t="s">
        <v>1400</v>
      </c>
      <c r="BQ21" s="1298">
        <v>4190066</v>
      </c>
      <c r="BR21" s="1063" t="s">
        <v>1538</v>
      </c>
      <c r="BS21" s="1446"/>
      <c r="BT21" s="1298">
        <v>4189673</v>
      </c>
      <c r="BU21" s="1063" t="s">
        <v>1539</v>
      </c>
      <c r="BV21" s="1065"/>
      <c r="BW21" s="1719">
        <v>4189707</v>
      </c>
      <c r="BX21" s="1717" t="s">
        <v>1540</v>
      </c>
      <c r="BZ21" s="1298">
        <v>4189712</v>
      </c>
      <c r="CA21" s="1063" t="s">
        <v>1541</v>
      </c>
      <c r="CC21" s="1298">
        <v>4189710</v>
      </c>
      <c r="CD21" s="1063" t="s">
        <v>1542</v>
      </c>
    </row>
    <row customHeight="1" ht="21">
      <c r="A22" s="1069" t="s">
        <v>1543</v>
      </c>
      <c r="B22" s="1070">
        <v>2020</v>
      </c>
      <c r="N22" s="1153" t="s">
        <v>1544</v>
      </c>
      <c r="AW22" s="1115" t="s">
        <v>1534</v>
      </c>
      <c r="AX22" s="1115" t="s">
        <v>1534</v>
      </c>
      <c r="AZ22" s="1115" t="s">
        <v>1545</v>
      </c>
      <c r="BB22" s="1115" t="s">
        <v>1546</v>
      </c>
      <c r="BC22" s="1115" t="s">
        <v>1345</v>
      </c>
      <c r="BE22" s="1115">
        <v>2020</v>
      </c>
      <c r="BH22" s="1063" t="s">
        <v>1469</v>
      </c>
      <c r="BJ22" s="1063" t="s">
        <v>1416</v>
      </c>
      <c r="BL22" s="1063" t="s">
        <v>1416</v>
      </c>
      <c r="BQ22" s="1298">
        <v>4190067</v>
      </c>
      <c r="BR22" s="1063" t="s">
        <v>1547</v>
      </c>
      <c r="BS22" s="1446"/>
      <c r="BT22" s="1298">
        <v>4189674</v>
      </c>
      <c r="BU22" s="1063" t="s">
        <v>1548</v>
      </c>
      <c r="BV22" s="1065"/>
      <c r="BW22" s="1065"/>
      <c r="CC22" s="1298">
        <v>4189711</v>
      </c>
      <c r="CD22" s="1063" t="s">
        <v>305</v>
      </c>
    </row>
    <row customHeight="1" ht="21">
      <c r="A23" s="1069" t="s">
        <v>1549</v>
      </c>
      <c r="B23" s="1070">
        <v>2021</v>
      </c>
      <c r="AW23" s="1115" t="s">
        <v>1550</v>
      </c>
      <c r="AX23" s="1115" t="s">
        <v>1550</v>
      </c>
      <c r="AZ23" s="1115" t="s">
        <v>1551</v>
      </c>
      <c r="BB23" s="1115" t="s">
        <v>1552</v>
      </c>
      <c r="BC23" s="1115" t="s">
        <v>1256</v>
      </c>
      <c r="BE23" s="1115">
        <v>2021</v>
      </c>
      <c r="BH23" s="1063" t="s">
        <v>1477</v>
      </c>
      <c r="BJ23" s="1063" t="s">
        <v>1431</v>
      </c>
      <c r="BL23" s="1063" t="s">
        <v>1431</v>
      </c>
      <c r="BQ23" s="1298">
        <v>4190068</v>
      </c>
      <c r="BR23" s="1063" t="s">
        <v>1553</v>
      </c>
      <c r="BS23" s="1446"/>
      <c r="BT23" s="1298">
        <v>4189675</v>
      </c>
      <c r="BU23" s="1063" t="s">
        <v>1554</v>
      </c>
      <c r="BV23" s="1065"/>
      <c r="BW23" s="1065"/>
      <c r="CC23" s="1298">
        <v>5110778</v>
      </c>
      <c r="CD23" s="1063" t="s">
        <v>1555</v>
      </c>
    </row>
    <row customHeight="1" ht="21">
      <c r="A24" s="1069" t="s">
        <v>1556</v>
      </c>
      <c r="B24" s="1070">
        <v>2022</v>
      </c>
      <c r="AW24" s="1115" t="s">
        <v>1557</v>
      </c>
      <c r="AX24" s="1115" t="s">
        <v>1557</v>
      </c>
      <c r="AZ24" s="1115" t="s">
        <v>1558</v>
      </c>
      <c r="BB24" s="1115" t="s">
        <v>1559</v>
      </c>
      <c r="BC24" s="1115" t="s">
        <v>1560</v>
      </c>
      <c r="BE24" s="1115">
        <v>2022</v>
      </c>
      <c r="BH24" s="1063" t="s">
        <v>1486</v>
      </c>
      <c r="BJ24" s="1063" t="s">
        <v>1445</v>
      </c>
      <c r="BL24" s="1063" t="s">
        <v>1445</v>
      </c>
      <c r="BQ24" s="1298">
        <v>4190069</v>
      </c>
      <c r="BR24" s="1063" t="s">
        <v>1561</v>
      </c>
      <c r="BS24" s="1446"/>
      <c r="BT24" s="1298">
        <v>4189676</v>
      </c>
      <c r="BU24" s="1063" t="s">
        <v>1562</v>
      </c>
      <c r="BV24" s="1065"/>
      <c r="BW24" s="1065"/>
      <c r="CC24" s="1298">
        <v>25575374</v>
      </c>
      <c r="CD24" s="1063" t="s">
        <v>1563</v>
      </c>
    </row>
    <row customHeight="1" ht="11.25">
      <c r="A25" s="1069" t="s">
        <v>1564</v>
      </c>
      <c r="B25" s="1070">
        <v>2023</v>
      </c>
      <c r="AW25" s="1115" t="s">
        <v>1565</v>
      </c>
      <c r="AX25" s="1115" t="s">
        <v>1565</v>
      </c>
      <c r="AZ25" s="1115" t="s">
        <v>1566</v>
      </c>
      <c r="BB25" s="1115" t="s">
        <v>1567</v>
      </c>
      <c r="BC25" s="1115" t="s">
        <v>1560</v>
      </c>
      <c r="BE25" s="1115">
        <v>2023</v>
      </c>
      <c r="BH25" s="1063" t="s">
        <v>1493</v>
      </c>
      <c r="BJ25" s="1063" t="s">
        <v>1517</v>
      </c>
      <c r="BL25" s="1063" t="s">
        <v>1517</v>
      </c>
      <c r="BQ25" s="1298">
        <v>4190070</v>
      </c>
      <c r="BR25" s="1063" t="s">
        <v>1568</v>
      </c>
      <c r="BS25" s="1446"/>
      <c r="BT25" s="1298">
        <v>4189677</v>
      </c>
      <c r="BU25" s="1063" t="s">
        <v>1569</v>
      </c>
      <c r="BV25" s="1065"/>
      <c r="BW25" s="1065"/>
    </row>
    <row customHeight="1" ht="11.25">
      <c r="A26" s="1069" t="s">
        <v>1570</v>
      </c>
      <c r="B26" s="1070">
        <v>2024</v>
      </c>
      <c r="J26" s="1755" t="s">
        <v>1571</v>
      </c>
      <c r="AX26" s="1115" t="s">
        <v>1572</v>
      </c>
      <c r="AZ26" s="1115" t="s">
        <v>1438</v>
      </c>
      <c r="BB26" s="1115" t="s">
        <v>1573</v>
      </c>
      <c r="BC26" s="1115" t="s">
        <v>1560</v>
      </c>
      <c r="BE26" s="1115">
        <v>2024</v>
      </c>
      <c r="BH26" s="1063" t="s">
        <v>1503</v>
      </c>
      <c r="BJ26" s="1063" t="s">
        <v>1456</v>
      </c>
      <c r="BL26" s="1063" t="s">
        <v>1456</v>
      </c>
      <c r="BQ26" s="1298">
        <v>4190071</v>
      </c>
      <c r="BR26" s="1063" t="s">
        <v>1574</v>
      </c>
      <c r="BS26" s="1446"/>
      <c r="BV26" s="1065"/>
      <c r="BW26" s="1065"/>
    </row>
    <row customHeight="1" ht="11.25">
      <c r="A27" s="1069" t="s">
        <v>1575</v>
      </c>
      <c r="B27" s="1070">
        <v>2025</v>
      </c>
      <c r="J27" s="156" t="s">
        <v>163</v>
      </c>
      <c r="AX27" s="1115" t="s">
        <v>1576</v>
      </c>
      <c r="BB27" s="1115" t="s">
        <v>1577</v>
      </c>
      <c r="BC27" s="1115" t="s">
        <v>1560</v>
      </c>
      <c r="BE27" s="1115">
        <v>2025</v>
      </c>
      <c r="BH27" s="1065" t="s">
        <v>24</v>
      </c>
      <c r="BJ27" s="1063" t="s">
        <v>1463</v>
      </c>
      <c r="BL27" s="1063" t="s">
        <v>1463</v>
      </c>
      <c r="BN27" s="1065" t="s">
        <v>24</v>
      </c>
      <c r="BQ27" s="1298">
        <v>4190072</v>
      </c>
      <c r="BR27" s="1063" t="s">
        <v>1578</v>
      </c>
      <c r="BS27" s="1446"/>
      <c r="BV27" s="1065"/>
      <c r="BW27" s="1065"/>
    </row>
    <row customHeight="1" ht="11.25">
      <c r="A28" s="1069" t="s">
        <v>1579</v>
      </c>
      <c r="D28" s="1095"/>
      <c r="E28" s="1096"/>
      <c r="F28" s="1096"/>
      <c r="H28" s="1097" t="s">
        <v>1580</v>
      </c>
      <c r="AX28" s="1115" t="s">
        <v>1581</v>
      </c>
      <c r="AZ28" s="1062" t="s">
        <v>1582</v>
      </c>
      <c r="BB28" s="1115" t="s">
        <v>1583</v>
      </c>
      <c r="BC28" s="1115" t="s">
        <v>1584</v>
      </c>
      <c r="BE28" s="1115">
        <v>2026</v>
      </c>
      <c r="BH28" s="1065" t="s">
        <v>24</v>
      </c>
      <c r="BJ28" s="1063" t="s">
        <v>1469</v>
      </c>
      <c r="BL28" s="1063" t="s">
        <v>1469</v>
      </c>
      <c r="BN28" s="1065" t="s">
        <v>24</v>
      </c>
      <c r="BQ28" s="1298">
        <v>4190073</v>
      </c>
      <c r="BR28" s="1063" t="s">
        <v>1585</v>
      </c>
      <c r="BS28" s="1446"/>
      <c r="BV28" s="1065"/>
      <c r="BW28" s="1065"/>
    </row>
    <row customHeight="1" ht="11.25">
      <c r="A29" s="1069" t="s">
        <v>1586</v>
      </c>
      <c r="D29" s="1098" t="s">
        <v>1587</v>
      </c>
      <c r="E29" s="1099" t="str">
        <f>IF(TEMPLATE_GROUP="","",INDEX(StartDateList,MATCH(TEMPLATE_GROUP,CodeTemplateList,0),1))</f>
        <v>45292.49204861111</v>
      </c>
      <c r="F29" s="1099" t="str">
        <f>IF(TEMPLATE_GROUP="","",INDEX(EndDateList,MATCH(TEMPLATE_GROUP,CodeTemplateList,0),1))</f>
        <v>47118.492164351854</v>
      </c>
      <c r="H29" s="1100" t="s">
        <v>1588</v>
      </c>
      <c r="AX29" s="1115" t="s">
        <v>1589</v>
      </c>
      <c r="AZ29" s="1115" t="s">
        <v>461</v>
      </c>
      <c r="BB29" s="1115" t="s">
        <v>1438</v>
      </c>
      <c r="BC29" s="1085"/>
      <c r="BE29" s="1115">
        <v>2027</v>
      </c>
      <c r="BJ29" s="1063" t="s">
        <v>1477</v>
      </c>
      <c r="BL29" s="1063" t="s">
        <v>1477</v>
      </c>
    </row>
    <row customHeight="1" ht="11.25">
      <c r="A30" s="1069" t="s">
        <v>1590</v>
      </c>
      <c r="D30" s="1101"/>
      <c r="E30" s="1102"/>
      <c r="F30" s="1102"/>
      <c r="AX30" s="1115" t="s">
        <v>1591</v>
      </c>
      <c r="AZ30" s="1115" t="s">
        <v>1267</v>
      </c>
      <c r="BE30" s="1115">
        <v>2028</v>
      </c>
      <c r="BJ30" s="1063" t="s">
        <v>1592</v>
      </c>
      <c r="BL30" s="1063" t="s">
        <v>1592</v>
      </c>
    </row>
    <row customHeight="1" ht="12.75">
      <c r="A31" s="1069" t="s">
        <v>1593</v>
      </c>
      <c r="D31" s="1095"/>
      <c r="E31" s="1096"/>
      <c r="F31" s="1096"/>
      <c r="H31" s="1103"/>
      <c r="AX31" s="1115" t="s">
        <v>1594</v>
      </c>
      <c r="AZ31" s="1115" t="s">
        <v>462</v>
      </c>
      <c r="BE31" s="1115">
        <v>2029</v>
      </c>
      <c r="BJ31" s="1063" t="s">
        <v>1595</v>
      </c>
      <c r="BL31" s="1063" t="s">
        <v>1595</v>
      </c>
    </row>
    <row customHeight="1" ht="11.25">
      <c r="A32" s="1069" t="s">
        <v>1596</v>
      </c>
      <c r="D32" s="1098" t="s">
        <v>1597</v>
      </c>
      <c r="E32" s="1099" t="str">
        <f>IF(TEMPLATE_GROUP="","",INDEX(StartDateList,MATCH(TEMPLATE_GROUP,CodeTemplateList,0),1))</f>
        <v>45292.49204861111</v>
      </c>
      <c r="F32" s="1099" t="str">
        <f>IF(TEMPLATE_GROUP="","",INDEX(EndDateList,MATCH(TEMPLATE_GROUP,CodeTemplateList,0),1))</f>
        <v>47118.492164351854</v>
      </c>
      <c r="H32" s="1104" t="s">
        <v>1598</v>
      </c>
      <c r="O32" s="1069" t="s">
        <v>460</v>
      </c>
      <c r="AX32" s="1115" t="s">
        <v>1599</v>
      </c>
      <c r="AZ32" s="1115" t="s">
        <v>465</v>
      </c>
      <c r="BE32" s="1115">
        <v>2030</v>
      </c>
      <c r="BJ32" s="1063" t="s">
        <v>1486</v>
      </c>
      <c r="BL32" s="1063" t="s">
        <v>1486</v>
      </c>
    </row>
    <row customHeight="1" ht="11.25">
      <c r="A33" s="1069" t="s">
        <v>1600</v>
      </c>
      <c r="O33" s="1069" t="s">
        <v>1265</v>
      </c>
      <c r="AX33" s="1115" t="s">
        <v>1601</v>
      </c>
      <c r="AZ33" s="1115" t="s">
        <v>459</v>
      </c>
      <c r="BE33" s="1115">
        <v>2031</v>
      </c>
      <c r="BJ33" s="1063" t="s">
        <v>1493</v>
      </c>
      <c r="BL33" s="1063" t="s">
        <v>1493</v>
      </c>
    </row>
    <row customHeight="1" ht="11.25">
      <c r="A34" s="1069" t="s">
        <v>1602</v>
      </c>
      <c r="O34" s="1069" t="s">
        <v>1299</v>
      </c>
      <c r="AX34" s="1115" t="s">
        <v>1603</v>
      </c>
      <c r="BE34" s="1115">
        <v>2032</v>
      </c>
      <c r="BJ34" s="1063" t="s">
        <v>1503</v>
      </c>
      <c r="BL34" s="1063" t="s">
        <v>1503</v>
      </c>
    </row>
    <row customHeight="1" ht="11.25">
      <c r="A35" s="1069" t="s">
        <v>1604</v>
      </c>
      <c r="O35" s="1069" t="s">
        <v>1332</v>
      </c>
      <c r="AX35" s="1115" t="s">
        <v>1605</v>
      </c>
      <c r="AZ35" s="1062" t="s">
        <v>1606</v>
      </c>
      <c r="BE35" s="1115">
        <v>2033</v>
      </c>
      <c r="BL35" s="1063" t="s">
        <v>1607</v>
      </c>
    </row>
    <row customHeight="1" ht="11.25">
      <c r="A36" s="1895" t="s">
        <v>1608</v>
      </c>
      <c r="D36" s="1105" t="s">
        <v>1609</v>
      </c>
      <c r="E36" s="1106" t="s">
        <v>733</v>
      </c>
      <c r="F36" s="1107" t="str">
        <f>INDEX(E37:E41,MATCH(TEMPLATE_SPHERE,F37:F41,0))</f>
        <v>теплоснабжения</v>
      </c>
      <c r="G36" s="1107" t="str">
        <f>INDEX(G37:G41,MATCH(TEMPLATE_SPHERE,F37:F41,0))</f>
        <v>теплоснабжение</v>
      </c>
      <c r="O36" s="1069" t="s">
        <v>1356</v>
      </c>
      <c r="AX36" s="1115" t="s">
        <v>1610</v>
      </c>
      <c r="AZ36" s="1115" t="s">
        <v>459</v>
      </c>
      <c r="BE36" s="1115">
        <v>2034</v>
      </c>
      <c r="BL36" s="1063" t="s">
        <v>1611</v>
      </c>
    </row>
    <row customHeight="1" ht="11.25">
      <c r="A37" s="1069" t="s">
        <v>1612</v>
      </c>
      <c r="E37" s="404" t="s">
        <v>1613</v>
      </c>
      <c r="F37" s="1108" t="s">
        <v>733</v>
      </c>
      <c r="G37" s="404" t="s">
        <v>1614</v>
      </c>
      <c r="O37" s="1069" t="s">
        <v>1375</v>
      </c>
      <c r="AX37" s="1115" t="s">
        <v>1615</v>
      </c>
      <c r="AZ37" s="1115" t="s">
        <v>463</v>
      </c>
      <c r="BE37" s="1115">
        <v>2035</v>
      </c>
    </row>
    <row customHeight="1" ht="11.25">
      <c r="A38" s="1069" t="s">
        <v>1616</v>
      </c>
      <c r="E38" s="404" t="s">
        <v>1617</v>
      </c>
      <c r="F38" s="1109" t="s">
        <v>779</v>
      </c>
      <c r="G38" s="404" t="s">
        <v>1618</v>
      </c>
      <c r="O38" s="1069" t="s">
        <v>1391</v>
      </c>
      <c r="AX38" s="1115" t="s">
        <v>1619</v>
      </c>
      <c r="AZ38" s="1115" t="s">
        <v>1300</v>
      </c>
      <c r="BE38" s="1115">
        <v>2036</v>
      </c>
      <c r="BH38" s="1062" t="s">
        <v>1620</v>
      </c>
      <c r="BJ38" s="1062" t="s">
        <v>1621</v>
      </c>
      <c r="BL38" s="1062" t="s">
        <v>1622</v>
      </c>
      <c r="BN38" s="1062" t="s">
        <v>1623</v>
      </c>
    </row>
    <row customHeight="1" ht="11.25">
      <c r="A39" s="1069" t="s">
        <v>1624</v>
      </c>
      <c r="E39" s="404" t="s">
        <v>1625</v>
      </c>
      <c r="F39" s="1109" t="s">
        <v>831</v>
      </c>
      <c r="G39" s="404" t="s">
        <v>1626</v>
      </c>
      <c r="O39" s="1069" t="s">
        <v>1407</v>
      </c>
      <c r="AX39" s="1115" t="s">
        <v>1627</v>
      </c>
      <c r="AZ39" s="1115" t="s">
        <v>1333</v>
      </c>
      <c r="BE39" s="1115">
        <v>2037</v>
      </c>
      <c r="BH39" s="1063" t="s">
        <v>1628</v>
      </c>
      <c r="BJ39" s="1216" t="s">
        <v>1628</v>
      </c>
      <c r="BL39" s="1216" t="s">
        <v>1628</v>
      </c>
      <c r="BN39" s="1063" t="s">
        <v>1629</v>
      </c>
    </row>
    <row customHeight="1" ht="11.25">
      <c r="A40" s="1069" t="s">
        <v>1630</v>
      </c>
      <c r="E40" s="404" t="s">
        <v>1631</v>
      </c>
      <c r="F40" s="1109" t="s">
        <v>817</v>
      </c>
      <c r="G40" s="404" t="s">
        <v>1632</v>
      </c>
      <c r="O40" s="1069" t="s">
        <v>479</v>
      </c>
      <c r="AX40" s="1115" t="s">
        <v>1633</v>
      </c>
      <c r="BE40" s="1115">
        <v>2038</v>
      </c>
      <c r="BH40" s="1063" t="s">
        <v>1634</v>
      </c>
      <c r="BJ40" s="1216" t="s">
        <v>952</v>
      </c>
      <c r="BL40" s="1216" t="s">
        <v>952</v>
      </c>
      <c r="BN40" s="1063" t="s">
        <v>986</v>
      </c>
    </row>
    <row customHeight="1" ht="11.25">
      <c r="A41" s="1069" t="s">
        <v>1635</v>
      </c>
      <c r="E41" s="404" t="s">
        <v>1636</v>
      </c>
      <c r="F41" s="1109" t="s">
        <v>1637</v>
      </c>
      <c r="G41" s="404" t="s">
        <v>1636</v>
      </c>
      <c r="O41" s="1069" t="s">
        <v>1438</v>
      </c>
      <c r="AX41" s="1115" t="s">
        <v>1638</v>
      </c>
      <c r="AZ41" s="1062" t="s">
        <v>1639</v>
      </c>
      <c r="BE41" s="1115">
        <v>2039</v>
      </c>
      <c r="BH41" s="1063" t="s">
        <v>1640</v>
      </c>
      <c r="BJ41" s="1216" t="s">
        <v>948</v>
      </c>
      <c r="BL41" s="1216" t="s">
        <v>948</v>
      </c>
      <c r="BN41" s="1063" t="s">
        <v>973</v>
      </c>
    </row>
    <row customHeight="1" ht="11.25">
      <c r="A42" s="1069" t="s">
        <v>1641</v>
      </c>
      <c r="AX42" s="1115" t="s">
        <v>1642</v>
      </c>
      <c r="AZ42" s="1115" t="s">
        <v>460</v>
      </c>
      <c r="BE42" s="1115">
        <v>2040</v>
      </c>
      <c r="BH42" s="1063" t="s">
        <v>970</v>
      </c>
      <c r="BJ42" s="1216" t="s">
        <v>950</v>
      </c>
      <c r="BL42" s="1216" t="s">
        <v>950</v>
      </c>
      <c r="BN42" s="1063" t="s">
        <v>1643</v>
      </c>
    </row>
    <row customHeight="1" ht="11.25">
      <c r="A43" s="1069" t="s">
        <v>1644</v>
      </c>
      <c r="AX43" s="1115" t="s">
        <v>1645</v>
      </c>
      <c r="AZ43" s="1115" t="s">
        <v>1265</v>
      </c>
      <c r="BE43" s="1115">
        <v>2041</v>
      </c>
      <c r="BH43" s="1063" t="s">
        <v>1646</v>
      </c>
      <c r="BJ43" s="1216" t="s">
        <v>1640</v>
      </c>
      <c r="BL43" s="1216" t="s">
        <v>1640</v>
      </c>
      <c r="BN43" s="1063" t="s">
        <v>1647</v>
      </c>
    </row>
    <row customHeight="1" ht="11.25">
      <c r="A44" s="1069" t="s">
        <v>1648</v>
      </c>
      <c r="I44" s="793" t="s">
        <v>1649</v>
      </c>
      <c r="J44" s="1084" t="s">
        <v>1650</v>
      </c>
      <c r="K44" s="1084" t="s">
        <v>1651</v>
      </c>
      <c r="AX44" s="1115" t="s">
        <v>1652</v>
      </c>
      <c r="AZ44" s="1115" t="s">
        <v>1299</v>
      </c>
      <c r="BE44" s="1115">
        <v>2042</v>
      </c>
      <c r="BH44" s="1063" t="s">
        <v>1653</v>
      </c>
      <c r="BJ44" s="1216" t="s">
        <v>970</v>
      </c>
      <c r="BL44" s="1216" t="s">
        <v>970</v>
      </c>
      <c r="BN44" s="1063" t="s">
        <v>1654</v>
      </c>
    </row>
    <row customHeight="1" ht="11.25">
      <c r="A45" s="1069" t="s">
        <v>1655</v>
      </c>
      <c r="D45" s="1105" t="s">
        <v>1656</v>
      </c>
      <c r="E45" s="1106" t="s">
        <v>1657</v>
      </c>
      <c r="F45" s="791" t="s">
        <v>1658</v>
      </c>
      <c r="G45" s="790" t="s">
        <v>1659</v>
      </c>
      <c r="H45" s="793" t="s">
        <v>1660</v>
      </c>
      <c r="I45" s="1765">
        <f>INDEX(PeriodIsEmptyList,MATCH(TEMPLATE_GROUP,CodeTemplateList,0),1)</f>
        <v>0</v>
      </c>
      <c r="J45" s="1768" t="str">
        <f>INDEX(NameTemplatesInTitleList,MATCH(TEMPLATE_GROUP,CodeTemplateList,0),1)</f>
        <v>Показатели, подлежащие раскрытию в сфере теплоснабжения (цены и тарифы)</v>
      </c>
      <c r="K45" s="1768"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15" t="s">
        <v>1661</v>
      </c>
      <c r="AZ45" s="1115" t="s">
        <v>1332</v>
      </c>
      <c r="BE45" s="1115">
        <v>2043</v>
      </c>
      <c r="BH45" s="1063" t="s">
        <v>1662</v>
      </c>
      <c r="BJ45" s="1216" t="s">
        <v>964</v>
      </c>
      <c r="BL45" s="1216" t="s">
        <v>964</v>
      </c>
      <c r="BN45" s="1063" t="s">
        <v>1663</v>
      </c>
    </row>
    <row customHeight="1" ht="11.25">
      <c r="A46" s="1069" t="s">
        <v>1664</v>
      </c>
      <c r="E46" s="404" t="s">
        <v>22</v>
      </c>
      <c r="F46" s="1108" t="s">
        <v>1665</v>
      </c>
      <c r="G46" s="1110"/>
      <c r="H46" s="1110"/>
      <c r="I46" s="1766">
        <f>IF(TITLE_DATE_FIL="",TRUE,FALSE)</f>
        <v>1</v>
      </c>
      <c r="J46" s="1769" t="str">
        <f>"Общая информация о регулируемой организации ("&amp;TEMPLATE_SPHERE_RUS&amp;")"</f>
        <v>Общая информация о регулируемой организации (теплоснабжения)</v>
      </c>
      <c r="K46" s="1770"/>
      <c r="AX46" s="1115" t="s">
        <v>1666</v>
      </c>
      <c r="AZ46" s="1115" t="s">
        <v>1356</v>
      </c>
      <c r="BE46" s="1115">
        <v>2044</v>
      </c>
      <c r="BH46" s="1063" t="s">
        <v>973</v>
      </c>
      <c r="BJ46" s="1216" t="s">
        <v>954</v>
      </c>
      <c r="BL46" s="1216" t="s">
        <v>954</v>
      </c>
      <c r="BN46" s="1063" t="s">
        <v>1667</v>
      </c>
    </row>
    <row customHeight="1" ht="11.25">
      <c r="A47" s="1069" t="s">
        <v>1668</v>
      </c>
      <c r="E47" s="404" t="s">
        <v>29</v>
      </c>
      <c r="F47" s="1109" t="s">
        <v>1669</v>
      </c>
      <c r="G47" s="1111" t="str">
        <f>IF(f_year="","",IF(LEN(f_quart)=0,"",IF(f_quart="I квартал","01.01."&amp;f_year,IF(f_quart="II квартал","01.04."&amp;f_year,(IF(f_quart="III квартал","01.07."&amp;f_year,"01.10."&amp;f_year))))))</f>
        <v/>
      </c>
      <c r="H47" s="1111" t="str">
        <f>IF(f_year="","",IF(LEN(f_quart)=0,"",IF(f_quart="I квартал","31.03."&amp;f_year,IF(f_quart="II квартал","30.06."&amp;f_year,(IF(f_quart="III квартал","30.09."&amp;f_year,"31.12."&amp;f_year))))))</f>
        <v/>
      </c>
      <c r="I47" s="1767">
        <f>IF(OR(f_year="",f_quart=""),TRUE,FALSE)</f>
        <v>1</v>
      </c>
      <c r="J47" s="1769"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70"/>
      <c r="AX47" s="1115" t="s">
        <v>1670</v>
      </c>
      <c r="AZ47" s="1115" t="s">
        <v>1375</v>
      </c>
      <c r="BE47" s="1115">
        <v>2045</v>
      </c>
      <c r="BH47" s="1063" t="s">
        <v>1643</v>
      </c>
      <c r="BJ47" s="1216" t="s">
        <v>956</v>
      </c>
      <c r="BL47" s="1216" t="s">
        <v>956</v>
      </c>
      <c r="BN47" s="1063" t="s">
        <v>1671</v>
      </c>
    </row>
    <row customHeight="1" ht="11.25">
      <c r="A48" s="1069" t="s">
        <v>1672</v>
      </c>
      <c r="E48" s="404" t="s">
        <v>1673</v>
      </c>
      <c r="F48" s="1109" t="s">
        <v>1674</v>
      </c>
      <c r="G48" s="1111" t="str">
        <f>IF(f_year="","","01.01."&amp;f_year)</f>
        <v/>
      </c>
      <c r="H48" s="1111" t="str">
        <f>IF(f_year="","","31.12."&amp;f_year)</f>
        <v/>
      </c>
      <c r="I48" s="1766">
        <f>IF(f_year="",TRUE,FALSE)</f>
        <v>1</v>
      </c>
      <c r="J48" s="1769" t="s">
        <v>1675</v>
      </c>
      <c r="K48" s="1770"/>
      <c r="AX48" s="1115" t="s">
        <v>1676</v>
      </c>
      <c r="AZ48" s="1115" t="s">
        <v>1391</v>
      </c>
      <c r="BE48" s="1115">
        <v>2046</v>
      </c>
      <c r="BH48" s="1063" t="s">
        <v>1647</v>
      </c>
      <c r="BJ48" s="1216" t="s">
        <v>958</v>
      </c>
      <c r="BL48" s="1216" t="s">
        <v>958</v>
      </c>
      <c r="BN48" s="1063" t="s">
        <v>1677</v>
      </c>
    </row>
    <row customHeight="1" ht="11.25">
      <c r="A49" s="1069" t="s">
        <v>1678</v>
      </c>
      <c r="E49" s="404" t="s">
        <v>1679</v>
      </c>
      <c r="F49" s="1109" t="s">
        <v>1680</v>
      </c>
      <c r="G49" s="1111" t="str">
        <f>IF(f_year="","","01.01."&amp;f_year)</f>
        <v/>
      </c>
      <c r="H49" s="1111" t="str">
        <f>IF(f_year="","","31.12."&amp;f_year)</f>
        <v/>
      </c>
      <c r="I49" s="1766">
        <f>IF(f_year="",TRUE,FALSE)</f>
        <v>1</v>
      </c>
      <c r="J49" s="1769"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70"/>
      <c r="AX49" s="1115" t="s">
        <v>1681</v>
      </c>
      <c r="AZ49" s="1115" t="s">
        <v>1407</v>
      </c>
      <c r="BE49" s="1115">
        <v>2047</v>
      </c>
      <c r="BH49" s="1063" t="s">
        <v>974</v>
      </c>
      <c r="BJ49" s="1216" t="s">
        <v>960</v>
      </c>
      <c r="BL49" s="1216" t="s">
        <v>960</v>
      </c>
    </row>
    <row customHeight="1" ht="11.25">
      <c r="A50" s="1069" t="s">
        <v>1682</v>
      </c>
      <c r="E50" s="404" t="s">
        <v>1683</v>
      </c>
      <c r="F50" s="1109" t="s">
        <v>944</v>
      </c>
      <c r="G50" s="1111" t="str">
        <f>IF(f_year="","","01.01."&amp;f_year)</f>
        <v/>
      </c>
      <c r="H50" s="1111" t="str">
        <f>IF(f_year="","","31.12."&amp;f_year)</f>
        <v/>
      </c>
      <c r="I50" s="1766">
        <f>IF(f_year="",TRUE,FALSE)</f>
        <v>1</v>
      </c>
      <c r="J50" s="1769"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70"/>
      <c r="AX50" s="1115" t="s">
        <v>1684</v>
      </c>
      <c r="AZ50" s="1115" t="s">
        <v>479</v>
      </c>
      <c r="BE50" s="1115">
        <v>2048</v>
      </c>
      <c r="BH50" s="1063" t="s">
        <v>1654</v>
      </c>
      <c r="BJ50" s="1216" t="s">
        <v>962</v>
      </c>
      <c r="BL50" s="1216" t="s">
        <v>962</v>
      </c>
    </row>
    <row customHeight="1" ht="11.25">
      <c r="A51" s="1069" t="s">
        <v>1685</v>
      </c>
      <c r="E51" s="404" t="s">
        <v>1686</v>
      </c>
      <c r="F51" s="1109" t="s">
        <v>1687</v>
      </c>
      <c r="G51" s="1111" t="str">
        <f>IF(TITLE_PERIOD_START="","",TITLE_PERIOD_START)</f>
        <v>45292.49204861111</v>
      </c>
      <c r="H51" s="1111" t="str">
        <f>IF(TITLE_PERIOD_END="","",TITLE_PERIOD_END)</f>
        <v>47118.492164351854</v>
      </c>
      <c r="I51" s="1767">
        <f>IF(OR(TITLE_PERIOD_START="",TITLE_PERIOD_END=""),TRUE,FALSE)</f>
        <v>0</v>
      </c>
      <c r="J51" s="1769"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70"/>
      <c r="AX51" s="1115" t="s">
        <v>1688</v>
      </c>
      <c r="AZ51" s="1115" t="s">
        <v>1438</v>
      </c>
      <c r="BE51" s="1115">
        <v>2049</v>
      </c>
      <c r="BH51" s="1063" t="s">
        <v>1663</v>
      </c>
      <c r="BJ51" s="1216" t="s">
        <v>1689</v>
      </c>
      <c r="BL51" s="1216" t="s">
        <v>1689</v>
      </c>
    </row>
    <row customHeight="1" ht="11.25">
      <c r="A52" s="1069" t="s">
        <v>1690</v>
      </c>
      <c r="E52" s="404" t="s">
        <v>1691</v>
      </c>
      <c r="F52" s="1109" t="s">
        <v>1657</v>
      </c>
      <c r="G52" s="1111" t="str">
        <f>IF(TITLE_PERIOD_START="","",TITLE_PERIOD_START)</f>
        <v>45292.49204861111</v>
      </c>
      <c r="H52" s="1111" t="str">
        <f>IF(TITLE_PERIOD_END="","",TITLE_PERIOD_END)</f>
        <v>47118.492164351854</v>
      </c>
      <c r="I52" s="1767">
        <f>IF(OR(TITLE_PERIOD_START="",TITLE_PERIOD_END=""),TRUE,FALSE)</f>
        <v>0</v>
      </c>
      <c r="J52" s="1769" t="str">
        <f>"Показатели, подлежащие раскрытию в сфере "&amp;TEMPLATE_SPHERE_RUS&amp;" (цены и тарифы)"</f>
        <v>Показатели, подлежащие раскрытию в сфере теплоснабжения (цены и тарифы)</v>
      </c>
      <c r="K52" s="1770"/>
      <c r="AX52" s="1115" t="s">
        <v>1692</v>
      </c>
      <c r="AZ52" s="1115" t="s">
        <v>459</v>
      </c>
      <c r="BE52" s="1115">
        <v>2050</v>
      </c>
      <c r="BH52" s="1063" t="s">
        <v>1667</v>
      </c>
      <c r="BJ52" s="1216" t="s">
        <v>973</v>
      </c>
      <c r="BL52" s="1216" t="s">
        <v>973</v>
      </c>
    </row>
    <row customHeight="1" ht="11.25">
      <c r="A53" s="1069" t="s">
        <v>1693</v>
      </c>
      <c r="E53" s="404" t="s">
        <v>1694</v>
      </c>
      <c r="F53" s="1109" t="s">
        <v>1694</v>
      </c>
      <c r="G53" s="1111" t="str">
        <f>IF(f_year="","","01.01."&amp;f_year)</f>
        <v/>
      </c>
      <c r="H53" s="1111" t="str">
        <f>IF(f_year="","","31.12."&amp;f_year)</f>
        <v/>
      </c>
      <c r="I53" s="1766">
        <f>IF(AND(f_year="",TITLE_DATE_FIL=""),TRUE,FALSE)</f>
        <v>1</v>
      </c>
      <c r="J53" s="1769" t="s">
        <v>1695</v>
      </c>
      <c r="K53" s="1770"/>
      <c r="AX53" s="1115" t="s">
        <v>1696</v>
      </c>
      <c r="BE53" s="1115">
        <v>2051</v>
      </c>
      <c r="BH53" s="1063" t="s">
        <v>1671</v>
      </c>
      <c r="BJ53" s="1216" t="s">
        <v>1643</v>
      </c>
      <c r="BL53" s="1216" t="s">
        <v>1643</v>
      </c>
    </row>
    <row customHeight="1" ht="11.25">
      <c r="A54" s="1069" t="s">
        <v>1697</v>
      </c>
      <c r="AX54" s="1115" t="s">
        <v>1698</v>
      </c>
      <c r="AZ54" s="1062" t="s">
        <v>1699</v>
      </c>
      <c r="BE54" s="1115">
        <v>2052</v>
      </c>
      <c r="BH54" s="1063" t="s">
        <v>1677</v>
      </c>
      <c r="BJ54" s="1216" t="s">
        <v>1647</v>
      </c>
      <c r="BL54" s="1216" t="s">
        <v>1647</v>
      </c>
    </row>
    <row customHeight="1" ht="11.25">
      <c r="A55" s="1069" t="s">
        <v>1700</v>
      </c>
      <c r="AX55" s="1115" t="s">
        <v>1701</v>
      </c>
      <c r="AZ55" s="1115" t="s">
        <v>1242</v>
      </c>
      <c r="BE55" s="1115">
        <v>2053</v>
      </c>
      <c r="BH55" s="1065" t="s">
        <v>24</v>
      </c>
      <c r="BJ55" s="1216" t="s">
        <v>974</v>
      </c>
      <c r="BL55" s="1216" t="s">
        <v>974</v>
      </c>
    </row>
    <row customHeight="1" ht="11.25">
      <c r="A56" s="1069" t="s">
        <v>1702</v>
      </c>
      <c r="D56" s="1113" t="s">
        <v>1703</v>
      </c>
      <c r="E56" s="1089">
        <v>55</v>
      </c>
      <c r="F56" s="1069" t="s">
        <v>1704</v>
      </c>
      <c r="AX56" s="1115" t="s">
        <v>1705</v>
      </c>
      <c r="AZ56" s="1115" t="s">
        <v>1268</v>
      </c>
      <c r="BE56" s="1115">
        <v>2054</v>
      </c>
      <c r="BH56" s="1065" t="s">
        <v>24</v>
      </c>
      <c r="BJ56" s="1216" t="s">
        <v>1654</v>
      </c>
      <c r="BL56" s="1216" t="s">
        <v>1654</v>
      </c>
    </row>
    <row customHeight="1" ht="11.25">
      <c r="A57" s="1069" t="s">
        <v>1706</v>
      </c>
      <c r="D57" s="1113" t="s">
        <v>1707</v>
      </c>
      <c r="E57" s="1089">
        <v>66</v>
      </c>
      <c r="F57" s="1069" t="s">
        <v>1704</v>
      </c>
      <c r="AX57" s="1115" t="s">
        <v>1708</v>
      </c>
      <c r="AZ57" s="1115" t="s">
        <v>1302</v>
      </c>
      <c r="BE57" s="1115">
        <v>2055</v>
      </c>
      <c r="BJ57" s="1216" t="s">
        <v>1663</v>
      </c>
      <c r="BL57" s="1216" t="s">
        <v>1663</v>
      </c>
    </row>
    <row customHeight="1" ht="11.25">
      <c r="A58" s="1069" t="s">
        <v>1709</v>
      </c>
      <c r="D58" s="1113" t="s">
        <v>1710</v>
      </c>
      <c r="E58" s="1089">
        <v>44</v>
      </c>
      <c r="F58" s="1069" t="s">
        <v>1704</v>
      </c>
      <c r="AX58" s="1115" t="s">
        <v>1711</v>
      </c>
      <c r="BE58" s="1115">
        <v>2056</v>
      </c>
      <c r="BJ58" s="1216" t="s">
        <v>1667</v>
      </c>
      <c r="BL58" s="1216" t="s">
        <v>1667</v>
      </c>
    </row>
    <row customHeight="1" ht="11.25">
      <c r="A59" s="1069" t="s">
        <v>1712</v>
      </c>
      <c r="D59" s="1113" t="s">
        <v>130</v>
      </c>
      <c r="E59" s="1089" t="s">
        <v>1534</v>
      </c>
      <c r="F59" s="1069" t="s">
        <v>1713</v>
      </c>
      <c r="AX59" s="1115" t="s">
        <v>1714</v>
      </c>
      <c r="AZ59" s="1062" t="s">
        <v>1715</v>
      </c>
      <c r="BE59" s="1115">
        <v>2057</v>
      </c>
      <c r="BJ59" s="1216" t="s">
        <v>1671</v>
      </c>
      <c r="BL59" s="1216" t="s">
        <v>1671</v>
      </c>
    </row>
    <row customHeight="1" ht="11.25">
      <c r="A60" s="1069" t="s">
        <v>1716</v>
      </c>
      <c r="D60" s="1113" t="s">
        <v>1717</v>
      </c>
      <c r="E60" s="1089" t="s">
        <v>1534</v>
      </c>
      <c r="F60" s="1069" t="s">
        <v>1713</v>
      </c>
      <c r="AX60" s="1115" t="s">
        <v>1718</v>
      </c>
      <c r="AZ60" s="1115" t="s">
        <v>1243</v>
      </c>
      <c r="BE60" s="1115">
        <v>2058</v>
      </c>
      <c r="BJ60" s="1216" t="s">
        <v>1677</v>
      </c>
      <c r="BL60" s="1216" t="s">
        <v>1677</v>
      </c>
    </row>
    <row customHeight="1" ht="11.25">
      <c r="A61" s="1069" t="s">
        <v>1719</v>
      </c>
      <c r="D61" s="1113" t="s">
        <v>1720</v>
      </c>
      <c r="E61" s="1089">
        <v>29</v>
      </c>
      <c r="F61" s="1069" t="s">
        <v>1713</v>
      </c>
      <c r="AX61" s="1115" t="s">
        <v>1721</v>
      </c>
      <c r="AZ61" s="1115" t="s">
        <v>1269</v>
      </c>
      <c r="BE61" s="1115">
        <v>2059</v>
      </c>
      <c r="BL61" s="1216" t="s">
        <v>966</v>
      </c>
    </row>
    <row customHeight="1" ht="11.25">
      <c r="A62" s="1069" t="s">
        <v>1722</v>
      </c>
      <c r="D62" s="1113" t="s">
        <v>129</v>
      </c>
      <c r="E62" s="1089">
        <v>33</v>
      </c>
      <c r="F62" s="1069" t="s">
        <v>1713</v>
      </c>
      <c r="AZ62" s="1115" t="s">
        <v>1303</v>
      </c>
      <c r="BE62" s="1115">
        <v>2060</v>
      </c>
      <c r="BL62" s="1216" t="s">
        <v>968</v>
      </c>
    </row>
    <row customHeight="1" ht="11.25">
      <c r="A63" s="1069" t="s">
        <v>1723</v>
      </c>
      <c r="D63" s="1113" t="s">
        <v>1724</v>
      </c>
      <c r="E63" s="1089">
        <v>33</v>
      </c>
      <c r="F63" s="1069" t="s">
        <v>1713</v>
      </c>
      <c r="AZ63" s="1115" t="s">
        <v>1334</v>
      </c>
      <c r="BE63" s="1115">
        <v>2061</v>
      </c>
    </row>
    <row customHeight="1" ht="11.25">
      <c r="A64" s="1069" t="s">
        <v>1725</v>
      </c>
      <c r="D64" s="1113" t="s">
        <v>1726</v>
      </c>
      <c r="E64" s="1089">
        <v>33</v>
      </c>
      <c r="F64" s="1069" t="s">
        <v>1713</v>
      </c>
      <c r="AZ64" s="1115" t="s">
        <v>1357</v>
      </c>
      <c r="BE64" s="1115">
        <v>2062</v>
      </c>
    </row>
    <row customHeight="1" ht="11.25">
      <c r="A65" s="1069" t="s">
        <v>1727</v>
      </c>
      <c r="D65" s="1069"/>
      <c r="BE65" s="1115">
        <v>2063</v>
      </c>
    </row>
    <row customHeight="1" ht="11.25">
      <c r="A66" s="1069" t="s">
        <v>1728</v>
      </c>
      <c r="AZ66" s="1062" t="s">
        <v>1729</v>
      </c>
      <c r="BE66" s="1115">
        <v>2064</v>
      </c>
    </row>
    <row customHeight="1" ht="11.25">
      <c r="A67" s="1069" t="s">
        <v>1730</v>
      </c>
      <c r="AZ67" s="1115" t="s">
        <v>1244</v>
      </c>
      <c r="BE67" s="1115">
        <v>2065</v>
      </c>
    </row>
    <row customHeight="1" ht="11.25">
      <c r="A68" s="1069" t="s">
        <v>1731</v>
      </c>
      <c r="AZ68" s="1115" t="s">
        <v>1270</v>
      </c>
      <c r="BE68" s="1115">
        <v>2066</v>
      </c>
      <c r="BH68" s="1062" t="s">
        <v>1732</v>
      </c>
      <c r="BJ68" s="1062" t="s">
        <v>1733</v>
      </c>
      <c r="BL68" s="1062" t="s">
        <v>1734</v>
      </c>
      <c r="BN68" s="1062" t="s">
        <v>1735</v>
      </c>
    </row>
    <row customHeight="1" ht="11.25">
      <c r="A69" s="1069" t="s">
        <v>1736</v>
      </c>
      <c r="AZ69" s="1115" t="s">
        <v>1304</v>
      </c>
      <c r="BE69" s="1115">
        <v>2067</v>
      </c>
      <c r="BH69" s="1063" t="s">
        <v>1737</v>
      </c>
      <c r="BI69" s="1112" t="s">
        <v>108</v>
      </c>
      <c r="BJ69" s="1063" t="s">
        <v>1738</v>
      </c>
      <c r="BK69" s="1112" t="s">
        <v>108</v>
      </c>
      <c r="BL69" s="1063" t="s">
        <v>1739</v>
      </c>
      <c r="BN69" s="1063" t="s">
        <v>1740</v>
      </c>
    </row>
    <row customHeight="1" ht="11.25">
      <c r="A70" s="1069" t="s">
        <v>1741</v>
      </c>
      <c r="AZ70" s="1115" t="s">
        <v>1335</v>
      </c>
      <c r="BE70" s="1115">
        <v>2068</v>
      </c>
      <c r="BH70" s="1063" t="s">
        <v>1742</v>
      </c>
      <c r="BJ70" s="1063" t="s">
        <v>1743</v>
      </c>
      <c r="BL70" s="1063" t="s">
        <v>1744</v>
      </c>
      <c r="BN70" s="1063" t="s">
        <v>1745</v>
      </c>
    </row>
    <row customHeight="1" ht="11.25">
      <c r="A71" s="1069" t="s">
        <v>1746</v>
      </c>
      <c r="AZ71" s="1115" t="s">
        <v>1337</v>
      </c>
      <c r="BE71" s="1115">
        <v>2069</v>
      </c>
      <c r="BH71" s="1063" t="s">
        <v>1747</v>
      </c>
      <c r="BI71" s="1112" t="s">
        <v>89</v>
      </c>
      <c r="BJ71" s="1063" t="s">
        <v>1748</v>
      </c>
      <c r="BK71" s="1112" t="s">
        <v>89</v>
      </c>
      <c r="BL71" s="1063" t="s">
        <v>1749</v>
      </c>
      <c r="BN71" s="1063" t="s">
        <v>1750</v>
      </c>
    </row>
    <row customHeight="1" ht="11.25">
      <c r="A72" s="1069" t="s">
        <v>1751</v>
      </c>
      <c r="AZ72" s="1115" t="s">
        <v>56</v>
      </c>
      <c r="BE72" s="1115">
        <v>2070</v>
      </c>
      <c r="BH72" s="1063" t="s">
        <v>1752</v>
      </c>
      <c r="BJ72" s="1063" t="s">
        <v>1752</v>
      </c>
      <c r="BL72" s="1063" t="s">
        <v>1752</v>
      </c>
      <c r="BN72" s="1063" t="s">
        <v>1753</v>
      </c>
    </row>
    <row customHeight="1" ht="11.25">
      <c r="A73" s="1069" t="s">
        <v>1754</v>
      </c>
      <c r="BH73" s="1063" t="s">
        <v>1755</v>
      </c>
      <c r="BI73" s="1112" t="s">
        <v>110</v>
      </c>
      <c r="BJ73" s="1063" t="s">
        <v>1756</v>
      </c>
      <c r="BK73" s="1112" t="s">
        <v>110</v>
      </c>
      <c r="BL73" s="1063" t="s">
        <v>1757</v>
      </c>
      <c r="BN73" s="1063" t="s">
        <v>1758</v>
      </c>
    </row>
    <row customHeight="1" ht="11.25">
      <c r="A74" s="1069" t="s">
        <v>1759</v>
      </c>
      <c r="BH74" s="1063" t="s">
        <v>1760</v>
      </c>
      <c r="BJ74" s="1063" t="s">
        <v>1761</v>
      </c>
      <c r="BL74" s="1063" t="s">
        <v>1762</v>
      </c>
      <c r="BN74" s="1063" t="s">
        <v>1763</v>
      </c>
    </row>
    <row customHeight="1" ht="11.25">
      <c r="A75" s="1069" t="s">
        <v>1764</v>
      </c>
      <c r="AZ75" s="1062" t="s">
        <v>1765</v>
      </c>
      <c r="BH75" s="1063" t="s">
        <v>1766</v>
      </c>
      <c r="BJ75" s="1063" t="s">
        <v>1766</v>
      </c>
      <c r="BL75" s="1063" t="s">
        <v>1766</v>
      </c>
    </row>
    <row customHeight="1" ht="11.25">
      <c r="A76" s="1069" t="s">
        <v>1767</v>
      </c>
      <c r="AZ76" s="1115" t="s">
        <v>1252</v>
      </c>
      <c r="BH76" s="1063" t="s">
        <v>1768</v>
      </c>
      <c r="BJ76" s="1063" t="s">
        <v>1769</v>
      </c>
      <c r="BL76" s="1063" t="s">
        <v>1770</v>
      </c>
    </row>
    <row customHeight="1" ht="11.25">
      <c r="A77" s="1069" t="s">
        <v>1771</v>
      </c>
      <c r="AZ77" s="1115" t="s">
        <v>1280</v>
      </c>
    </row>
    <row customHeight="1" ht="11.25">
      <c r="A78" s="1069" t="s">
        <v>1772</v>
      </c>
      <c r="AZ78" s="1115" t="s">
        <v>1311</v>
      </c>
    </row>
    <row customHeight="1" ht="11.25">
      <c r="A79" s="1069" t="s">
        <v>1773</v>
      </c>
      <c r="AZ79" s="1115" t="s">
        <v>1341</v>
      </c>
      <c r="BH79" s="1062" t="s">
        <v>1774</v>
      </c>
      <c r="BJ79" s="1062" t="s">
        <v>1775</v>
      </c>
      <c r="BL79" s="1062" t="s">
        <v>1776</v>
      </c>
    </row>
    <row customHeight="1" ht="11.25">
      <c r="A80" s="1069" t="s">
        <v>1777</v>
      </c>
      <c r="AZ80" s="1115" t="s">
        <v>1362</v>
      </c>
      <c r="BH80" s="1063" t="s">
        <v>1778</v>
      </c>
      <c r="BJ80" s="1063" t="s">
        <v>1779</v>
      </c>
      <c r="BL80" s="1063" t="s">
        <v>1780</v>
      </c>
    </row>
    <row customHeight="1" ht="11.25">
      <c r="A81" s="1069" t="s">
        <v>1781</v>
      </c>
      <c r="AZ81" s="1115" t="s">
        <v>1379</v>
      </c>
      <c r="BH81" s="1063" t="s">
        <v>1782</v>
      </c>
      <c r="BJ81" s="1063" t="s">
        <v>1783</v>
      </c>
      <c r="BL81" s="1063" t="s">
        <v>1784</v>
      </c>
    </row>
    <row customHeight="1" ht="11.25">
      <c r="A82" s="1069" t="s">
        <v>1785</v>
      </c>
      <c r="AZ82" s="1115" t="s">
        <v>1393</v>
      </c>
      <c r="BH82" s="1063" t="s">
        <v>1786</v>
      </c>
      <c r="BJ82" s="1063" t="s">
        <v>1787</v>
      </c>
      <c r="BL82" s="1063" t="s">
        <v>1788</v>
      </c>
    </row>
    <row customHeight="1" ht="11.25">
      <c r="A83" s="1069" t="s">
        <v>1789</v>
      </c>
      <c r="BH83" s="1063" t="s">
        <v>1790</v>
      </c>
      <c r="BJ83" s="1063" t="s">
        <v>1791</v>
      </c>
      <c r="BL83" s="1063" t="s">
        <v>1792</v>
      </c>
    </row>
    <row customHeight="1" ht="11.25">
      <c r="A84" s="1069" t="s">
        <v>1793</v>
      </c>
      <c r="AZ84" s="1062" t="s">
        <v>1794</v>
      </c>
    </row>
    <row customHeight="1" ht="11.25">
      <c r="A85" s="1895" t="s">
        <v>1795</v>
      </c>
      <c r="AZ85" s="1115" t="s">
        <v>1796</v>
      </c>
    </row>
    <row customHeight="1" ht="11.25">
      <c r="A86" s="1069" t="s">
        <v>1797</v>
      </c>
      <c r="AZ86" s="1115" t="s">
        <v>1798</v>
      </c>
      <c r="BH86" s="1062" t="s">
        <v>1799</v>
      </c>
      <c r="BJ86" s="1062" t="s">
        <v>1800</v>
      </c>
      <c r="BL86" s="1062" t="s">
        <v>1801</v>
      </c>
    </row>
    <row customHeight="1" ht="11.25">
      <c r="A87" s="1069" t="s">
        <v>1802</v>
      </c>
      <c r="AZ87" s="1115" t="s">
        <v>1803</v>
      </c>
      <c r="BH87" s="1063" t="s">
        <v>1804</v>
      </c>
      <c r="BJ87" s="1063" t="s">
        <v>1805</v>
      </c>
      <c r="BL87" s="1063" t="s">
        <v>1806</v>
      </c>
    </row>
    <row customHeight="1" ht="11.25">
      <c r="A88" s="1069" t="s">
        <v>1807</v>
      </c>
      <c r="AZ88" s="0"/>
      <c r="BH88" s="1063" t="s">
        <v>1808</v>
      </c>
      <c r="BJ88" s="1063" t="s">
        <v>1809</v>
      </c>
      <c r="BL88" s="1063" t="s">
        <v>1810</v>
      </c>
    </row>
    <row customHeight="1" ht="11.25">
      <c r="A89" s="1069" t="s">
        <v>1811</v>
      </c>
      <c r="AZ89" s="1062" t="s">
        <v>1812</v>
      </c>
    </row>
    <row customHeight="1" ht="11.25">
      <c r="A90" s="1069" t="s">
        <v>1813</v>
      </c>
      <c r="AZ90" s="1115" t="s">
        <v>944</v>
      </c>
    </row>
    <row customHeight="1" ht="11.25">
      <c r="A91" s="1069" t="s">
        <v>1814</v>
      </c>
      <c r="AZ91" s="1115" t="s">
        <v>980</v>
      </c>
      <c r="BH91" s="1062" t="s">
        <v>1815</v>
      </c>
      <c r="BJ91" s="1062" t="s">
        <v>1816</v>
      </c>
      <c r="BL91" s="1062" t="s">
        <v>1817</v>
      </c>
    </row>
    <row customHeight="1" ht="11.25">
      <c r="AZ92" s="1115" t="s">
        <v>1818</v>
      </c>
      <c r="BH92" s="1063" t="s">
        <v>1819</v>
      </c>
      <c r="BJ92" s="1063" t="s">
        <v>1820</v>
      </c>
      <c r="BL92" s="1063" t="s">
        <v>1821</v>
      </c>
    </row>
    <row customHeight="1" ht="11.25">
      <c r="AZ93" s="1115" t="s">
        <v>1822</v>
      </c>
      <c r="BH93" s="1063" t="s">
        <v>1823</v>
      </c>
      <c r="BJ93" s="1063" t="s">
        <v>1824</v>
      </c>
      <c r="BL93" s="1063" t="s">
        <v>1825</v>
      </c>
    </row>
    <row customHeight="1" ht="11.25">
      <c r="AZ94" s="1115" t="s">
        <v>1826</v>
      </c>
    </row>
    <row r="96" customHeight="1" ht="11.25">
      <c r="AZ96" s="1062" t="s">
        <v>1827</v>
      </c>
      <c r="BH96" s="1062" t="s">
        <v>1828</v>
      </c>
      <c r="BJ96" s="1062" t="s">
        <v>1829</v>
      </c>
      <c r="BL96" s="1062" t="s">
        <v>1830</v>
      </c>
      <c r="BN96" s="1062" t="s">
        <v>1831</v>
      </c>
    </row>
    <row customHeight="1" ht="11.25">
      <c r="AZ97" s="1115" t="s">
        <v>1832</v>
      </c>
      <c r="BH97" s="1063" t="s">
        <v>1833</v>
      </c>
      <c r="BJ97" s="1063" t="s">
        <v>1834</v>
      </c>
      <c r="BL97" s="1063" t="s">
        <v>1835</v>
      </c>
      <c r="BN97" s="1063" t="s">
        <v>1836</v>
      </c>
    </row>
    <row customHeight="1" ht="11.25">
      <c r="AZ98" s="1115" t="s">
        <v>1837</v>
      </c>
      <c r="BH98" s="1063" t="s">
        <v>1838</v>
      </c>
      <c r="BJ98" s="1063" t="s">
        <v>1839</v>
      </c>
      <c r="BL98" s="1063" t="s">
        <v>1840</v>
      </c>
      <c r="BN98" s="1063" t="s">
        <v>1841</v>
      </c>
    </row>
    <row customHeight="1" ht="11.25">
      <c r="AZ99" s="1115" t="s">
        <v>1842</v>
      </c>
      <c r="BH99" s="1063" t="s">
        <v>1843</v>
      </c>
      <c r="BJ99" s="1063" t="s">
        <v>1844</v>
      </c>
      <c r="BL99" s="1063" t="s">
        <v>1845</v>
      </c>
      <c r="BN99" s="1063" t="s">
        <v>1846</v>
      </c>
    </row>
    <row customHeight="1" ht="11.25">
      <c r="BJ100" s="1063" t="s">
        <v>1438</v>
      </c>
      <c r="BL100" s="1063" t="s">
        <v>1438</v>
      </c>
      <c r="BN100" s="1063" t="s">
        <v>1847</v>
      </c>
    </row>
    <row customHeight="1" ht="11.25">
      <c r="AZ101" s="1716" t="s">
        <v>1848</v>
      </c>
      <c r="BN101" s="1063" t="s">
        <v>1849</v>
      </c>
    </row>
    <row customHeight="1" ht="11.25">
      <c r="AZ102" s="1115" t="s">
        <v>1850</v>
      </c>
      <c r="BN102" s="1063" t="s">
        <v>1851</v>
      </c>
    </row>
    <row customHeight="1" ht="11.25">
      <c r="AZ103" s="1115" t="s">
        <v>1852</v>
      </c>
      <c r="BN103" s="1063" t="s">
        <v>1853</v>
      </c>
    </row>
    <row customHeight="1" ht="11.25">
      <c r="AZ104" s="1115" t="s">
        <v>582</v>
      </c>
      <c r="BN104" s="1063" t="s">
        <v>1854</v>
      </c>
    </row>
    <row r="107" customHeight="1" ht="11.25">
      <c r="BH107" s="1062" t="s">
        <v>1855</v>
      </c>
      <c r="BJ107" s="1062" t="s">
        <v>1856</v>
      </c>
      <c r="BL107" s="1062" t="s">
        <v>1857</v>
      </c>
      <c r="BN107" s="1062" t="s">
        <v>1858</v>
      </c>
    </row>
    <row customHeight="1" ht="11.25">
      <c r="BH108" s="1063" t="s">
        <v>1859</v>
      </c>
      <c r="BJ108" s="1063" t="s">
        <v>1860</v>
      </c>
      <c r="BL108" s="1063" t="s">
        <v>1522</v>
      </c>
      <c r="BN108" s="1063" t="s">
        <v>1861</v>
      </c>
    </row>
    <row customHeight="1" ht="11.25">
      <c r="BH109" s="1063" t="s">
        <v>1862</v>
      </c>
    </row>
    <row customHeight="1" ht="11.25">
      <c r="BH110" s="1063" t="s">
        <v>1862</v>
      </c>
    </row>
    <row r="114" customHeight="1" ht="11.25">
      <c r="BH114" s="1062" t="s">
        <v>1863</v>
      </c>
    </row>
    <row customHeight="1" ht="11.25">
      <c r="BH115" s="1063" t="s">
        <v>459</v>
      </c>
    </row>
    <row customHeight="1" ht="11.25">
      <c r="BH116" s="1063" t="s">
        <v>463</v>
      </c>
    </row>
    <row customHeight="1" ht="11.25">
      <c r="BH117" s="1063" t="s">
        <v>1300</v>
      </c>
    </row>
    <row customHeight="1" ht="11.25">
      <c r="BH118" s="1063" t="s">
        <v>1333</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8C000E-FC7B-1DA8-7478-E7636D24BE18}"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34" width="43.140625"/>
    <col min="2" max="2" style="834" width="43.140625" hidden="1"/>
    <col min="3" max="3" style="834" width="43.140625"/>
    <col min="4" max="5" style="834" width="36.421875" customWidth="1"/>
    <col min="6" max="8" style="976" width="36.421875" customWidth="1"/>
  </cols>
  <sheetData>
    <row customHeight="1" ht="9">
      <c r="A1" s="840" t="s">
        <v>1864</v>
      </c>
      <c r="B1" s="840"/>
      <c r="C1" s="977" t="s">
        <v>1865</v>
      </c>
      <c r="D1" s="975" t="s">
        <v>733</v>
      </c>
      <c r="E1" s="975" t="s">
        <v>779</v>
      </c>
      <c r="F1" s="975" t="s">
        <v>831</v>
      </c>
      <c r="G1" s="975" t="s">
        <v>817</v>
      </c>
      <c r="H1" s="975" t="s">
        <v>1637</v>
      </c>
    </row>
    <row customHeight="1" ht="9">
      <c r="A2" s="978" t="s">
        <v>1866</v>
      </c>
      <c r="B2" s="978"/>
      <c r="C2" s="979" t="str">
        <f>INDEX(TEMPLATE_NUMBER_FORM_LIST,MATCH(TEMPLATE_SPHERE,TEMPLATE_SPHERE_LIST,0))</f>
        <v>16</v>
      </c>
      <c r="D2" s="978" t="s">
        <v>1488</v>
      </c>
      <c r="E2" s="978" t="s">
        <v>147</v>
      </c>
      <c r="F2" s="980" t="s">
        <v>147</v>
      </c>
      <c r="G2" s="978" t="s">
        <v>147</v>
      </c>
      <c r="H2" s="981"/>
    </row>
    <row customHeight="1" ht="63">
      <c r="A3" s="840"/>
      <c r="B3" s="840" t="s">
        <v>108</v>
      </c>
      <c r="C3" s="979"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79" t="s">
        <v>1867</v>
      </c>
      <c r="E3" s="979"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80"/>
      <c r="G3" s="981"/>
      <c r="H3" s="840"/>
    </row>
    <row customHeight="1" ht="243">
      <c r="A4" s="840" t="s">
        <v>1868</v>
      </c>
      <c r="B4" s="840" t="s">
        <v>109</v>
      </c>
      <c r="C4" s="979"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78" t="s">
        <v>1869</v>
      </c>
      <c r="E4" s="979"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78"/>
      <c r="G4" s="978"/>
      <c r="H4" s="840" t="s">
        <v>1870</v>
      </c>
    </row>
    <row customHeight="1" ht="117">
      <c r="A5" s="840" t="s">
        <v>1871</v>
      </c>
      <c r="B5" s="840" t="s">
        <v>89</v>
      </c>
      <c r="C5" s="979"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40" t="s">
        <v>1872</v>
      </c>
      <c r="E5" s="843"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81"/>
      <c r="G5" s="981"/>
      <c r="H5" s="840" t="s">
        <v>1873</v>
      </c>
    </row>
    <row customHeight="1" ht="45">
      <c r="A6" s="840" t="s">
        <v>1874</v>
      </c>
      <c r="B6" s="840" t="s">
        <v>90</v>
      </c>
      <c r="C6" s="979"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40" t="s">
        <v>1875</v>
      </c>
      <c r="E6" s="843"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40"/>
      <c r="G6" s="840"/>
      <c r="H6" s="981"/>
    </row>
    <row customHeight="1" ht="45">
      <c r="A7" s="840" t="s">
        <v>1876</v>
      </c>
      <c r="B7" s="840" t="s">
        <v>110</v>
      </c>
      <c r="C7" s="979" t="str">
        <f>IF(TEMPLATE_SPHERE="HEAT",D7,E7)</f>
        <v>Форма 11. Информация о расходах на капитальный и текущий ремонт основных средств</v>
      </c>
      <c r="D7" s="840" t="s">
        <v>1877</v>
      </c>
      <c r="E7" s="840" t="s">
        <v>1878</v>
      </c>
      <c r="F7" s="981"/>
      <c r="G7" s="981"/>
      <c r="H7" s="981"/>
    </row>
    <row customHeight="1" ht="108">
      <c r="A8" s="840" t="s">
        <v>1879</v>
      </c>
      <c r="B8" s="840" t="s">
        <v>91</v>
      </c>
      <c r="C8" s="979"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40" t="s">
        <v>1880</v>
      </c>
      <c r="E8" s="840" t="s">
        <v>1881</v>
      </c>
      <c r="F8" s="981"/>
      <c r="G8" s="981"/>
      <c r="H8" s="981"/>
    </row>
    <row customHeight="1" ht="99">
      <c r="A9" s="840" t="s">
        <v>1882</v>
      </c>
      <c r="B9" s="840"/>
      <c r="C9" s="840" t="s">
        <v>1883</v>
      </c>
      <c r="D9" s="840"/>
      <c r="E9" s="840"/>
      <c r="F9" s="981"/>
      <c r="G9" s="981"/>
      <c r="H9" s="981"/>
    </row>
    <row customHeight="1" ht="126">
      <c r="A10" s="840" t="s">
        <v>1884</v>
      </c>
      <c r="B10" s="840"/>
      <c r="C10" s="840" t="s">
        <v>1885</v>
      </c>
      <c r="D10" s="840"/>
      <c r="E10" s="840"/>
      <c r="F10" s="981"/>
      <c r="G10" s="981"/>
      <c r="H10" s="981"/>
    </row>
    <row customHeight="1" ht="108">
      <c r="A11" s="840" t="s">
        <v>1886</v>
      </c>
      <c r="B11" s="840"/>
      <c r="C11" s="840" t="s">
        <v>1887</v>
      </c>
      <c r="D11" s="840"/>
      <c r="E11" s="840"/>
      <c r="F11" s="981"/>
      <c r="G11" s="981"/>
      <c r="H11" s="981"/>
    </row>
    <row customHeight="1" ht="54">
      <c r="A12" s="840" t="s">
        <v>1888</v>
      </c>
      <c r="B12" s="840"/>
      <c r="C12" s="840" t="s">
        <v>1889</v>
      </c>
      <c r="D12" s="840"/>
      <c r="E12" s="840"/>
      <c r="F12" s="981"/>
      <c r="G12" s="981"/>
      <c r="H12" s="981"/>
    </row>
    <row customHeight="1" ht="45">
      <c r="A13" s="840" t="s">
        <v>1890</v>
      </c>
      <c r="B13" s="840"/>
      <c r="C13" s="840" t="s">
        <v>1891</v>
      </c>
      <c r="D13" s="840"/>
      <c r="E13" s="840"/>
      <c r="F13" s="981"/>
      <c r="G13" s="981"/>
      <c r="H13" s="981"/>
    </row>
    <row customHeight="1" ht="117">
      <c r="A14" s="840" t="s">
        <v>1892</v>
      </c>
      <c r="B14" s="840"/>
      <c r="C14" s="840" t="s">
        <v>1893</v>
      </c>
      <c r="D14" s="840"/>
      <c r="E14" s="840"/>
      <c r="F14" s="981"/>
      <c r="G14" s="981"/>
      <c r="H14" s="981"/>
    </row>
    <row customHeight="1" ht="117">
      <c r="A15" s="840" t="s">
        <v>1894</v>
      </c>
      <c r="B15" s="840"/>
      <c r="C15" s="840" t="s">
        <v>1895</v>
      </c>
      <c r="D15" s="840"/>
      <c r="E15" s="840"/>
      <c r="F15" s="981"/>
      <c r="G15" s="981"/>
      <c r="H15" s="981"/>
    </row>
    <row customHeight="1" ht="63">
      <c r="A16" s="840" t="s">
        <v>1896</v>
      </c>
      <c r="B16" s="840"/>
      <c r="C16" s="840" t="s">
        <v>1897</v>
      </c>
      <c r="D16" s="840"/>
      <c r="E16" s="840"/>
      <c r="F16" s="981"/>
      <c r="G16" s="981"/>
      <c r="H16" s="981"/>
    </row>
    <row customHeight="1" ht="54">
      <c r="A17" s="840" t="s">
        <v>1898</v>
      </c>
      <c r="B17" s="840"/>
      <c r="C17" s="979" t="s">
        <v>1899</v>
      </c>
      <c r="D17" s="840"/>
      <c r="E17" s="840"/>
      <c r="F17" s="981"/>
      <c r="G17" s="981"/>
      <c r="H17" s="981"/>
    </row>
    <row customHeight="1" ht="27">
      <c r="A18" s="840" t="s">
        <v>1900</v>
      </c>
      <c r="B18" s="840"/>
      <c r="C18" s="979" t="s">
        <v>1901</v>
      </c>
      <c r="D18" s="840"/>
      <c r="E18" s="840"/>
      <c r="F18" s="981"/>
      <c r="G18" s="981"/>
      <c r="H18" s="981"/>
    </row>
    <row customHeight="1" ht="54">
      <c r="A19" s="840" t="s">
        <v>1902</v>
      </c>
      <c r="B19" s="840"/>
      <c r="C19" s="979" t="s">
        <v>1903</v>
      </c>
      <c r="D19" s="840"/>
      <c r="E19" s="840"/>
      <c r="F19" s="981"/>
      <c r="G19" s="981"/>
      <c r="H19" s="981"/>
    </row>
    <row customHeight="1" ht="36">
      <c r="A20" s="840" t="s">
        <v>1904</v>
      </c>
      <c r="B20" s="840"/>
      <c r="C20" s="979" t="s">
        <v>1905</v>
      </c>
      <c r="D20" s="840"/>
      <c r="E20" s="840"/>
      <c r="F20" s="981"/>
      <c r="G20" s="981"/>
      <c r="H20" s="981"/>
    </row>
    <row customHeight="1" ht="36">
      <c r="A21" s="840" t="s">
        <v>1906</v>
      </c>
      <c r="B21" s="840"/>
      <c r="C21" s="979" t="s">
        <v>1907</v>
      </c>
      <c r="D21" s="840"/>
      <c r="E21" s="840"/>
      <c r="F21" s="981"/>
      <c r="G21" s="981"/>
      <c r="H21" s="981"/>
    </row>
    <row customHeight="1" ht="27">
      <c r="A22" s="840" t="s">
        <v>1908</v>
      </c>
      <c r="B22" s="840"/>
      <c r="C22" s="979" t="s">
        <v>1909</v>
      </c>
      <c r="D22" s="840"/>
      <c r="E22" s="840"/>
      <c r="F22" s="981"/>
      <c r="G22" s="981"/>
      <c r="H22" s="981"/>
    </row>
    <row customHeight="1" ht="36">
      <c r="A23" s="840" t="s">
        <v>1910</v>
      </c>
      <c r="B23" s="840"/>
      <c r="C23" s="979" t="s">
        <v>1911</v>
      </c>
      <c r="D23" s="840"/>
      <c r="E23" s="840"/>
      <c r="F23" s="981"/>
      <c r="G23" s="981"/>
      <c r="H23" s="981"/>
    </row>
    <row customHeight="1" ht="28.5">
      <c r="A24" s="840" t="s">
        <v>1912</v>
      </c>
      <c r="B24" s="840"/>
      <c r="C24" s="979" t="s">
        <v>1913</v>
      </c>
      <c r="D24" s="840"/>
      <c r="E24" s="840"/>
      <c r="F24" s="981"/>
      <c r="G24" s="981"/>
      <c r="H24" s="981"/>
    </row>
    <row customHeight="1" ht="36">
      <c r="A25" s="840" t="s">
        <v>1914</v>
      </c>
      <c r="B25" s="840"/>
      <c r="C25" s="979" t="s">
        <v>1915</v>
      </c>
      <c r="D25" s="840"/>
      <c r="E25" s="840"/>
      <c r="F25" s="981"/>
      <c r="G25" s="981"/>
      <c r="H25" s="981"/>
    </row>
    <row customHeight="1" ht="27">
      <c r="A26" s="840" t="s">
        <v>1916</v>
      </c>
      <c r="B26" s="840"/>
      <c r="C26" s="979" t="s">
        <v>1917</v>
      </c>
      <c r="D26" s="840"/>
      <c r="E26" s="840"/>
      <c r="F26" s="981"/>
      <c r="G26" s="981"/>
      <c r="H26" s="981"/>
    </row>
    <row customHeight="1" ht="36">
      <c r="A27" s="840" t="s">
        <v>1918</v>
      </c>
      <c r="B27" s="840"/>
      <c r="C27" s="979" t="s">
        <v>1919</v>
      </c>
      <c r="D27" s="840"/>
      <c r="E27" s="840"/>
      <c r="F27" s="981"/>
      <c r="G27" s="981"/>
      <c r="H27" s="981"/>
    </row>
    <row customHeight="1" ht="28.5">
      <c r="A28" s="840" t="s">
        <v>1920</v>
      </c>
      <c r="B28" s="840"/>
      <c r="C28" s="979" t="s">
        <v>1921</v>
      </c>
      <c r="D28" s="840"/>
      <c r="E28" s="840"/>
      <c r="F28" s="981"/>
      <c r="G28" s="981"/>
      <c r="H28" s="981"/>
    </row>
    <row customHeight="1" ht="126">
      <c r="A29" s="840" t="s">
        <v>1922</v>
      </c>
      <c r="B29" s="840" t="s">
        <v>1589</v>
      </c>
      <c r="C29" s="979"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40" t="s">
        <v>1923</v>
      </c>
      <c r="E29" s="843"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81"/>
      <c r="G29" s="981"/>
      <c r="H29" s="840" t="s">
        <v>1924</v>
      </c>
    </row>
    <row customHeight="1" ht="36">
      <c r="A30" s="840" t="s">
        <v>1925</v>
      </c>
      <c r="B30" s="840"/>
      <c r="C30" s="979"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40" t="s">
        <v>1926</v>
      </c>
      <c r="E30" s="843"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81"/>
      <c r="G30" s="981"/>
      <c r="H30" s="981"/>
    </row>
    <row customHeight="1" ht="54">
      <c r="A31" s="840" t="s">
        <v>1927</v>
      </c>
      <c r="B31" s="840"/>
      <c r="C31" s="979"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40" t="s">
        <v>1928</v>
      </c>
      <c r="E31" s="843"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81"/>
      <c r="G31" s="981"/>
      <c r="H31" s="981"/>
    </row>
    <row customHeight="1" ht="198">
      <c r="A32" s="840" t="s">
        <v>1929</v>
      </c>
      <c r="B32" s="840"/>
      <c r="C32" s="979"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40" t="s">
        <v>1930</v>
      </c>
      <c r="E32" s="843"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81"/>
      <c r="G32" s="981"/>
      <c r="H32" s="840" t="s">
        <v>1931</v>
      </c>
    </row>
    <row customHeight="1" ht="9">
      <c r="A33" s="840"/>
      <c r="B33" s="840"/>
      <c r="C33" s="979"/>
      <c r="D33" s="840"/>
      <c r="E33" s="840"/>
      <c r="F33" s="981"/>
      <c r="G33" s="981"/>
      <c r="H33" s="981"/>
    </row>
    <row customHeight="1" ht="9">
      <c r="A34" s="840"/>
      <c r="B34" s="840" t="s">
        <v>1525</v>
      </c>
      <c r="C34" s="979">
        <f>INDEX(TEMPLATE_NAME_FORM_LIST,B34,MATCH(TEMPLATE_SPHERE,TEMPLATE_SPHERE_LIST,0))</f>
        <v>0</v>
      </c>
      <c r="D34" s="840"/>
      <c r="E34" s="840"/>
      <c r="F34" s="981"/>
      <c r="G34" s="981"/>
      <c r="H34" s="981"/>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E7A51D1-C54E-BBAD-A966-0CA979E4CF71}"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834" width="9.140625"/>
    <col min="3" max="7" style="836" width="8.00390625" customWidth="1"/>
    <col min="8" max="12" style="836" width="8.57421875" customWidth="1"/>
    <col min="13" max="14" style="836" width="27.7109375" customWidth="1"/>
    <col min="15" max="19" style="836" width="5.140625" customWidth="1"/>
    <col min="20" max="24" style="836" width="27.7109375" customWidth="1"/>
    <col min="25" max="25" style="996" width="1.8515625" customWidth="1"/>
    <col min="26" max="26" style="834" width="27.7109375" customWidth="1"/>
    <col min="27" max="27" style="845" width="27.7109375" customWidth="1"/>
    <col min="28" max="29" style="834" width="27.7109375" customWidth="1"/>
    <col min="30" max="30" style="834" width="3.8515625" customWidth="1"/>
    <col min="31" max="34" style="834" width="9.140625"/>
  </cols>
  <sheetData>
    <row s="833" customFormat="1" customHeight="1" ht="18">
      <c r="A1" s="892"/>
      <c r="B1" s="892"/>
      <c r="C1" s="892" t="s">
        <v>1932</v>
      </c>
      <c r="D1" s="892"/>
      <c r="E1" s="892"/>
      <c r="F1" s="892"/>
      <c r="G1" s="892"/>
      <c r="H1" s="892" t="s">
        <v>1933</v>
      </c>
      <c r="I1" s="892"/>
      <c r="J1" s="892"/>
      <c r="K1" s="892"/>
      <c r="L1" s="892"/>
      <c r="M1" s="892" t="s">
        <v>1934</v>
      </c>
      <c r="N1" s="892" t="s">
        <v>1935</v>
      </c>
      <c r="O1" s="2406" t="s">
        <v>1936</v>
      </c>
      <c r="P1" s="2406"/>
      <c r="Q1" s="2406"/>
      <c r="R1" s="2406"/>
      <c r="S1" s="2406"/>
      <c r="T1" s="2406" t="s">
        <v>1934</v>
      </c>
      <c r="U1" s="2406"/>
      <c r="V1" s="2406"/>
      <c r="W1" s="2406"/>
      <c r="X1" s="2406"/>
      <c r="Y1" s="994"/>
      <c r="Z1" s="2406" t="s">
        <v>1937</v>
      </c>
      <c r="AA1" s="2406"/>
      <c r="AB1" s="2406"/>
      <c r="AC1" s="2406"/>
      <c r="AD1" s="2406"/>
    </row>
    <row customHeight="1" ht="18">
      <c r="A2" s="840"/>
      <c r="B2" s="840"/>
      <c r="C2" s="835" t="s">
        <v>733</v>
      </c>
      <c r="D2" s="835" t="s">
        <v>779</v>
      </c>
      <c r="E2" s="835" t="s">
        <v>831</v>
      </c>
      <c r="F2" s="835" t="s">
        <v>817</v>
      </c>
      <c r="G2" s="835" t="s">
        <v>1637</v>
      </c>
      <c r="H2" s="837"/>
      <c r="I2" s="837"/>
      <c r="J2" s="837"/>
      <c r="K2" s="837"/>
      <c r="L2" s="837"/>
      <c r="M2" s="837"/>
      <c r="N2" s="837"/>
      <c r="O2" s="835" t="s">
        <v>733</v>
      </c>
      <c r="P2" s="835" t="s">
        <v>779</v>
      </c>
      <c r="Q2" s="835" t="s">
        <v>817</v>
      </c>
      <c r="R2" s="835" t="s">
        <v>831</v>
      </c>
      <c r="S2" s="835" t="s">
        <v>1637</v>
      </c>
      <c r="T2" s="835" t="s">
        <v>733</v>
      </c>
      <c r="U2" s="835" t="s">
        <v>779</v>
      </c>
      <c r="V2" s="835" t="s">
        <v>817</v>
      </c>
      <c r="W2" s="835" t="s">
        <v>831</v>
      </c>
      <c r="X2" s="835" t="s">
        <v>1637</v>
      </c>
      <c r="Y2" s="835"/>
      <c r="Z2" s="835" t="s">
        <v>733</v>
      </c>
      <c r="AA2" s="844" t="s">
        <v>779</v>
      </c>
      <c r="AB2" s="835" t="s">
        <v>817</v>
      </c>
      <c r="AC2" s="835" t="s">
        <v>831</v>
      </c>
      <c r="AD2" s="835" t="s">
        <v>1637</v>
      </c>
    </row>
    <row customHeight="1" ht="162">
      <c r="A3" s="839" t="s">
        <v>22</v>
      </c>
      <c r="B3" s="839"/>
      <c r="C3" s="2410" t="s">
        <v>1938</v>
      </c>
      <c r="D3" s="2411"/>
      <c r="E3" s="2411"/>
      <c r="F3" s="2412"/>
      <c r="G3" s="837"/>
      <c r="H3" s="837"/>
      <c r="I3" s="837"/>
      <c r="J3" s="837"/>
      <c r="K3" s="837"/>
      <c r="L3" s="837"/>
      <c r="M3" s="837"/>
      <c r="N3" s="838"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37"/>
      <c r="P3" s="837"/>
      <c r="Q3" s="837"/>
      <c r="R3" s="837"/>
      <c r="S3" s="837"/>
      <c r="T3" s="837"/>
      <c r="U3" s="837"/>
      <c r="V3" s="837"/>
      <c r="W3" s="837"/>
      <c r="X3" s="837"/>
      <c r="Y3" s="995"/>
      <c r="Z3" s="840" t="s">
        <v>1939</v>
      </c>
      <c r="AA3" s="837" t="s">
        <v>1940</v>
      </c>
      <c r="AB3" s="840" t="s">
        <v>1941</v>
      </c>
      <c r="AC3" s="840" t="s">
        <v>1942</v>
      </c>
      <c r="AD3" s="840"/>
      <c r="AG3" s="840"/>
      <c r="AH3" s="840"/>
    </row>
    <row customHeight="1" ht="9">
      <c r="A4" s="839"/>
      <c r="B4" s="839"/>
      <c r="C4" s="837"/>
      <c r="D4" s="837"/>
      <c r="E4" s="837"/>
      <c r="F4" s="837"/>
      <c r="G4" s="837"/>
      <c r="H4" s="837"/>
      <c r="I4" s="837"/>
      <c r="J4" s="837"/>
      <c r="K4" s="837"/>
      <c r="L4" s="837"/>
      <c r="M4" s="837"/>
      <c r="N4" s="837"/>
      <c r="O4" s="837"/>
      <c r="P4" s="837"/>
      <c r="Q4" s="837"/>
      <c r="R4" s="837"/>
      <c r="S4" s="837"/>
      <c r="T4" s="837"/>
      <c r="U4" s="837"/>
      <c r="V4" s="837"/>
      <c r="W4" s="837"/>
      <c r="X4" s="837"/>
      <c r="Y4" s="995"/>
      <c r="Z4" s="840"/>
      <c r="AA4" s="843"/>
      <c r="AB4" s="840"/>
      <c r="AC4" s="840"/>
      <c r="AD4" s="840"/>
    </row>
    <row customHeight="1" ht="9">
      <c r="A5" s="839"/>
      <c r="B5" s="839"/>
      <c r="C5" s="837"/>
      <c r="D5" s="837"/>
      <c r="E5" s="837"/>
      <c r="F5" s="837"/>
      <c r="G5" s="837"/>
      <c r="H5" s="837"/>
      <c r="I5" s="837"/>
      <c r="J5" s="837"/>
      <c r="K5" s="837"/>
      <c r="L5" s="837"/>
      <c r="M5" s="837"/>
      <c r="N5" s="837"/>
      <c r="O5" s="837"/>
      <c r="P5" s="837"/>
      <c r="Q5" s="837"/>
      <c r="R5" s="837"/>
      <c r="S5" s="837"/>
      <c r="T5" s="837"/>
      <c r="U5" s="837"/>
      <c r="V5" s="837"/>
      <c r="W5" s="837"/>
      <c r="X5" s="837"/>
      <c r="Y5" s="995"/>
      <c r="Z5" s="840"/>
      <c r="AA5" s="843"/>
      <c r="AB5" s="840"/>
      <c r="AC5" s="840"/>
      <c r="AD5" s="840"/>
    </row>
    <row customHeight="1" ht="9">
      <c r="A6" s="839"/>
      <c r="B6" s="839"/>
      <c r="C6" s="837"/>
      <c r="D6" s="837"/>
      <c r="E6" s="837"/>
      <c r="F6" s="837"/>
      <c r="G6" s="837"/>
      <c r="H6" s="837"/>
      <c r="I6" s="837"/>
      <c r="J6" s="837"/>
      <c r="K6" s="837"/>
      <c r="L6" s="837"/>
      <c r="M6" s="837"/>
      <c r="N6" s="837"/>
      <c r="O6" s="837"/>
      <c r="P6" s="837"/>
      <c r="Q6" s="837"/>
      <c r="R6" s="837"/>
      <c r="S6" s="837"/>
      <c r="T6" s="837"/>
      <c r="U6" s="837"/>
      <c r="V6" s="837"/>
      <c r="W6" s="837"/>
      <c r="X6" s="837"/>
      <c r="Y6" s="995"/>
      <c r="Z6" s="840"/>
      <c r="AA6" s="843"/>
      <c r="AB6" s="840"/>
      <c r="AC6" s="840"/>
      <c r="AD6" s="840"/>
    </row>
    <row customHeight="1" ht="9">
      <c r="A7" s="839"/>
      <c r="B7" s="839"/>
      <c r="C7" s="837"/>
      <c r="D7" s="837"/>
      <c r="E7" s="837"/>
      <c r="F7" s="837"/>
      <c r="G7" s="837"/>
      <c r="H7" s="837"/>
      <c r="I7" s="837"/>
      <c r="J7" s="837"/>
      <c r="K7" s="837"/>
      <c r="L7" s="837"/>
      <c r="M7" s="837"/>
      <c r="N7" s="837"/>
      <c r="O7" s="837"/>
      <c r="P7" s="837"/>
      <c r="Q7" s="837"/>
      <c r="R7" s="837"/>
      <c r="S7" s="837"/>
      <c r="T7" s="837"/>
      <c r="U7" s="837"/>
      <c r="V7" s="837"/>
      <c r="W7" s="837"/>
      <c r="X7" s="837"/>
      <c r="Y7" s="995"/>
      <c r="Z7" s="840"/>
      <c r="AA7" s="843"/>
      <c r="AB7" s="840"/>
      <c r="AC7" s="840"/>
      <c r="AD7" s="840"/>
    </row>
    <row customHeight="1" ht="9">
      <c r="A8" s="839"/>
      <c r="B8" s="839"/>
      <c r="C8" s="837"/>
      <c r="D8" s="837"/>
      <c r="E8" s="837"/>
      <c r="F8" s="837"/>
      <c r="G8" s="837"/>
      <c r="H8" s="837"/>
      <c r="I8" s="837"/>
      <c r="J8" s="837"/>
      <c r="K8" s="837"/>
      <c r="L8" s="837"/>
      <c r="M8" s="837"/>
      <c r="N8" s="837"/>
      <c r="O8" s="837"/>
      <c r="P8" s="837"/>
      <c r="Q8" s="837"/>
      <c r="R8" s="837"/>
      <c r="S8" s="837"/>
      <c r="T8" s="837"/>
      <c r="U8" s="837"/>
      <c r="V8" s="837"/>
      <c r="W8" s="837"/>
      <c r="X8" s="837"/>
      <c r="Y8" s="995"/>
      <c r="Z8" s="840"/>
      <c r="AA8" s="843"/>
      <c r="AB8" s="840"/>
      <c r="AC8" s="840"/>
      <c r="AD8" s="840"/>
    </row>
    <row customHeight="1" ht="9">
      <c r="A9" s="839"/>
      <c r="B9" s="839"/>
      <c r="C9" s="837"/>
      <c r="D9" s="837"/>
      <c r="E9" s="837"/>
      <c r="F9" s="837"/>
      <c r="G9" s="837"/>
      <c r="H9" s="837"/>
      <c r="I9" s="837"/>
      <c r="J9" s="837"/>
      <c r="K9" s="837"/>
      <c r="L9" s="837"/>
      <c r="M9" s="837"/>
      <c r="N9" s="837"/>
      <c r="O9" s="837"/>
      <c r="P9" s="837"/>
      <c r="Q9" s="837"/>
      <c r="R9" s="837"/>
      <c r="S9" s="837"/>
      <c r="T9" s="837"/>
      <c r="U9" s="837"/>
      <c r="V9" s="837"/>
      <c r="W9" s="837"/>
      <c r="X9" s="837"/>
      <c r="Y9" s="995"/>
      <c r="Z9" s="840"/>
      <c r="AA9" s="843"/>
      <c r="AB9" s="840"/>
      <c r="AC9" s="840"/>
      <c r="AD9" s="840"/>
    </row>
    <row customHeight="1" ht="9">
      <c r="A10" s="893"/>
      <c r="B10" s="893"/>
      <c r="C10" s="893"/>
      <c r="D10" s="893"/>
      <c r="E10" s="893"/>
      <c r="F10" s="893"/>
      <c r="G10" s="893"/>
      <c r="H10" s="893"/>
      <c r="I10" s="893"/>
      <c r="J10" s="893"/>
      <c r="K10" s="893"/>
      <c r="L10" s="893"/>
      <c r="M10" s="893"/>
      <c r="N10" s="893"/>
      <c r="O10" s="893"/>
      <c r="P10" s="893"/>
      <c r="Q10" s="893"/>
      <c r="R10" s="893"/>
      <c r="S10" s="893"/>
      <c r="T10" s="893"/>
      <c r="U10" s="893"/>
      <c r="V10" s="893"/>
      <c r="W10" s="893"/>
      <c r="X10" s="893"/>
      <c r="Y10" s="893"/>
      <c r="Z10" s="893"/>
      <c r="AA10" s="893"/>
      <c r="AB10" s="893"/>
      <c r="AC10" s="893"/>
      <c r="AD10" s="893"/>
    </row>
    <row customHeight="1" ht="45">
      <c r="A11" s="2407" t="s">
        <v>29</v>
      </c>
      <c r="B11" s="893">
        <v>1</v>
      </c>
      <c r="C11" s="2413" t="s">
        <v>1576</v>
      </c>
      <c r="D11" s="2413" t="s">
        <v>1572</v>
      </c>
      <c r="E11" s="2413" t="s">
        <v>1670</v>
      </c>
      <c r="F11" s="2413" t="s">
        <v>1943</v>
      </c>
      <c r="G11" s="2413"/>
      <c r="H11" s="892" t="s">
        <v>1944</v>
      </c>
      <c r="I11" s="892"/>
      <c r="J11" s="892"/>
      <c r="K11" s="892"/>
      <c r="L11" s="892"/>
      <c r="M11" s="838" t="str">
        <f>IF(TEMPLATE_SPHERE="HEAT",T11,U11)</f>
        <v>Количество поданных заявок</v>
      </c>
      <c r="N11" s="838"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37"/>
      <c r="P11" s="837"/>
      <c r="Q11" s="837"/>
      <c r="R11" s="837"/>
      <c r="S11" s="837"/>
      <c r="T11" s="837" t="s">
        <v>1945</v>
      </c>
      <c r="U11" s="837" t="s">
        <v>1946</v>
      </c>
      <c r="V11" s="837"/>
      <c r="W11" s="837"/>
      <c r="X11" s="837"/>
      <c r="Y11" s="995"/>
      <c r="Z11" s="840" t="s">
        <v>1947</v>
      </c>
      <c r="AA11" s="843"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40"/>
      <c r="AC11" s="840"/>
      <c r="AD11" s="840"/>
    </row>
    <row customHeight="1" ht="45">
      <c r="A12" s="2407"/>
      <c r="B12" s="893">
        <v>2</v>
      </c>
      <c r="C12" s="2414"/>
      <c r="D12" s="2414"/>
      <c r="E12" s="2414"/>
      <c r="F12" s="2414"/>
      <c r="G12" s="2414"/>
      <c r="H12" s="892" t="s">
        <v>1948</v>
      </c>
      <c r="I12" s="892"/>
      <c r="J12" s="892"/>
      <c r="K12" s="892"/>
      <c r="L12" s="892"/>
      <c r="M12" s="838" t="str">
        <f>IF(TEMPLATE_SPHERE="HEAT",T12,U12)</f>
        <v>Количество рассмотренных заявок</v>
      </c>
      <c r="N12" s="838"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37"/>
      <c r="P12" s="837"/>
      <c r="Q12" s="837"/>
      <c r="R12" s="837"/>
      <c r="S12" s="837"/>
      <c r="T12" s="837" t="s">
        <v>1949</v>
      </c>
      <c r="U12" s="837" t="s">
        <v>1950</v>
      </c>
      <c r="V12" s="837"/>
      <c r="W12" s="837"/>
      <c r="X12" s="837"/>
      <c r="Y12" s="995"/>
      <c r="Z12" s="840" t="s">
        <v>1951</v>
      </c>
      <c r="AA12" s="843"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40"/>
      <c r="AC12" s="840"/>
      <c r="AD12" s="840"/>
    </row>
    <row customHeight="1" ht="72">
      <c r="A13" s="2407"/>
      <c r="B13" s="893">
        <v>3</v>
      </c>
      <c r="C13" s="2414"/>
      <c r="D13" s="2414"/>
      <c r="E13" s="2414"/>
      <c r="F13" s="2414"/>
      <c r="G13" s="2414"/>
      <c r="H13" s="2406" t="s">
        <v>1952</v>
      </c>
      <c r="I13" s="892"/>
      <c r="J13" s="892"/>
      <c r="K13" s="892"/>
      <c r="L13" s="892"/>
      <c r="M13" s="838"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38" t="str">
        <f>IF(TEMPLATE_SPHERE="HEAT",Z13,AA13)</f>
        <v>Указывается количество заявок с решением об отказе в течение отчетного квартала.</v>
      </c>
      <c r="O13" s="837"/>
      <c r="P13" s="838"/>
      <c r="Q13" s="838"/>
      <c r="R13" s="838"/>
      <c r="S13" s="837"/>
      <c r="T13" s="837" t="s">
        <v>1953</v>
      </c>
      <c r="U13" s="838" t="s">
        <v>1954</v>
      </c>
      <c r="V13" s="838"/>
      <c r="W13" s="838"/>
      <c r="X13" s="837"/>
      <c r="Y13" s="995"/>
      <c r="Z13" s="840" t="s">
        <v>1955</v>
      </c>
      <c r="AA13" s="843"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40"/>
      <c r="AC13" s="840"/>
      <c r="AD13" s="840"/>
    </row>
    <row customHeight="1" ht="45">
      <c r="A14" s="2407"/>
      <c r="B14" s="893">
        <v>4</v>
      </c>
      <c r="C14" s="2414"/>
      <c r="D14" s="2414"/>
      <c r="E14" s="2414"/>
      <c r="F14" s="2414"/>
      <c r="G14" s="2414"/>
      <c r="H14" s="2406"/>
      <c r="I14" s="895"/>
      <c r="J14" s="895"/>
      <c r="K14" s="895"/>
      <c r="L14" s="895"/>
      <c r="M14" s="841" t="str">
        <f>IF(TEMPLATE_SPHERE="HEAT",T14,U14)</f>
        <v>Причины отказа в заключении договора о подключении (технологическом присоединении) к системе теплоснабжения</v>
      </c>
      <c r="N14" s="838"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37"/>
      <c r="P14" s="838"/>
      <c r="Q14" s="838"/>
      <c r="R14" s="838"/>
      <c r="S14" s="837"/>
      <c r="T14" s="837" t="s">
        <v>1956</v>
      </c>
      <c r="U14" s="838"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38"/>
      <c r="W14" s="838"/>
      <c r="X14" s="837"/>
      <c r="Y14" s="995"/>
      <c r="Z14" s="840" t="s">
        <v>1957</v>
      </c>
      <c r="AA14" s="843" t="s">
        <v>1957</v>
      </c>
      <c r="AB14" s="840"/>
      <c r="AC14" s="840"/>
      <c r="AD14" s="840"/>
    </row>
    <row customHeight="1" ht="108">
      <c r="A15" s="2407"/>
      <c r="B15" s="893">
        <v>5</v>
      </c>
      <c r="C15" s="2414"/>
      <c r="D15" s="2414"/>
      <c r="E15" s="2414"/>
      <c r="F15" s="2414"/>
      <c r="G15" s="2414"/>
      <c r="H15" s="2408" t="s">
        <v>1958</v>
      </c>
      <c r="I15" s="894"/>
      <c r="J15" s="894"/>
      <c r="K15" s="894"/>
      <c r="L15" s="894"/>
      <c r="M15" s="843" t="str">
        <f>IF(TEMPLATE_SPHERE="HEAT",T15,U15)</f>
        <v>Резерв мощности источников тепловой энергии, входящих в систему теплоснабжения, в течение одного квартала, в том числе:</v>
      </c>
      <c r="N15" s="842"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37"/>
      <c r="P15" s="838"/>
      <c r="Q15" s="838"/>
      <c r="R15" s="838"/>
      <c r="S15" s="837"/>
      <c r="T15" s="837" t="s">
        <v>1959</v>
      </c>
      <c r="U15" s="838"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38"/>
      <c r="W15" s="838"/>
      <c r="X15" s="837"/>
      <c r="Y15" s="995"/>
      <c r="Z15" s="840" t="s">
        <v>1960</v>
      </c>
      <c r="AA15" s="843"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40"/>
      <c r="AC15" s="840"/>
      <c r="AD15" s="840"/>
    </row>
    <row customHeight="1" ht="108">
      <c r="A16" s="893"/>
      <c r="B16" s="893">
        <v>6</v>
      </c>
      <c r="C16" s="2415"/>
      <c r="D16" s="2415"/>
      <c r="E16" s="2415"/>
      <c r="F16" s="2415"/>
      <c r="G16" s="2415"/>
      <c r="H16" s="2409"/>
      <c r="I16" s="957"/>
      <c r="J16" s="957"/>
      <c r="K16" s="957"/>
      <c r="L16" s="957"/>
      <c r="M16" s="886"/>
      <c r="N16" s="842"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37"/>
      <c r="P16" s="838"/>
      <c r="Q16" s="838"/>
      <c r="R16" s="838"/>
      <c r="S16" s="837"/>
      <c r="T16" s="837"/>
      <c r="U16" s="838"/>
      <c r="V16" s="838"/>
      <c r="W16" s="838"/>
      <c r="X16" s="837"/>
      <c r="Y16" s="995"/>
      <c r="Z16" s="840" t="s">
        <v>1960</v>
      </c>
      <c r="AA16" s="843"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40"/>
      <c r="AC16" s="840"/>
      <c r="AD16" s="840"/>
    </row>
    <row customHeight="1" ht="9">
      <c r="A17" s="893"/>
      <c r="B17" s="893"/>
      <c r="C17" s="893">
        <v>22</v>
      </c>
      <c r="D17" s="893">
        <v>21</v>
      </c>
      <c r="E17" s="893">
        <v>42</v>
      </c>
      <c r="F17" s="893">
        <v>63</v>
      </c>
      <c r="G17" s="893"/>
      <c r="H17" s="893"/>
      <c r="I17" s="893"/>
      <c r="J17" s="893"/>
      <c r="K17" s="893"/>
      <c r="L17" s="893"/>
      <c r="M17" s="893"/>
      <c r="N17" s="893"/>
      <c r="O17" s="893"/>
      <c r="P17" s="893"/>
      <c r="Q17" s="893"/>
      <c r="R17" s="893"/>
      <c r="S17" s="893"/>
      <c r="T17" s="893"/>
      <c r="U17" s="893"/>
      <c r="V17" s="893"/>
      <c r="W17" s="893"/>
      <c r="X17" s="893"/>
      <c r="Y17" s="893"/>
      <c r="Z17" s="893"/>
      <c r="AA17" s="893"/>
      <c r="AB17" s="893"/>
      <c r="AC17" s="893"/>
      <c r="AD17" s="893"/>
    </row>
    <row customHeight="1" ht="27">
      <c r="A18" s="839" t="s">
        <v>1673</v>
      </c>
      <c r="B18" s="893">
        <v>1</v>
      </c>
      <c r="C18" s="837" t="s">
        <v>1944</v>
      </c>
      <c r="D18" s="962" t="s">
        <v>1944</v>
      </c>
      <c r="E18" s="837" t="s">
        <v>1944</v>
      </c>
      <c r="F18" s="837" t="s">
        <v>1944</v>
      </c>
      <c r="G18" s="837"/>
      <c r="H18" s="997"/>
      <c r="I18" s="1000">
        <f>INDEX(TEMPLATE_NUMBER_POINT_FHD,B18,MATCH(TEMPLATE_SPHERE,TEMPLATE_SPHERE_LIST_FOR_NOTE,0))</f>
        <v>1</v>
      </c>
      <c r="J18" s="1000" t="str">
        <f>INDEX(TEMPLATE_DATA_POINT_FHD,B18,MATCH(TEMPLATE_SPHERE,TEMPLATE_SPHERE_LIST_FOR_NOTE,0))</f>
        <v>Выручка от регулируемого вида деятельности с распределением по видам деятельности</v>
      </c>
      <c r="K18" s="1000"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38">
        <f>IF(I18=0,"",I18)</f>
        <v>1</v>
      </c>
      <c r="M18" s="838" t="str">
        <f>IF(J18=0,"",J18)</f>
        <v>Выручка от регулируемого вида деятельности с распределением по видам деятельности</v>
      </c>
      <c r="N18" s="838" t="str">
        <f>IF(K18=0,"",K18)</f>
        <v>Указывается выручка от регулируемого вида деятельности с распределением по видам деятельности.</v>
      </c>
      <c r="O18" s="952">
        <v>1</v>
      </c>
      <c r="P18" s="952">
        <v>1</v>
      </c>
      <c r="Q18" s="952">
        <v>1</v>
      </c>
      <c r="R18" s="952">
        <v>1</v>
      </c>
      <c r="S18" s="952"/>
      <c r="T18" s="959" t="s">
        <v>1961</v>
      </c>
      <c r="U18" s="840" t="s">
        <v>1962</v>
      </c>
      <c r="V18" s="840" t="s">
        <v>1963</v>
      </c>
      <c r="W18" s="840" t="s">
        <v>1964</v>
      </c>
      <c r="X18" s="837"/>
      <c r="Y18" s="995"/>
      <c r="Z18" s="840" t="s">
        <v>1965</v>
      </c>
      <c r="AA18" s="843" t="s">
        <v>1966</v>
      </c>
      <c r="AB18" s="843" t="s">
        <v>1966</v>
      </c>
      <c r="AC18" s="843" t="s">
        <v>1966</v>
      </c>
      <c r="AD18" s="840"/>
    </row>
    <row customHeight="1" ht="36">
      <c r="A19" s="839"/>
      <c r="B19" s="893">
        <v>2</v>
      </c>
      <c r="C19" s="837" t="s">
        <v>1948</v>
      </c>
      <c r="D19" s="962" t="s">
        <v>1948</v>
      </c>
      <c r="E19" s="837" t="s">
        <v>1948</v>
      </c>
      <c r="F19" s="837" t="s">
        <v>1948</v>
      </c>
      <c r="G19" s="837"/>
      <c r="H19" s="997"/>
      <c r="I19" s="1000">
        <f>INDEX(TEMPLATE_NUMBER_POINT_FHD,B19,MATCH(TEMPLATE_SPHERE,TEMPLATE_SPHERE_LIST_FOR_NOTE,0))</f>
        <v>2</v>
      </c>
      <c r="J19" s="1000"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00" t="str">
        <f>INDEX(TEMPLATE_NOTE_POINT_FHD,B19,MATCH(TEMPLATE_SPHERE,TEMPLATE_SPHERE_LIST_FOR_NOTE,0))</f>
        <v>Указывается суммарная себестоимость производимых товаров.</v>
      </c>
      <c r="L19" s="838">
        <f>IF(I19=0,"",I19)</f>
        <v>2</v>
      </c>
      <c r="M19" s="838" t="str">
        <f>IF(J19=0,"",J19)</f>
        <v>Себестоимость производимых товаров (оказываемых услуг) по регулируемому виду деятельности, включая:</v>
      </c>
      <c r="N19" s="838" t="str">
        <f>IF(K19=0,"",K19)</f>
        <v>Указывается суммарная себестоимость производимых товаров.</v>
      </c>
      <c r="O19" s="952">
        <v>2</v>
      </c>
      <c r="P19" s="952">
        <v>2</v>
      </c>
      <c r="Q19" s="952">
        <v>2</v>
      </c>
      <c r="R19" s="952">
        <v>2</v>
      </c>
      <c r="S19" s="952"/>
      <c r="T19" s="959" t="s">
        <v>1967</v>
      </c>
      <c r="U19" s="840" t="s">
        <v>1968</v>
      </c>
      <c r="V19" s="840" t="s">
        <v>1969</v>
      </c>
      <c r="W19" s="840" t="s">
        <v>1970</v>
      </c>
      <c r="X19" s="837"/>
      <c r="Y19" s="995"/>
      <c r="Z19" s="840" t="s">
        <v>1971</v>
      </c>
      <c r="AA19" s="843" t="s">
        <v>1971</v>
      </c>
      <c r="AB19" s="843" t="s">
        <v>1971</v>
      </c>
      <c r="AC19" s="843" t="s">
        <v>1971</v>
      </c>
      <c r="AD19" s="840"/>
    </row>
    <row customHeight="1" ht="27">
      <c r="A20" s="839"/>
      <c r="B20" s="893">
        <v>3</v>
      </c>
      <c r="C20" s="837">
        <v>1</v>
      </c>
      <c r="D20" s="962"/>
      <c r="E20" s="837"/>
      <c r="F20" s="837"/>
      <c r="G20" s="837"/>
      <c r="H20" s="997"/>
      <c r="I20" s="1000" t="str">
        <f>INDEX(TEMPLATE_NUMBER_POINT_FHD,B20,MATCH(TEMPLATE_SPHERE,TEMPLATE_SPHERE_LIST_FOR_NOTE,0))</f>
        <v>2.1</v>
      </c>
      <c r="J20" s="1000" t="str">
        <f>INDEX(TEMPLATE_DATA_POINT_FHD,B20,MATCH(TEMPLATE_SPHERE,TEMPLATE_SPHERE_LIST_FOR_NOTE,0))</f>
        <v>Расходы на приобретаемую тепловую энергию (мощность), теплоноситель</v>
      </c>
      <c r="K20" s="1000">
        <f>INDEX(TEMPLATE_NOTE_POINT_FHD,B20,MATCH(TEMPLATE_SPHERE,TEMPLATE_SPHERE_LIST_FOR_NOTE,0))</f>
        <v>0</v>
      </c>
      <c r="L20" s="838" t="str">
        <f>IF(I20=0,"",I20)</f>
        <v>2.1</v>
      </c>
      <c r="M20" s="838" t="str">
        <f>IF(J20=0,"",J20)</f>
        <v>Расходы на приобретаемую тепловую энергию (мощность), теплоноситель</v>
      </c>
      <c r="N20" s="838" t="str">
        <f>IF(K20=0,"",K20)</f>
        <v/>
      </c>
      <c r="O20" s="952" t="s">
        <v>633</v>
      </c>
      <c r="P20" s="952" t="s">
        <v>633</v>
      </c>
      <c r="Q20" s="952" t="s">
        <v>633</v>
      </c>
      <c r="R20" s="952" t="s">
        <v>633</v>
      </c>
      <c r="S20" s="952"/>
      <c r="T20" s="959" t="s">
        <v>1972</v>
      </c>
      <c r="U20" s="840" t="s">
        <v>1973</v>
      </c>
      <c r="V20" s="840" t="s">
        <v>1974</v>
      </c>
      <c r="W20" s="840" t="s">
        <v>1975</v>
      </c>
      <c r="X20" s="837"/>
      <c r="Y20" s="995"/>
      <c r="Z20" s="840"/>
      <c r="AA20" s="843"/>
      <c r="AB20" s="840"/>
      <c r="AC20" s="840"/>
      <c r="AD20" s="840"/>
    </row>
    <row customHeight="1" ht="36">
      <c r="A21" s="839"/>
      <c r="B21" s="893">
        <v>4</v>
      </c>
      <c r="C21" s="837">
        <v>2</v>
      </c>
      <c r="D21" s="962"/>
      <c r="E21" s="837"/>
      <c r="F21" s="837"/>
      <c r="G21" s="837"/>
      <c r="H21" s="997"/>
      <c r="I21" s="1000" t="str">
        <f>INDEX(TEMPLATE_NUMBER_POINT_FHD,B21,MATCH(TEMPLATE_SPHERE,TEMPLATE_SPHERE_LIST_FOR_NOTE,0))</f>
        <v>2.2</v>
      </c>
      <c r="J21" s="1000"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00" t="str">
        <f>INDEX(TEMPLATE_NOTE_POINT_FHD,B21,MATCH(TEMPLATE_SPHERE,TEMPLATE_SPHERE_LIST_FOR_NOTE,0))</f>
        <v>Указываются суммарные расходы на приобретение топлива всех видов.</v>
      </c>
      <c r="L21" s="838" t="str">
        <f>IF(I21=0,"",I21)</f>
        <v>2.2</v>
      </c>
      <c r="M21" s="838"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38" t="str">
        <f>IF(K21=0,"",K21)</f>
        <v>Указываются суммарные расходы на приобретение топлива всех видов.</v>
      </c>
      <c r="O21" s="952" t="s">
        <v>319</v>
      </c>
      <c r="P21" s="952"/>
      <c r="Q21" s="952"/>
      <c r="R21" s="952"/>
      <c r="S21" s="952"/>
      <c r="T21" s="959" t="s">
        <v>1976</v>
      </c>
      <c r="U21" s="840"/>
      <c r="V21" s="840"/>
      <c r="W21" s="840"/>
      <c r="X21" s="837"/>
      <c r="Y21" s="995"/>
      <c r="Z21" s="840" t="s">
        <v>1977</v>
      </c>
      <c r="AA21" s="843"/>
      <c r="AB21" s="840"/>
      <c r="AC21" s="840"/>
      <c r="AD21" s="840"/>
    </row>
    <row customHeight="1" ht="36">
      <c r="A22" s="839"/>
      <c r="B22" s="893">
        <v>5</v>
      </c>
      <c r="C22" s="837">
        <v>3</v>
      </c>
      <c r="D22" s="962"/>
      <c r="E22" s="837"/>
      <c r="F22" s="837"/>
      <c r="G22" s="885"/>
      <c r="H22" s="953"/>
      <c r="I22" s="1000">
        <f>INDEX(TEMPLATE_NUMBER_POINT_FHD,B22,MATCH(TEMPLATE_SPHERE,TEMPLATE_SPHERE_LIST_FOR_NOTE,0))</f>
        <v>0</v>
      </c>
      <c r="J22" s="1000">
        <f>INDEX(TEMPLATE_DATA_POINT_FHD,B22,MATCH(TEMPLATE_SPHERE,TEMPLATE_SPHERE_LIST_FOR_NOTE,0))</f>
        <v>0</v>
      </c>
      <c r="K22" s="1000">
        <f>INDEX(TEMPLATE_NOTE_POINT_FHD,B22,MATCH(TEMPLATE_SPHERE,TEMPLATE_SPHERE_LIST_FOR_NOTE,0))</f>
        <v>0</v>
      </c>
      <c r="L22" s="838" t="str">
        <f>IF(I22=0,"",I22)</f>
        <v/>
      </c>
      <c r="M22" s="838" t="str">
        <f>IF(J22=0,"",J22)</f>
        <v/>
      </c>
      <c r="N22" s="838" t="str">
        <f>IF(K22=0,"",K22)</f>
        <v/>
      </c>
      <c r="O22" s="952"/>
      <c r="P22" s="952"/>
      <c r="Q22" s="952" t="s">
        <v>319</v>
      </c>
      <c r="R22" s="952"/>
      <c r="S22" s="952"/>
      <c r="T22" s="959"/>
      <c r="U22" s="840"/>
      <c r="V22" s="840" t="s">
        <v>1978</v>
      </c>
      <c r="W22" s="840"/>
      <c r="X22" s="837"/>
      <c r="Y22" s="995"/>
      <c r="Z22" s="840"/>
      <c r="AA22" s="843"/>
      <c r="AB22" s="840"/>
      <c r="AC22" s="840"/>
      <c r="AD22" s="840"/>
    </row>
    <row customHeight="1" ht="27">
      <c r="A23" s="839"/>
      <c r="B23" s="893">
        <v>6</v>
      </c>
      <c r="C23" s="837">
        <v>4</v>
      </c>
      <c r="D23" s="962"/>
      <c r="E23" s="837"/>
      <c r="F23" s="837"/>
      <c r="G23" s="885"/>
      <c r="H23" s="953"/>
      <c r="I23" s="1000">
        <f>INDEX(TEMPLATE_NUMBER_POINT_FHD,B23,MATCH(TEMPLATE_SPHERE,TEMPLATE_SPHERE_LIST_FOR_NOTE,0))</f>
        <v>0</v>
      </c>
      <c r="J23" s="1000">
        <f>INDEX(TEMPLATE_DATA_POINT_FHD,B23,MATCH(TEMPLATE_SPHERE,TEMPLATE_SPHERE_LIST_FOR_NOTE,0))</f>
        <v>0</v>
      </c>
      <c r="K23" s="1000">
        <f>INDEX(TEMPLATE_NOTE_POINT_FHD,B23,MATCH(TEMPLATE_SPHERE,TEMPLATE_SPHERE_LIST_FOR_NOTE,0))</f>
        <v>0</v>
      </c>
      <c r="L23" s="838" t="str">
        <f>IF(I23=0,"",I23)</f>
        <v/>
      </c>
      <c r="M23" s="838" t="str">
        <f>IF(J23=0,"",J23)</f>
        <v/>
      </c>
      <c r="N23" s="838" t="str">
        <f>IF(K23=0,"",K23)</f>
        <v/>
      </c>
      <c r="O23" s="952"/>
      <c r="P23" s="952"/>
      <c r="Q23" s="952" t="s">
        <v>322</v>
      </c>
      <c r="R23" s="952"/>
      <c r="S23" s="952"/>
      <c r="T23" s="959"/>
      <c r="U23" s="840"/>
      <c r="V23" s="840" t="s">
        <v>1979</v>
      </c>
      <c r="W23" s="840"/>
      <c r="X23" s="837"/>
      <c r="Y23" s="995"/>
      <c r="Z23" s="840"/>
      <c r="AA23" s="843"/>
      <c r="AB23" s="840"/>
      <c r="AC23" s="840"/>
      <c r="AD23" s="840"/>
    </row>
    <row customHeight="1" ht="36">
      <c r="A24" s="839"/>
      <c r="B24" s="893">
        <v>7</v>
      </c>
      <c r="C24" s="837">
        <v>5</v>
      </c>
      <c r="D24" s="962"/>
      <c r="E24" s="837"/>
      <c r="F24" s="837"/>
      <c r="G24" s="885"/>
      <c r="H24" s="953"/>
      <c r="I24" s="1000">
        <f>INDEX(TEMPLATE_NUMBER_POINT_FHD,B24,MATCH(TEMPLATE_SPHERE,TEMPLATE_SPHERE_LIST_FOR_NOTE,0))</f>
        <v>0</v>
      </c>
      <c r="J24" s="1000">
        <f>INDEX(TEMPLATE_DATA_POINT_FHD,B24,MATCH(TEMPLATE_SPHERE,TEMPLATE_SPHERE_LIST_FOR_NOTE,0))</f>
        <v>0</v>
      </c>
      <c r="K24" s="1000">
        <f>INDEX(TEMPLATE_NOTE_POINT_FHD,B24,MATCH(TEMPLATE_SPHERE,TEMPLATE_SPHERE_LIST_FOR_NOTE,0))</f>
        <v>0</v>
      </c>
      <c r="L24" s="838" t="str">
        <f>IF(I24=0,"",I24)</f>
        <v/>
      </c>
      <c r="M24" s="838" t="str">
        <f>IF(J24=0,"",J24)</f>
        <v/>
      </c>
      <c r="N24" s="838" t="str">
        <f>IF(K24=0,"",K24)</f>
        <v/>
      </c>
      <c r="O24" s="952"/>
      <c r="P24" s="952"/>
      <c r="Q24" s="952" t="s">
        <v>653</v>
      </c>
      <c r="R24" s="952"/>
      <c r="S24" s="952"/>
      <c r="T24" s="959"/>
      <c r="U24" s="840"/>
      <c r="V24" s="840" t="s">
        <v>1980</v>
      </c>
      <c r="W24" s="840"/>
      <c r="X24" s="837"/>
      <c r="Y24" s="995"/>
      <c r="Z24" s="840"/>
      <c r="AA24" s="843"/>
      <c r="AB24" s="840"/>
      <c r="AC24" s="840"/>
      <c r="AD24" s="840"/>
    </row>
    <row customHeight="1" ht="36">
      <c r="A25" s="839"/>
      <c r="B25" s="893">
        <v>8</v>
      </c>
      <c r="C25" s="837">
        <v>6</v>
      </c>
      <c r="D25" s="962"/>
      <c r="E25" s="837"/>
      <c r="F25" s="837"/>
      <c r="G25" s="885"/>
      <c r="H25" s="953"/>
      <c r="I25" s="1000" t="str">
        <f>INDEX(TEMPLATE_NUMBER_POINT_FHD,B25,MATCH(TEMPLATE_SPHERE,TEMPLATE_SPHERE_LIST_FOR_NOTE,0))</f>
        <v>2.3</v>
      </c>
      <c r="J25" s="1000"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0">
        <f>INDEX(TEMPLATE_NOTE_POINT_FHD,B25,MATCH(TEMPLATE_SPHERE,TEMPLATE_SPHERE_LIST_FOR_NOTE,0))</f>
        <v>0</v>
      </c>
      <c r="L25" s="838" t="str">
        <f>IF(I25=0,"",I25)</f>
        <v>2.3</v>
      </c>
      <c r="M25" s="838" t="str">
        <f>IF(J25=0,"",J25)</f>
        <v>Расходы на приобретаемую электрическую энергию (мощность), используемую в технологическом процессе</v>
      </c>
      <c r="N25" s="838" t="str">
        <f>IF(K25=0,"",K25)</f>
        <v/>
      </c>
      <c r="O25" s="952" t="s">
        <v>322</v>
      </c>
      <c r="P25" s="952" t="s">
        <v>319</v>
      </c>
      <c r="Q25" s="952" t="s">
        <v>660</v>
      </c>
      <c r="R25" s="952" t="s">
        <v>319</v>
      </c>
      <c r="S25" s="952"/>
      <c r="T25" s="959" t="s">
        <v>1981</v>
      </c>
      <c r="U25" s="840" t="s">
        <v>1981</v>
      </c>
      <c r="V25" s="840" t="s">
        <v>1981</v>
      </c>
      <c r="W25" s="840" t="s">
        <v>1981</v>
      </c>
      <c r="X25" s="837"/>
      <c r="Y25" s="995"/>
      <c r="Z25" s="840"/>
      <c r="AA25" s="843"/>
      <c r="AB25" s="840"/>
      <c r="AC25" s="840"/>
      <c r="AD25" s="840"/>
    </row>
    <row customHeight="1" ht="18">
      <c r="A26" s="839"/>
      <c r="B26" s="893">
        <v>9</v>
      </c>
      <c r="C26" s="837" t="s">
        <v>829</v>
      </c>
      <c r="D26" s="962"/>
      <c r="E26" s="837"/>
      <c r="F26" s="837"/>
      <c r="G26" s="885"/>
      <c r="H26" s="953"/>
      <c r="I26" s="1000" t="str">
        <f>INDEX(TEMPLATE_NUMBER_POINT_FHD,B26,MATCH(TEMPLATE_SPHERE,TEMPLATE_SPHERE_LIST_FOR_NOTE,0))</f>
        <v>2.3.1</v>
      </c>
      <c r="J26" s="1000" t="str">
        <f>INDEX(TEMPLATE_DATA_POINT_FHD,B26,MATCH(TEMPLATE_SPHERE,TEMPLATE_SPHERE_LIST_FOR_NOTE,0))</f>
        <v>Средневзвешенная стоимость 1 кВт.ч (с учетом мощности)</v>
      </c>
      <c r="K26" s="1000">
        <f>INDEX(TEMPLATE_NOTE_POINT_FHD,B26,MATCH(TEMPLATE_SPHERE,TEMPLATE_SPHERE_LIST_FOR_NOTE,0))</f>
        <v>0</v>
      </c>
      <c r="L26" s="838" t="str">
        <f>IF(I26=0,"",I26)</f>
        <v>2.3.1</v>
      </c>
      <c r="M26" s="838" t="str">
        <f>IF(J26=0,"",J26)</f>
        <v>Средневзвешенная стоимость 1 кВт.ч (с учетом мощности)</v>
      </c>
      <c r="N26" s="838" t="str">
        <f>IF(K26=0,"",K26)</f>
        <v/>
      </c>
      <c r="O26" s="952" t="s">
        <v>649</v>
      </c>
      <c r="P26" s="952" t="s">
        <v>643</v>
      </c>
      <c r="Q26" s="952" t="s">
        <v>1982</v>
      </c>
      <c r="R26" s="952" t="s">
        <v>643</v>
      </c>
      <c r="S26" s="952"/>
      <c r="T26" s="959" t="s">
        <v>1983</v>
      </c>
      <c r="U26" s="959" t="s">
        <v>1983</v>
      </c>
      <c r="V26" s="959" t="s">
        <v>1983</v>
      </c>
      <c r="W26" s="959" t="s">
        <v>1983</v>
      </c>
      <c r="X26" s="837"/>
      <c r="Y26" s="995"/>
      <c r="Z26" s="840"/>
      <c r="AA26" s="843"/>
      <c r="AB26" s="840"/>
      <c r="AC26" s="840"/>
      <c r="AD26" s="840"/>
    </row>
    <row customHeight="1" ht="18">
      <c r="A27" s="839"/>
      <c r="B27" s="893">
        <v>10</v>
      </c>
      <c r="C27" s="837" t="s">
        <v>1984</v>
      </c>
      <c r="D27" s="962"/>
      <c r="E27" s="837"/>
      <c r="F27" s="837"/>
      <c r="G27" s="885"/>
      <c r="H27" s="953"/>
      <c r="I27" s="1000" t="str">
        <f>INDEX(TEMPLATE_NUMBER_POINT_FHD,B27,MATCH(TEMPLATE_SPHERE,TEMPLATE_SPHERE_LIST_FOR_NOTE,0))</f>
        <v>2.3.2</v>
      </c>
      <c r="J27" s="1000" t="str">
        <f>INDEX(TEMPLATE_DATA_POINT_FHD,B27,MATCH(TEMPLATE_SPHERE,TEMPLATE_SPHERE_LIST_FOR_NOTE,0))</f>
        <v>Объём приобретения электрической энергии</v>
      </c>
      <c r="K27" s="1000">
        <f>INDEX(TEMPLATE_NOTE_POINT_FHD,B27,MATCH(TEMPLATE_SPHERE,TEMPLATE_SPHERE_LIST_FOR_NOTE,0))</f>
        <v>0</v>
      </c>
      <c r="L27" s="838" t="str">
        <f>IF(I27=0,"",I27)</f>
        <v>2.3.2</v>
      </c>
      <c r="M27" s="838" t="str">
        <f>IF(J27=0,"",J27)</f>
        <v>Объём приобретения электрической энергии</v>
      </c>
      <c r="N27" s="838" t="str">
        <f>IF(K27=0,"",K27)</f>
        <v/>
      </c>
      <c r="O27" s="952" t="s">
        <v>651</v>
      </c>
      <c r="P27" s="952" t="s">
        <v>645</v>
      </c>
      <c r="Q27" s="952" t="s">
        <v>1985</v>
      </c>
      <c r="R27" s="952" t="s">
        <v>645</v>
      </c>
      <c r="S27" s="952"/>
      <c r="T27" s="959" t="s">
        <v>1986</v>
      </c>
      <c r="U27" s="959" t="s">
        <v>1986</v>
      </c>
      <c r="V27" s="959" t="s">
        <v>1986</v>
      </c>
      <c r="W27" s="959" t="s">
        <v>1986</v>
      </c>
      <c r="X27" s="837"/>
      <c r="Y27" s="995"/>
      <c r="Z27" s="840"/>
      <c r="AA27" s="843"/>
      <c r="AB27" s="840"/>
      <c r="AC27" s="840"/>
      <c r="AD27" s="840"/>
    </row>
    <row customHeight="1" ht="27">
      <c r="A28" s="839"/>
      <c r="B28" s="893">
        <v>11</v>
      </c>
      <c r="C28" s="837">
        <v>7</v>
      </c>
      <c r="D28" s="962"/>
      <c r="E28" s="837"/>
      <c r="F28" s="837"/>
      <c r="G28" s="885"/>
      <c r="H28" s="953"/>
      <c r="I28" s="1000" t="str">
        <f>INDEX(TEMPLATE_NUMBER_POINT_FHD,B28,MATCH(TEMPLATE_SPHERE,TEMPLATE_SPHERE_LIST_FOR_NOTE,0))</f>
        <v>2.4</v>
      </c>
      <c r="J28" s="1000" t="str">
        <f>INDEX(TEMPLATE_DATA_POINT_FHD,B28,MATCH(TEMPLATE_SPHERE,TEMPLATE_SPHERE_LIST_FOR_NOTE,0))</f>
        <v>Расходы на приобретение холодной воды, используемой в технологическом процессе</v>
      </c>
      <c r="K28" s="1000">
        <f>INDEX(TEMPLATE_NOTE_POINT_FHD,B28,MATCH(TEMPLATE_SPHERE,TEMPLATE_SPHERE_LIST_FOR_NOTE,0))</f>
        <v>0</v>
      </c>
      <c r="L28" s="838" t="str">
        <f>IF(I28=0,"",I28)</f>
        <v>2.4</v>
      </c>
      <c r="M28" s="838" t="str">
        <f>IF(J28=0,"",J28)</f>
        <v>Расходы на приобретение холодной воды, используемой в технологическом процессе</v>
      </c>
      <c r="N28" s="838" t="str">
        <f>IF(K28=0,"",K28)</f>
        <v/>
      </c>
      <c r="O28" s="952" t="s">
        <v>653</v>
      </c>
      <c r="P28" s="952"/>
      <c r="Q28" s="952"/>
      <c r="R28" s="952"/>
      <c r="S28" s="952"/>
      <c r="T28" s="959" t="s">
        <v>1987</v>
      </c>
      <c r="U28" s="840"/>
      <c r="V28" s="840"/>
      <c r="W28" s="840"/>
      <c r="X28" s="837"/>
      <c r="Y28" s="995"/>
      <c r="Z28" s="840"/>
      <c r="AA28" s="843"/>
      <c r="AB28" s="840"/>
      <c r="AC28" s="840"/>
      <c r="AD28" s="840"/>
    </row>
    <row customHeight="1" ht="27">
      <c r="A29" s="839"/>
      <c r="B29" s="893">
        <v>12</v>
      </c>
      <c r="C29" s="837">
        <v>8</v>
      </c>
      <c r="D29" s="962"/>
      <c r="E29" s="837"/>
      <c r="F29" s="837"/>
      <c r="G29" s="885"/>
      <c r="H29" s="953"/>
      <c r="I29" s="1000" t="str">
        <f>INDEX(TEMPLATE_NUMBER_POINT_FHD,B29,MATCH(TEMPLATE_SPHERE,TEMPLATE_SPHERE_LIST_FOR_NOTE,0))</f>
        <v>2.5</v>
      </c>
      <c r="J29" s="1000" t="str">
        <f>INDEX(TEMPLATE_DATA_POINT_FHD,B29,MATCH(TEMPLATE_SPHERE,TEMPLATE_SPHERE_LIST_FOR_NOTE,0))</f>
        <v>Расходы на химические реагенты, используемые в технологическом процессе</v>
      </c>
      <c r="K29" s="1000">
        <f>INDEX(TEMPLATE_NOTE_POINT_FHD,B29,MATCH(TEMPLATE_SPHERE,TEMPLATE_SPHERE_LIST_FOR_NOTE,0))</f>
        <v>0</v>
      </c>
      <c r="L29" s="838" t="str">
        <f>IF(I29=0,"",I29)</f>
        <v>2.5</v>
      </c>
      <c r="M29" s="838" t="str">
        <f>IF(J29=0,"",J29)</f>
        <v>Расходы на химические реагенты, используемые в технологическом процессе</v>
      </c>
      <c r="N29" s="838" t="str">
        <f>IF(K29=0,"",K29)</f>
        <v/>
      </c>
      <c r="O29" s="952" t="s">
        <v>660</v>
      </c>
      <c r="P29" s="952" t="s">
        <v>322</v>
      </c>
      <c r="Q29" s="952"/>
      <c r="R29" s="952" t="s">
        <v>322</v>
      </c>
      <c r="S29" s="952"/>
      <c r="T29" s="959" t="s">
        <v>1988</v>
      </c>
      <c r="U29" s="840" t="s">
        <v>1988</v>
      </c>
      <c r="V29" s="840"/>
      <c r="W29" s="840" t="s">
        <v>1988</v>
      </c>
      <c r="X29" s="837"/>
      <c r="Y29" s="995"/>
      <c r="Z29" s="840"/>
      <c r="AA29" s="843"/>
      <c r="AB29" s="840"/>
      <c r="AC29" s="840"/>
      <c r="AD29" s="840"/>
    </row>
    <row customHeight="1" ht="54">
      <c r="A30" s="839"/>
      <c r="B30" s="893">
        <v>13</v>
      </c>
      <c r="C30" s="837">
        <v>9</v>
      </c>
      <c r="D30" s="962"/>
      <c r="E30" s="837"/>
      <c r="F30" s="837"/>
      <c r="G30" s="885"/>
      <c r="H30" s="953"/>
      <c r="I30" s="1000" t="str">
        <f>INDEX(TEMPLATE_NUMBER_POINT_FHD,B30,MATCH(TEMPLATE_SPHERE,TEMPLATE_SPHERE_LIST_FOR_NOTE,0))</f>
        <v>2.6</v>
      </c>
      <c r="J30" s="1000"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0">
        <f>INDEX(TEMPLATE_NOTE_POINT_FHD,B30,MATCH(TEMPLATE_SPHERE,TEMPLATE_SPHERE_LIST_FOR_NOTE,0))</f>
        <v>0</v>
      </c>
      <c r="L30" s="838" t="str">
        <f>IF(I30=0,"",I30)</f>
        <v>2.6</v>
      </c>
      <c r="M30" s="838"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38" t="str">
        <f>IF(K30=0,"",K30)</f>
        <v/>
      </c>
      <c r="O30" s="952" t="s">
        <v>662</v>
      </c>
      <c r="P30" s="952" t="s">
        <v>653</v>
      </c>
      <c r="Q30" s="952" t="s">
        <v>662</v>
      </c>
      <c r="R30" s="952" t="s">
        <v>653</v>
      </c>
      <c r="S30" s="952"/>
      <c r="T30" s="959" t="s">
        <v>1989</v>
      </c>
      <c r="U30" s="840" t="s">
        <v>1989</v>
      </c>
      <c r="V30" s="840" t="s">
        <v>1989</v>
      </c>
      <c r="W30" s="840" t="s">
        <v>1989</v>
      </c>
      <c r="X30" s="837"/>
      <c r="Y30" s="995"/>
      <c r="Z30" s="840"/>
      <c r="AA30" s="843" t="s">
        <v>1990</v>
      </c>
      <c r="AB30" s="843" t="s">
        <v>1990</v>
      </c>
      <c r="AC30" s="843" t="s">
        <v>1990</v>
      </c>
      <c r="AD30" s="840"/>
    </row>
    <row customHeight="1" ht="18">
      <c r="A31" s="839"/>
      <c r="B31" s="893">
        <v>14</v>
      </c>
      <c r="C31" s="837" t="s">
        <v>1991</v>
      </c>
      <c r="D31" s="962"/>
      <c r="E31" s="837"/>
      <c r="F31" s="837"/>
      <c r="G31" s="885"/>
      <c r="H31" s="953"/>
      <c r="I31" s="1000" t="str">
        <f>INDEX(TEMPLATE_NUMBER_POINT_FHD,B31,MATCH(TEMPLATE_SPHERE,TEMPLATE_SPHERE_LIST_FOR_NOTE,0))</f>
        <v>2.6.1</v>
      </c>
      <c r="J31" s="1000" t="str">
        <f>INDEX(TEMPLATE_DATA_POINT_FHD,B31,MATCH(TEMPLATE_SPHERE,TEMPLATE_SPHERE_LIST_FOR_NOTE,0))</f>
        <v>Расходы на оплату труда основного производственного персонала</v>
      </c>
      <c r="K31" s="1000">
        <f>INDEX(TEMPLATE_NOTE_POINT_FHD,B31,MATCH(TEMPLATE_SPHERE,TEMPLATE_SPHERE_LIST_FOR_NOTE,0))</f>
        <v>0</v>
      </c>
      <c r="L31" s="838" t="str">
        <f>IF(I31=0,"",I31)</f>
        <v>2.6.1</v>
      </c>
      <c r="M31" s="838" t="str">
        <f>IF(J31=0,"",J31)</f>
        <v>Расходы на оплату труда основного производственного персонала</v>
      </c>
      <c r="N31" s="838" t="str">
        <f>IF(K31=0,"",K31)</f>
        <v/>
      </c>
      <c r="O31" s="952" t="s">
        <v>1992</v>
      </c>
      <c r="P31" s="952" t="s">
        <v>656</v>
      </c>
      <c r="Q31" s="952" t="s">
        <v>1992</v>
      </c>
      <c r="R31" s="952" t="s">
        <v>656</v>
      </c>
      <c r="S31" s="952"/>
      <c r="T31" s="960" t="s">
        <v>1993</v>
      </c>
      <c r="U31" s="840" t="s">
        <v>1993</v>
      </c>
      <c r="V31" s="840" t="s">
        <v>1993</v>
      </c>
      <c r="W31" s="840" t="s">
        <v>1993</v>
      </c>
      <c r="X31" s="837"/>
      <c r="Y31" s="995"/>
      <c r="Z31" s="840"/>
      <c r="AA31" s="843"/>
      <c r="AB31" s="843"/>
      <c r="AC31" s="843"/>
      <c r="AD31" s="840"/>
    </row>
    <row customHeight="1" ht="36">
      <c r="A32" s="839"/>
      <c r="B32" s="893">
        <v>15</v>
      </c>
      <c r="C32" s="837" t="s">
        <v>1994</v>
      </c>
      <c r="D32" s="962"/>
      <c r="E32" s="837"/>
      <c r="F32" s="837"/>
      <c r="G32" s="885"/>
      <c r="H32" s="953"/>
      <c r="I32" s="1000" t="str">
        <f>INDEX(TEMPLATE_NUMBER_POINT_FHD,B32,MATCH(TEMPLATE_SPHERE,TEMPLATE_SPHERE_LIST_FOR_NOTE,0))</f>
        <v>2.6.2</v>
      </c>
      <c r="J32" s="1000"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0">
        <f>INDEX(TEMPLATE_NOTE_POINT_FHD,B32,MATCH(TEMPLATE_SPHERE,TEMPLATE_SPHERE_LIST_FOR_NOTE,0))</f>
        <v>0</v>
      </c>
      <c r="L32" s="838" t="str">
        <f>IF(I32=0,"",I32)</f>
        <v>2.6.2</v>
      </c>
      <c r="M32" s="838" t="str">
        <f>IF(J32=0,"",J32)</f>
        <v>Страховые взносы на обязательное социальное страхование, выплачиваемые из фонда оплаты труда основного производственного персонала</v>
      </c>
      <c r="N32" s="838" t="str">
        <f>IF(K32=0,"",K32)</f>
        <v/>
      </c>
      <c r="O32" s="952" t="s">
        <v>1995</v>
      </c>
      <c r="P32" s="952" t="s">
        <v>658</v>
      </c>
      <c r="Q32" s="952" t="s">
        <v>1995</v>
      </c>
      <c r="R32" s="952" t="s">
        <v>658</v>
      </c>
      <c r="S32" s="952"/>
      <c r="T32" s="961" t="s">
        <v>1996</v>
      </c>
      <c r="U32" s="840" t="s">
        <v>1996</v>
      </c>
      <c r="V32" s="840" t="s">
        <v>1996</v>
      </c>
      <c r="W32" s="840" t="s">
        <v>1996</v>
      </c>
      <c r="X32" s="837"/>
      <c r="Y32" s="995"/>
      <c r="Z32" s="840"/>
      <c r="AA32" s="843"/>
      <c r="AB32" s="843"/>
      <c r="AC32" s="843"/>
      <c r="AD32" s="840"/>
    </row>
    <row customHeight="1" ht="45">
      <c r="A33" s="839"/>
      <c r="B33" s="893">
        <v>16</v>
      </c>
      <c r="C33" s="837">
        <v>10</v>
      </c>
      <c r="D33" s="962"/>
      <c r="E33" s="837"/>
      <c r="F33" s="837"/>
      <c r="G33" s="885"/>
      <c r="H33" s="953"/>
      <c r="I33" s="1000" t="str">
        <f>INDEX(TEMPLATE_NUMBER_POINT_FHD,B33,MATCH(TEMPLATE_SPHERE,TEMPLATE_SPHERE_LIST_FOR_NOTE,0))</f>
        <v>2.7</v>
      </c>
      <c r="J33" s="1000"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00">
        <f>INDEX(TEMPLATE_NOTE_POINT_FHD,B33,MATCH(TEMPLATE_SPHERE,TEMPLATE_SPHERE_LIST_FOR_NOTE,0))</f>
        <v>0</v>
      </c>
      <c r="L33" s="838" t="str">
        <f>IF(I33=0,"",I33)</f>
        <v>2.7</v>
      </c>
      <c r="M33" s="838"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38" t="str">
        <f>IF(K33=0,"",K33)</f>
        <v/>
      </c>
      <c r="O33" s="952" t="s">
        <v>664</v>
      </c>
      <c r="P33" s="952" t="s">
        <v>660</v>
      </c>
      <c r="Q33" s="952" t="s">
        <v>664</v>
      </c>
      <c r="R33" s="952" t="s">
        <v>660</v>
      </c>
      <c r="S33" s="952"/>
      <c r="T33" s="960" t="s">
        <v>1997</v>
      </c>
      <c r="U33" s="840" t="s">
        <v>1997</v>
      </c>
      <c r="V33" s="840" t="s">
        <v>1997</v>
      </c>
      <c r="W33" s="840" t="s">
        <v>1998</v>
      </c>
      <c r="X33" s="837"/>
      <c r="Y33" s="995"/>
      <c r="Z33" s="840"/>
      <c r="AA33" s="843" t="s">
        <v>1999</v>
      </c>
      <c r="AB33" s="843" t="s">
        <v>1999</v>
      </c>
      <c r="AC33" s="843" t="s">
        <v>1999</v>
      </c>
      <c r="AD33" s="840"/>
    </row>
    <row customHeight="1" ht="27">
      <c r="A34" s="839"/>
      <c r="B34" s="893">
        <v>17</v>
      </c>
      <c r="C34" s="837" t="s">
        <v>2000</v>
      </c>
      <c r="D34" s="962"/>
      <c r="E34" s="837"/>
      <c r="F34" s="837"/>
      <c r="G34" s="885"/>
      <c r="H34" s="953"/>
      <c r="I34" s="1000" t="str">
        <f>INDEX(TEMPLATE_NUMBER_POINT_FHD,B34,MATCH(TEMPLATE_SPHERE,TEMPLATE_SPHERE_LIST_FOR_NOTE,0))</f>
        <v>2.7.1</v>
      </c>
      <c r="J34" s="1000" t="str">
        <f>INDEX(TEMPLATE_DATA_POINT_FHD,B34,MATCH(TEMPLATE_SPHERE,TEMPLATE_SPHERE_LIST_FOR_NOTE,0))</f>
        <v>Расходы на оплату труда административно-управленческого персонала</v>
      </c>
      <c r="K34" s="1000">
        <f>INDEX(TEMPLATE_NOTE_POINT_FHD,B34,MATCH(TEMPLATE_SPHERE,TEMPLATE_SPHERE_LIST_FOR_NOTE,0))</f>
        <v>0</v>
      </c>
      <c r="L34" s="838" t="str">
        <f>IF(I34=0,"",I34)</f>
        <v>2.7.1</v>
      </c>
      <c r="M34" s="838" t="str">
        <f>IF(J34=0,"",J34)</f>
        <v>Расходы на оплату труда административно-управленческого персонала</v>
      </c>
      <c r="N34" s="838" t="str">
        <f>IF(K34=0,"",K34)</f>
        <v/>
      </c>
      <c r="O34" s="952" t="s">
        <v>2001</v>
      </c>
      <c r="P34" s="952" t="s">
        <v>1982</v>
      </c>
      <c r="Q34" s="952" t="s">
        <v>2001</v>
      </c>
      <c r="R34" s="952" t="s">
        <v>1982</v>
      </c>
      <c r="S34" s="952"/>
      <c r="T34" s="961" t="s">
        <v>2002</v>
      </c>
      <c r="U34" s="840" t="s">
        <v>2002</v>
      </c>
      <c r="V34" s="840" t="s">
        <v>2002</v>
      </c>
      <c r="W34" s="840" t="s">
        <v>2003</v>
      </c>
      <c r="X34" s="837"/>
      <c r="Y34" s="995"/>
      <c r="Z34" s="840"/>
      <c r="AA34" s="843"/>
      <c r="AB34" s="840"/>
      <c r="AC34" s="840"/>
      <c r="AD34" s="840"/>
    </row>
    <row customHeight="1" ht="45">
      <c r="A35" s="839"/>
      <c r="B35" s="893">
        <v>18</v>
      </c>
      <c r="C35" s="837" t="s">
        <v>2004</v>
      </c>
      <c r="D35" s="962"/>
      <c r="E35" s="837"/>
      <c r="F35" s="837"/>
      <c r="G35" s="885"/>
      <c r="H35" s="953"/>
      <c r="I35" s="1000" t="str">
        <f>INDEX(TEMPLATE_NUMBER_POINT_FHD,B35,MATCH(TEMPLATE_SPHERE,TEMPLATE_SPHERE_LIST_FOR_NOTE,0))</f>
        <v>2.7.2</v>
      </c>
      <c r="J35" s="1000"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0">
        <f>INDEX(TEMPLATE_NOTE_POINT_FHD,B35,MATCH(TEMPLATE_SPHERE,TEMPLATE_SPHERE_LIST_FOR_NOTE,0))</f>
        <v>0</v>
      </c>
      <c r="L35" s="838" t="str">
        <f>IF(I35=0,"",I35)</f>
        <v>2.7.2</v>
      </c>
      <c r="M35" s="838"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38" t="str">
        <f>IF(K35=0,"",K35)</f>
        <v/>
      </c>
      <c r="O35" s="952" t="s">
        <v>2005</v>
      </c>
      <c r="P35" s="952" t="s">
        <v>1985</v>
      </c>
      <c r="Q35" s="952" t="s">
        <v>2005</v>
      </c>
      <c r="R35" s="952" t="s">
        <v>1985</v>
      </c>
      <c r="S35" s="952"/>
      <c r="T35" s="959" t="s">
        <v>2006</v>
      </c>
      <c r="U35" s="840" t="s">
        <v>2006</v>
      </c>
      <c r="V35" s="840" t="s">
        <v>2006</v>
      </c>
      <c r="W35" s="840" t="s">
        <v>2006</v>
      </c>
      <c r="X35" s="837"/>
      <c r="Y35" s="995"/>
      <c r="Z35" s="840"/>
      <c r="AA35" s="843"/>
      <c r="AB35" s="840"/>
      <c r="AC35" s="840"/>
      <c r="AD35" s="840"/>
    </row>
    <row customHeight="1" ht="18">
      <c r="A36" s="839"/>
      <c r="B36" s="893">
        <v>19</v>
      </c>
      <c r="C36" s="837">
        <v>11</v>
      </c>
      <c r="D36" s="962"/>
      <c r="E36" s="837"/>
      <c r="F36" s="837"/>
      <c r="G36" s="885"/>
      <c r="H36" s="953"/>
      <c r="I36" s="1000" t="str">
        <f>INDEX(TEMPLATE_NUMBER_POINT_FHD,B36,MATCH(TEMPLATE_SPHERE,TEMPLATE_SPHERE_LIST_FOR_NOTE,0))</f>
        <v>2.8</v>
      </c>
      <c r="J36" s="1000" t="str">
        <f>INDEX(TEMPLATE_DATA_POINT_FHD,B36,MATCH(TEMPLATE_SPHERE,TEMPLATE_SPHERE_LIST_FOR_NOTE,0))</f>
        <v>Расходы на амортизацию основных средств и нематериальных активов</v>
      </c>
      <c r="K36" s="1000">
        <f>INDEX(TEMPLATE_NOTE_POINT_FHD,B36,MATCH(TEMPLATE_SPHERE,TEMPLATE_SPHERE_LIST_FOR_NOTE,0))</f>
        <v>0</v>
      </c>
      <c r="L36" s="838" t="str">
        <f>IF(I36=0,"",I36)</f>
        <v>2.8</v>
      </c>
      <c r="M36" s="838" t="str">
        <f>IF(J36=0,"",J36)</f>
        <v>Расходы на амортизацию основных средств и нематериальных активов</v>
      </c>
      <c r="N36" s="838" t="str">
        <f>IF(K36=0,"",K36)</f>
        <v/>
      </c>
      <c r="O36" s="952" t="s">
        <v>666</v>
      </c>
      <c r="P36" s="952" t="s">
        <v>662</v>
      </c>
      <c r="Q36" s="952" t="s">
        <v>666</v>
      </c>
      <c r="R36" s="952" t="s">
        <v>662</v>
      </c>
      <c r="S36" s="952"/>
      <c r="T36" s="959" t="s">
        <v>2007</v>
      </c>
      <c r="U36" s="840" t="s">
        <v>2007</v>
      </c>
      <c r="V36" s="840" t="s">
        <v>2007</v>
      </c>
      <c r="W36" s="840" t="s">
        <v>2007</v>
      </c>
      <c r="X36" s="837"/>
      <c r="Y36" s="995"/>
      <c r="Z36" s="840"/>
      <c r="AA36" s="843"/>
      <c r="AB36" s="840"/>
      <c r="AC36" s="840"/>
      <c r="AD36" s="840"/>
    </row>
    <row customHeight="1" ht="18">
      <c r="A37" s="839"/>
      <c r="B37" s="893">
        <v>20</v>
      </c>
      <c r="C37" s="837" t="s">
        <v>2008</v>
      </c>
      <c r="D37" s="962"/>
      <c r="E37" s="837"/>
      <c r="F37" s="837"/>
      <c r="G37" s="885"/>
      <c r="H37" s="953"/>
      <c r="I37" s="1000" t="str">
        <f>INDEX(TEMPLATE_NUMBER_POINT_FHD,B37,MATCH(TEMPLATE_SPHERE,TEMPLATE_SPHERE_LIST_FOR_NOTE,0))</f>
        <v>2.8.1</v>
      </c>
      <c r="J37" s="1000" t="str">
        <f>INDEX(TEMPLATE_DATA_POINT_FHD,B37,MATCH(TEMPLATE_SPHERE,TEMPLATE_SPHERE_LIST_FOR_NOTE,0))</f>
        <v>Расходы на амортизацию основных средств</v>
      </c>
      <c r="K37" s="1000">
        <f>INDEX(TEMPLATE_NOTE_POINT_FHD,B37,MATCH(TEMPLATE_SPHERE,TEMPLATE_SPHERE_LIST_FOR_NOTE,0))</f>
        <v>0</v>
      </c>
      <c r="L37" s="838" t="str">
        <f>IF(I37=0,"",I37)</f>
        <v>2.8.1</v>
      </c>
      <c r="M37" s="838" t="str">
        <f>IF(J37=0,"",J37)</f>
        <v>Расходы на амортизацию основных средств</v>
      </c>
      <c r="N37" s="838" t="str">
        <f>IF(K37=0,"",K37)</f>
        <v/>
      </c>
      <c r="O37" s="952" t="s">
        <v>2009</v>
      </c>
      <c r="P37" s="952" t="s">
        <v>1992</v>
      </c>
      <c r="Q37" s="952" t="s">
        <v>2009</v>
      </c>
      <c r="R37" s="952" t="s">
        <v>1992</v>
      </c>
      <c r="S37" s="952"/>
      <c r="T37" s="959" t="s">
        <v>2010</v>
      </c>
      <c r="U37" s="840" t="s">
        <v>2010</v>
      </c>
      <c r="V37" s="840" t="s">
        <v>2010</v>
      </c>
      <c r="W37" s="840" t="s">
        <v>2010</v>
      </c>
      <c r="X37" s="837"/>
      <c r="Y37" s="995"/>
      <c r="Z37" s="840"/>
      <c r="AA37" s="843"/>
      <c r="AB37" s="840"/>
      <c r="AC37" s="840"/>
      <c r="AD37" s="840"/>
    </row>
    <row customHeight="1" ht="18">
      <c r="A38" s="839"/>
      <c r="B38" s="893">
        <v>21</v>
      </c>
      <c r="C38" s="837" t="s">
        <v>2011</v>
      </c>
      <c r="D38" s="962"/>
      <c r="E38" s="837"/>
      <c r="F38" s="837"/>
      <c r="G38" s="885"/>
      <c r="H38" s="953"/>
      <c r="I38" s="1000" t="str">
        <f>INDEX(TEMPLATE_NUMBER_POINT_FHD,B38,MATCH(TEMPLATE_SPHERE,TEMPLATE_SPHERE_LIST_FOR_NOTE,0))</f>
        <v>2.8.2</v>
      </c>
      <c r="J38" s="1000" t="str">
        <f>INDEX(TEMPLATE_DATA_POINT_FHD,B38,MATCH(TEMPLATE_SPHERE,TEMPLATE_SPHERE_LIST_FOR_NOTE,0))</f>
        <v>Расходы на амортизацию нематериальных активов</v>
      </c>
      <c r="K38" s="1000">
        <f>INDEX(TEMPLATE_NOTE_POINT_FHD,B38,MATCH(TEMPLATE_SPHERE,TEMPLATE_SPHERE_LIST_FOR_NOTE,0))</f>
        <v>0</v>
      </c>
      <c r="L38" s="838" t="str">
        <f>IF(I38=0,"",I38)</f>
        <v>2.8.2</v>
      </c>
      <c r="M38" s="838" t="str">
        <f>IF(J38=0,"",J38)</f>
        <v>Расходы на амортизацию нематериальных активов</v>
      </c>
      <c r="N38" s="838" t="str">
        <f>IF(K38=0,"",K38)</f>
        <v/>
      </c>
      <c r="O38" s="952" t="s">
        <v>2012</v>
      </c>
      <c r="P38" s="952" t="s">
        <v>1995</v>
      </c>
      <c r="Q38" s="952" t="s">
        <v>2012</v>
      </c>
      <c r="R38" s="952" t="s">
        <v>1995</v>
      </c>
      <c r="S38" s="952"/>
      <c r="T38" s="959" t="s">
        <v>2013</v>
      </c>
      <c r="U38" s="840" t="s">
        <v>2013</v>
      </c>
      <c r="V38" s="840" t="s">
        <v>2013</v>
      </c>
      <c r="W38" s="840" t="s">
        <v>2013</v>
      </c>
      <c r="X38" s="837"/>
      <c r="Y38" s="995"/>
      <c r="Z38" s="840"/>
      <c r="AA38" s="843"/>
      <c r="AB38" s="840"/>
      <c r="AC38" s="840"/>
      <c r="AD38" s="840"/>
    </row>
    <row customHeight="1" ht="36">
      <c r="A39" s="839"/>
      <c r="B39" s="893">
        <v>22</v>
      </c>
      <c r="C39" s="837">
        <v>12</v>
      </c>
      <c r="D39" s="962"/>
      <c r="E39" s="837"/>
      <c r="F39" s="837"/>
      <c r="G39" s="885"/>
      <c r="H39" s="953"/>
      <c r="I39" s="1000" t="str">
        <f>INDEX(TEMPLATE_NUMBER_POINT_FHD,B39,MATCH(TEMPLATE_SPHERE,TEMPLATE_SPHERE_LIST_FOR_NOTE,0))</f>
        <v>2.9</v>
      </c>
      <c r="J39" s="1000" t="str">
        <f>INDEX(TEMPLATE_DATA_POINT_FHD,B39,MATCH(TEMPLATE_SPHERE,TEMPLATE_SPHERE_LIST_FOR_NOTE,0))</f>
        <v>Расходы на аренду имущества, используемого для осуществления регулируемого вида деятельности</v>
      </c>
      <c r="K39" s="1000">
        <f>INDEX(TEMPLATE_NOTE_POINT_FHD,B39,MATCH(TEMPLATE_SPHERE,TEMPLATE_SPHERE_LIST_FOR_NOTE,0))</f>
        <v>0</v>
      </c>
      <c r="L39" s="838" t="str">
        <f>IF(I39=0,"",I39)</f>
        <v>2.9</v>
      </c>
      <c r="M39" s="838" t="str">
        <f>IF(J39=0,"",J39)</f>
        <v>Расходы на аренду имущества, используемого для осуществления регулируемого вида деятельности</v>
      </c>
      <c r="N39" s="838" t="str">
        <f>IF(K39=0,"",K39)</f>
        <v/>
      </c>
      <c r="O39" s="952" t="s">
        <v>670</v>
      </c>
      <c r="P39" s="952" t="s">
        <v>664</v>
      </c>
      <c r="Q39" s="952" t="s">
        <v>670</v>
      </c>
      <c r="R39" s="952" t="s">
        <v>664</v>
      </c>
      <c r="S39" s="952"/>
      <c r="T39" s="959" t="s">
        <v>2014</v>
      </c>
      <c r="U39" s="840" t="s">
        <v>2015</v>
      </c>
      <c r="V39" s="840" t="s">
        <v>2016</v>
      </c>
      <c r="W39" s="840" t="s">
        <v>2017</v>
      </c>
      <c r="X39" s="837"/>
      <c r="Y39" s="995"/>
      <c r="Z39" s="840"/>
      <c r="AA39" s="843"/>
      <c r="AB39" s="840"/>
      <c r="AC39" s="840"/>
      <c r="AD39" s="840"/>
    </row>
    <row customHeight="1" ht="18">
      <c r="A40" s="839"/>
      <c r="B40" s="893">
        <v>23</v>
      </c>
      <c r="C40" s="837">
        <v>13</v>
      </c>
      <c r="D40" s="962"/>
      <c r="E40" s="837"/>
      <c r="F40" s="837"/>
      <c r="G40" s="837"/>
      <c r="H40" s="888"/>
      <c r="I40" s="1000" t="str">
        <f>INDEX(TEMPLATE_NUMBER_POINT_FHD,B40,MATCH(TEMPLATE_SPHERE,TEMPLATE_SPHERE_LIST_FOR_NOTE,0))</f>
        <v>2.10</v>
      </c>
      <c r="J40" s="1000" t="str">
        <f>INDEX(TEMPLATE_DATA_POINT_FHD,B40,MATCH(TEMPLATE_SPHERE,TEMPLATE_SPHERE_LIST_FOR_NOTE,0))</f>
        <v>Общепроизводственные расходы, в том числе:</v>
      </c>
      <c r="K40" s="1000" t="str">
        <f>INDEX(TEMPLATE_NOTE_POINT_FHD,B40,MATCH(TEMPLATE_SPHERE,TEMPLATE_SPHERE_LIST_FOR_NOTE,0))</f>
        <v>Указывается общая сумма общепроизводственных расходов.</v>
      </c>
      <c r="L40" s="838" t="str">
        <f>IF(I40=0,"",I40)</f>
        <v>2.10</v>
      </c>
      <c r="M40" s="838" t="str">
        <f>IF(J40=0,"",J40)</f>
        <v>Общепроизводственные расходы, в том числе:</v>
      </c>
      <c r="N40" s="838" t="str">
        <f>IF(K40=0,"",K40)</f>
        <v>Указывается общая сумма общепроизводственных расходов.</v>
      </c>
      <c r="O40" s="952" t="s">
        <v>2018</v>
      </c>
      <c r="P40" s="952" t="s">
        <v>666</v>
      </c>
      <c r="Q40" s="952" t="s">
        <v>2018</v>
      </c>
      <c r="R40" s="952" t="s">
        <v>666</v>
      </c>
      <c r="S40" s="952"/>
      <c r="T40" s="837" t="s">
        <v>2019</v>
      </c>
      <c r="U40" s="837" t="s">
        <v>2019</v>
      </c>
      <c r="V40" s="837" t="s">
        <v>2019</v>
      </c>
      <c r="W40" s="837" t="s">
        <v>2019</v>
      </c>
      <c r="X40" s="837"/>
      <c r="Y40" s="995"/>
      <c r="Z40" s="840" t="s">
        <v>2020</v>
      </c>
      <c r="AA40" s="843" t="s">
        <v>2020</v>
      </c>
      <c r="AB40" s="843" t="s">
        <v>2020</v>
      </c>
      <c r="AC40" s="843" t="s">
        <v>2020</v>
      </c>
      <c r="AD40" s="840"/>
    </row>
    <row customHeight="1" ht="27">
      <c r="A41" s="839"/>
      <c r="B41" s="893">
        <v>24</v>
      </c>
      <c r="C41" s="837" t="s">
        <v>2021</v>
      </c>
      <c r="D41" s="962"/>
      <c r="E41" s="837"/>
      <c r="F41" s="837"/>
      <c r="G41" s="837"/>
      <c r="H41" s="885"/>
      <c r="I41" s="1000" t="str">
        <f>INDEX(TEMPLATE_NUMBER_POINT_FHD,B41,MATCH(TEMPLATE_SPHERE,TEMPLATE_SPHERE_LIST_FOR_NOTE,0))</f>
        <v>2.10.1</v>
      </c>
      <c r="J41" s="1000" t="str">
        <f>INDEX(TEMPLATE_DATA_POINT_FHD,B41,MATCH(TEMPLATE_SPHERE,TEMPLATE_SPHERE_LIST_FOR_NOTE,0))</f>
        <v>Расходы на текущий ремонт</v>
      </c>
      <c r="K41" s="1000" t="str">
        <f>INDEX(TEMPLATE_NOTE_POINT_FHD,B41,MATCH(TEMPLATE_SPHERE,TEMPLATE_SPHERE_LIST_FOR_NOTE,0))</f>
        <v>Указываются расходы на текущий ремонт, отнесенные к общепроизводственным расходам.</v>
      </c>
      <c r="L41" s="838" t="str">
        <f>IF(I41=0,"",I41)</f>
        <v>2.10.1</v>
      </c>
      <c r="M41" s="838" t="str">
        <f>IF(J41=0,"",J41)</f>
        <v>Расходы на текущий ремонт</v>
      </c>
      <c r="N41" s="838" t="str">
        <f>IF(K41=0,"",K41)</f>
        <v>Указываются расходы на текущий ремонт, отнесенные к общепроизводственным расходам.</v>
      </c>
      <c r="O41" s="952" t="s">
        <v>2022</v>
      </c>
      <c r="P41" s="952" t="s">
        <v>2009</v>
      </c>
      <c r="Q41" s="952" t="s">
        <v>2022</v>
      </c>
      <c r="R41" s="952" t="s">
        <v>2009</v>
      </c>
      <c r="S41" s="952"/>
      <c r="T41" s="837" t="s">
        <v>2023</v>
      </c>
      <c r="U41" s="837" t="s">
        <v>2023</v>
      </c>
      <c r="V41" s="837" t="s">
        <v>2023</v>
      </c>
      <c r="W41" s="837" t="s">
        <v>2023</v>
      </c>
      <c r="X41" s="837"/>
      <c r="Y41" s="995"/>
      <c r="Z41" s="840" t="s">
        <v>2024</v>
      </c>
      <c r="AA41" s="840" t="s">
        <v>2024</v>
      </c>
      <c r="AB41" s="840" t="s">
        <v>2024</v>
      </c>
      <c r="AC41" s="840" t="s">
        <v>2024</v>
      </c>
      <c r="AD41" s="840"/>
    </row>
    <row customHeight="1" ht="27">
      <c r="A42" s="839"/>
      <c r="B42" s="893">
        <v>25</v>
      </c>
      <c r="C42" s="837" t="s">
        <v>2025</v>
      </c>
      <c r="D42" s="962"/>
      <c r="E42" s="837"/>
      <c r="F42" s="837"/>
      <c r="G42" s="837"/>
      <c r="H42" s="885"/>
      <c r="I42" s="1000" t="str">
        <f>INDEX(TEMPLATE_NUMBER_POINT_FHD,B42,MATCH(TEMPLATE_SPHERE,TEMPLATE_SPHERE_LIST_FOR_NOTE,0))</f>
        <v>2.10.2</v>
      </c>
      <c r="J42" s="1000" t="str">
        <f>INDEX(TEMPLATE_DATA_POINT_FHD,B42,MATCH(TEMPLATE_SPHERE,TEMPLATE_SPHERE_LIST_FOR_NOTE,0))</f>
        <v>Расходы на капитальный ремонт</v>
      </c>
      <c r="K42" s="1000" t="str">
        <f>INDEX(TEMPLATE_NOTE_POINT_FHD,B42,MATCH(TEMPLATE_SPHERE,TEMPLATE_SPHERE_LIST_FOR_NOTE,0))</f>
        <v>Указываются расходы на капитальный ремонт, отнесенные к общепроизводственным расходам.</v>
      </c>
      <c r="L42" s="838" t="str">
        <f>IF(I42=0,"",I42)</f>
        <v>2.10.2</v>
      </c>
      <c r="M42" s="838" t="str">
        <f>IF(J42=0,"",J42)</f>
        <v>Расходы на капитальный ремонт</v>
      </c>
      <c r="N42" s="838" t="str">
        <f>IF(K42=0,"",K42)</f>
        <v>Указываются расходы на капитальный ремонт, отнесенные к общепроизводственным расходам.</v>
      </c>
      <c r="O42" s="952" t="s">
        <v>2026</v>
      </c>
      <c r="P42" s="952" t="s">
        <v>2012</v>
      </c>
      <c r="Q42" s="952" t="s">
        <v>2026</v>
      </c>
      <c r="R42" s="952" t="s">
        <v>2012</v>
      </c>
      <c r="S42" s="952"/>
      <c r="T42" s="837" t="s">
        <v>2027</v>
      </c>
      <c r="U42" s="837" t="s">
        <v>2027</v>
      </c>
      <c r="V42" s="837" t="s">
        <v>2027</v>
      </c>
      <c r="W42" s="837" t="s">
        <v>2027</v>
      </c>
      <c r="X42" s="837"/>
      <c r="Y42" s="995"/>
      <c r="Z42" s="840" t="s">
        <v>2028</v>
      </c>
      <c r="AA42" s="840" t="s">
        <v>2028</v>
      </c>
      <c r="AB42" s="840" t="s">
        <v>2028</v>
      </c>
      <c r="AC42" s="840" t="s">
        <v>2028</v>
      </c>
      <c r="AD42" s="840"/>
    </row>
    <row customHeight="1" ht="18">
      <c r="A43" s="839"/>
      <c r="B43" s="893">
        <v>26</v>
      </c>
      <c r="C43" s="837">
        <v>14</v>
      </c>
      <c r="D43" s="962"/>
      <c r="E43" s="837"/>
      <c r="F43" s="837"/>
      <c r="G43" s="837"/>
      <c r="H43" s="885"/>
      <c r="I43" s="1000" t="str">
        <f>INDEX(TEMPLATE_NUMBER_POINT_FHD,B43,MATCH(TEMPLATE_SPHERE,TEMPLATE_SPHERE_LIST_FOR_NOTE,0))</f>
        <v>2.11</v>
      </c>
      <c r="J43" s="1000" t="str">
        <f>INDEX(TEMPLATE_DATA_POINT_FHD,B43,MATCH(TEMPLATE_SPHERE,TEMPLATE_SPHERE_LIST_FOR_NOTE,0))</f>
        <v>Общехозяйственные расходы, в том числе:</v>
      </c>
      <c r="K43" s="1000" t="str">
        <f>INDEX(TEMPLATE_NOTE_POINT_FHD,B43,MATCH(TEMPLATE_SPHERE,TEMPLATE_SPHERE_LIST_FOR_NOTE,0))</f>
        <v>Указывается общая сумма общехозяйственных расходов.</v>
      </c>
      <c r="L43" s="838" t="str">
        <f>IF(I43=0,"",I43)</f>
        <v>2.11</v>
      </c>
      <c r="M43" s="838" t="str">
        <f>IF(J43=0,"",J43)</f>
        <v>Общехозяйственные расходы, в том числе:</v>
      </c>
      <c r="N43" s="838" t="str">
        <f>IF(K43=0,"",K43)</f>
        <v>Указывается общая сумма общехозяйственных расходов.</v>
      </c>
      <c r="O43" s="952" t="s">
        <v>2029</v>
      </c>
      <c r="P43" s="952" t="s">
        <v>670</v>
      </c>
      <c r="Q43" s="952" t="s">
        <v>2029</v>
      </c>
      <c r="R43" s="952" t="s">
        <v>670</v>
      </c>
      <c r="S43" s="952"/>
      <c r="T43" s="837" t="s">
        <v>2030</v>
      </c>
      <c r="U43" s="837" t="s">
        <v>2030</v>
      </c>
      <c r="V43" s="837" t="s">
        <v>2030</v>
      </c>
      <c r="W43" s="837" t="s">
        <v>2030</v>
      </c>
      <c r="X43" s="837"/>
      <c r="Y43" s="995"/>
      <c r="Z43" s="840" t="s">
        <v>2031</v>
      </c>
      <c r="AA43" s="840" t="s">
        <v>2031</v>
      </c>
      <c r="AB43" s="840" t="s">
        <v>2031</v>
      </c>
      <c r="AC43" s="840" t="s">
        <v>2031</v>
      </c>
      <c r="AD43" s="840"/>
    </row>
    <row customHeight="1" ht="27">
      <c r="A44" s="839"/>
      <c r="B44" s="893">
        <v>27</v>
      </c>
      <c r="C44" s="837" t="s">
        <v>2032</v>
      </c>
      <c r="D44" s="962"/>
      <c r="E44" s="837"/>
      <c r="F44" s="837"/>
      <c r="G44" s="837"/>
      <c r="H44" s="885"/>
      <c r="I44" s="1000" t="str">
        <f>INDEX(TEMPLATE_NUMBER_POINT_FHD,B44,MATCH(TEMPLATE_SPHERE,TEMPLATE_SPHERE_LIST_FOR_NOTE,0))</f>
        <v>2.11.1</v>
      </c>
      <c r="J44" s="1000" t="str">
        <f>INDEX(TEMPLATE_DATA_POINT_FHD,B44,MATCH(TEMPLATE_SPHERE,TEMPLATE_SPHERE_LIST_FOR_NOTE,0))</f>
        <v>Расходы на текущий ремонт</v>
      </c>
      <c r="K44" s="1000" t="str">
        <f>INDEX(TEMPLATE_NOTE_POINT_FHD,B44,MATCH(TEMPLATE_SPHERE,TEMPLATE_SPHERE_LIST_FOR_NOTE,0))</f>
        <v>Указываются расходы на текущий ремонт, отнесенные к общехозяйственным расходам.</v>
      </c>
      <c r="L44" s="838" t="str">
        <f>IF(I44=0,"",I44)</f>
        <v>2.11.1</v>
      </c>
      <c r="M44" s="838" t="str">
        <f>IF(J44=0,"",J44)</f>
        <v>Расходы на текущий ремонт</v>
      </c>
      <c r="N44" s="838" t="str">
        <f>IF(K44=0,"",K44)</f>
        <v>Указываются расходы на текущий ремонт, отнесенные к общехозяйственным расходам.</v>
      </c>
      <c r="O44" s="952" t="s">
        <v>2033</v>
      </c>
      <c r="P44" s="952" t="s">
        <v>2034</v>
      </c>
      <c r="Q44" s="952" t="s">
        <v>2033</v>
      </c>
      <c r="R44" s="952" t="s">
        <v>2034</v>
      </c>
      <c r="S44" s="952"/>
      <c r="T44" s="837" t="s">
        <v>2023</v>
      </c>
      <c r="U44" s="837" t="s">
        <v>2023</v>
      </c>
      <c r="V44" s="837" t="s">
        <v>2023</v>
      </c>
      <c r="W44" s="837" t="s">
        <v>2023</v>
      </c>
      <c r="X44" s="837"/>
      <c r="Y44" s="995"/>
      <c r="Z44" s="840" t="s">
        <v>2035</v>
      </c>
      <c r="AA44" s="840" t="s">
        <v>2035</v>
      </c>
      <c r="AB44" s="840" t="s">
        <v>2035</v>
      </c>
      <c r="AC44" s="840" t="s">
        <v>2035</v>
      </c>
      <c r="AD44" s="840"/>
    </row>
    <row customHeight="1" ht="27">
      <c r="A45" s="839"/>
      <c r="B45" s="893">
        <v>28</v>
      </c>
      <c r="C45" s="837" t="s">
        <v>2036</v>
      </c>
      <c r="D45" s="962"/>
      <c r="E45" s="837"/>
      <c r="F45" s="837"/>
      <c r="G45" s="837"/>
      <c r="H45" s="885"/>
      <c r="I45" s="1000" t="str">
        <f>INDEX(TEMPLATE_NUMBER_POINT_FHD,B45,MATCH(TEMPLATE_SPHERE,TEMPLATE_SPHERE_LIST_FOR_NOTE,0))</f>
        <v>2.11.2</v>
      </c>
      <c r="J45" s="1000" t="str">
        <f>INDEX(TEMPLATE_DATA_POINT_FHD,B45,MATCH(TEMPLATE_SPHERE,TEMPLATE_SPHERE_LIST_FOR_NOTE,0))</f>
        <v>Расходы на капитальный ремонт</v>
      </c>
      <c r="K45" s="1000" t="str">
        <f>INDEX(TEMPLATE_NOTE_POINT_FHD,B45,MATCH(TEMPLATE_SPHERE,TEMPLATE_SPHERE_LIST_FOR_NOTE,0))</f>
        <v>Указываются расходы на капитальный ремонт, отнесенные к общехозяйственным расходам.</v>
      </c>
      <c r="L45" s="838" t="str">
        <f>IF(I45=0,"",I45)</f>
        <v>2.11.2</v>
      </c>
      <c r="M45" s="838" t="str">
        <f>IF(J45=0,"",J45)</f>
        <v>Расходы на капитальный ремонт</v>
      </c>
      <c r="N45" s="838" t="str">
        <f>IF(K45=0,"",K45)</f>
        <v>Указываются расходы на капитальный ремонт, отнесенные к общехозяйственным расходам.</v>
      </c>
      <c r="O45" s="952" t="s">
        <v>2037</v>
      </c>
      <c r="P45" s="952" t="s">
        <v>2038</v>
      </c>
      <c r="Q45" s="952" t="s">
        <v>2037</v>
      </c>
      <c r="R45" s="952" t="s">
        <v>2038</v>
      </c>
      <c r="S45" s="952"/>
      <c r="T45" s="837" t="s">
        <v>2027</v>
      </c>
      <c r="U45" s="837" t="s">
        <v>2027</v>
      </c>
      <c r="V45" s="837" t="s">
        <v>2027</v>
      </c>
      <c r="W45" s="837" t="s">
        <v>2027</v>
      </c>
      <c r="X45" s="837"/>
      <c r="Y45" s="995"/>
      <c r="Z45" s="840" t="s">
        <v>2039</v>
      </c>
      <c r="AA45" s="840" t="s">
        <v>2039</v>
      </c>
      <c r="AB45" s="840" t="s">
        <v>2039</v>
      </c>
      <c r="AC45" s="840" t="s">
        <v>2039</v>
      </c>
      <c r="AD45" s="840"/>
    </row>
    <row customHeight="1" ht="54">
      <c r="A46" s="839"/>
      <c r="B46" s="893">
        <v>29</v>
      </c>
      <c r="C46" s="837">
        <v>15</v>
      </c>
      <c r="D46" s="962"/>
      <c r="E46" s="837"/>
      <c r="F46" s="837"/>
      <c r="G46" s="837"/>
      <c r="H46" s="885"/>
      <c r="I46" s="1000" t="str">
        <f>INDEX(TEMPLATE_NUMBER_POINT_FHD,B46,MATCH(TEMPLATE_SPHERE,TEMPLATE_SPHERE_LIST_FOR_NOTE,0))</f>
        <v>2.12</v>
      </c>
      <c r="J46" s="1000" t="str">
        <f>INDEX(TEMPLATE_DATA_POINT_FHD,B46,MATCH(TEMPLATE_SPHERE,TEMPLATE_SPHERE_LIST_FOR_NOTE,0))</f>
        <v>Расходы на капитальный и текущий ремонт основных средств</v>
      </c>
      <c r="K46" s="1000"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38" t="str">
        <f>IF(I46=0,"",I46)</f>
        <v>2.12</v>
      </c>
      <c r="M46" s="838" t="str">
        <f>IF(J46=0,"",J46)</f>
        <v>Расходы на капитальный и текущий ремонт основных средств</v>
      </c>
      <c r="N46" s="838"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2" t="s">
        <v>2040</v>
      </c>
      <c r="P46" s="952" t="s">
        <v>2018</v>
      </c>
      <c r="Q46" s="952" t="s">
        <v>2040</v>
      </c>
      <c r="R46" s="952" t="s">
        <v>2018</v>
      </c>
      <c r="S46" s="952"/>
      <c r="T46" s="837" t="s">
        <v>2041</v>
      </c>
      <c r="U46" s="837" t="s">
        <v>2041</v>
      </c>
      <c r="V46" s="837" t="s">
        <v>2041</v>
      </c>
      <c r="W46" s="837" t="s">
        <v>2041</v>
      </c>
      <c r="X46" s="837"/>
      <c r="Y46" s="995"/>
      <c r="Z46" s="840" t="s">
        <v>2042</v>
      </c>
      <c r="AA46" s="840" t="s">
        <v>2043</v>
      </c>
      <c r="AB46" s="840" t="s">
        <v>2043</v>
      </c>
      <c r="AC46" s="840" t="s">
        <v>2043</v>
      </c>
      <c r="AD46" s="840"/>
    </row>
    <row customHeight="1" ht="54">
      <c r="A47" s="839"/>
      <c r="B47" s="893">
        <v>30</v>
      </c>
      <c r="C47" s="837" t="s">
        <v>2044</v>
      </c>
      <c r="D47" s="962"/>
      <c r="E47" s="837"/>
      <c r="F47" s="837"/>
      <c r="G47" s="837"/>
      <c r="H47" s="885"/>
      <c r="I47" s="1000" t="str">
        <f>INDEX(TEMPLATE_NUMBER_POINT_FHD,B47,MATCH(TEMPLATE_SPHERE,TEMPLATE_SPHERE_LIST_FOR_NOTE,0))</f>
        <v>2.12.1</v>
      </c>
      <c r="J47" s="1000"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0">
        <f>INDEX(TEMPLATE_NOTE_POINT_FHD,B47,MATCH(TEMPLATE_SPHERE,TEMPLATE_SPHERE_LIST_FOR_NOTE,0))</f>
        <v>0</v>
      </c>
      <c r="L47" s="838" t="str">
        <f>IF(I47=0,"",I47)</f>
        <v>2.12.1</v>
      </c>
      <c r="M47" s="838"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38" t="str">
        <f>IF(K47=0,"",K47)</f>
        <v/>
      </c>
      <c r="O47" s="952" t="s">
        <v>2045</v>
      </c>
      <c r="P47" s="952" t="s">
        <v>2022</v>
      </c>
      <c r="Q47" s="952" t="s">
        <v>2045</v>
      </c>
      <c r="R47" s="952" t="s">
        <v>2022</v>
      </c>
      <c r="S47" s="952"/>
      <c r="T47" s="837" t="s">
        <v>2046</v>
      </c>
      <c r="U47" s="837" t="s">
        <v>2046</v>
      </c>
      <c r="V47" s="837" t="s">
        <v>2046</v>
      </c>
      <c r="W47" s="837" t="s">
        <v>2046</v>
      </c>
      <c r="X47" s="837"/>
      <c r="Y47" s="995"/>
      <c r="Z47" s="840"/>
      <c r="AA47" s="843"/>
      <c r="AB47" s="843"/>
      <c r="AC47" s="843"/>
      <c r="AD47" s="840"/>
    </row>
    <row customHeight="1" ht="54">
      <c r="A48" s="839"/>
      <c r="B48" s="893">
        <v>31</v>
      </c>
      <c r="C48" s="837">
        <v>16</v>
      </c>
      <c r="D48" s="962"/>
      <c r="E48" s="837"/>
      <c r="F48" s="837"/>
      <c r="G48" s="837"/>
      <c r="H48" s="885"/>
      <c r="I48" s="1000">
        <f>INDEX(TEMPLATE_NUMBER_POINT_FHD,B48,MATCH(TEMPLATE_SPHERE,TEMPLATE_SPHERE_LIST_FOR_NOTE,0))</f>
        <v>0</v>
      </c>
      <c r="J48" s="1000">
        <f>INDEX(TEMPLATE_DATA_POINT_FHD,B48,MATCH(TEMPLATE_SPHERE,TEMPLATE_SPHERE_LIST_FOR_NOTE,0))</f>
        <v>0</v>
      </c>
      <c r="K48" s="1000">
        <f>INDEX(TEMPLATE_NOTE_POINT_FHD,B48,MATCH(TEMPLATE_SPHERE,TEMPLATE_SPHERE_LIST_FOR_NOTE,0))</f>
        <v>0</v>
      </c>
      <c r="L48" s="838" t="str">
        <f>IF(I48=0,"",I48)</f>
        <v/>
      </c>
      <c r="M48" s="838" t="str">
        <f>IF(J48=0,"",J48)</f>
        <v/>
      </c>
      <c r="N48" s="838" t="str">
        <f>IF(K48=0,"",K48)</f>
        <v/>
      </c>
      <c r="O48" s="952"/>
      <c r="P48" s="952" t="s">
        <v>2029</v>
      </c>
      <c r="Q48" s="952" t="s">
        <v>2047</v>
      </c>
      <c r="R48" s="952" t="s">
        <v>2029</v>
      </c>
      <c r="S48" s="952"/>
      <c r="T48" s="837"/>
      <c r="U48" s="837" t="s">
        <v>2048</v>
      </c>
      <c r="V48" s="837" t="s">
        <v>2049</v>
      </c>
      <c r="W48" s="837" t="s">
        <v>2049</v>
      </c>
      <c r="X48" s="837"/>
      <c r="Y48" s="995"/>
      <c r="Z48" s="840"/>
      <c r="AA48" s="843" t="s">
        <v>2043</v>
      </c>
      <c r="AB48" s="843" t="s">
        <v>2043</v>
      </c>
      <c r="AC48" s="843" t="s">
        <v>2043</v>
      </c>
      <c r="AD48" s="840"/>
    </row>
    <row customHeight="1" ht="54">
      <c r="A49" s="839"/>
      <c r="B49" s="893">
        <v>32</v>
      </c>
      <c r="C49" s="837" t="s">
        <v>2050</v>
      </c>
      <c r="D49" s="962"/>
      <c r="E49" s="837"/>
      <c r="F49" s="837"/>
      <c r="G49" s="837"/>
      <c r="H49" s="885"/>
      <c r="I49" s="1000">
        <f>INDEX(TEMPLATE_NUMBER_POINT_FHD,B49,MATCH(TEMPLATE_SPHERE,TEMPLATE_SPHERE_LIST_FOR_NOTE,0))</f>
        <v>0</v>
      </c>
      <c r="J49" s="1000">
        <f>INDEX(TEMPLATE_DATA_POINT_FHD,B49,MATCH(TEMPLATE_SPHERE,TEMPLATE_SPHERE_LIST_FOR_NOTE,0))</f>
        <v>0</v>
      </c>
      <c r="K49" s="1000">
        <f>INDEX(TEMPLATE_NOTE_POINT_FHD,B49,MATCH(TEMPLATE_SPHERE,TEMPLATE_SPHERE_LIST_FOR_NOTE,0))</f>
        <v>0</v>
      </c>
      <c r="L49" s="838" t="str">
        <f>IF(I49=0,"",I49)</f>
        <v/>
      </c>
      <c r="M49" s="838" t="str">
        <f>IF(J49=0,"",J49)</f>
        <v/>
      </c>
      <c r="N49" s="838" t="str">
        <f>IF(K49=0,"",K49)</f>
        <v/>
      </c>
      <c r="O49" s="952"/>
      <c r="P49" s="952" t="s">
        <v>2033</v>
      </c>
      <c r="Q49" s="952" t="s">
        <v>2051</v>
      </c>
      <c r="R49" s="952" t="s">
        <v>2033</v>
      </c>
      <c r="S49" s="952"/>
      <c r="T49" s="837"/>
      <c r="U49" s="837" t="s">
        <v>2046</v>
      </c>
      <c r="V49" s="837" t="s">
        <v>2046</v>
      </c>
      <c r="W49" s="837" t="s">
        <v>2046</v>
      </c>
      <c r="X49" s="837"/>
      <c r="Y49" s="995"/>
      <c r="Z49" s="840"/>
      <c r="AA49" s="843"/>
      <c r="AB49" s="843"/>
      <c r="AC49" s="843"/>
      <c r="AD49" s="840"/>
    </row>
    <row customHeight="1" ht="126">
      <c r="A50" s="839"/>
      <c r="B50" s="893">
        <v>33</v>
      </c>
      <c r="C50" s="837">
        <v>17</v>
      </c>
      <c r="D50" s="962"/>
      <c r="E50" s="837"/>
      <c r="F50" s="837"/>
      <c r="G50" s="837"/>
      <c r="H50" s="885"/>
      <c r="I50" s="1000" t="str">
        <f>INDEX(TEMPLATE_NUMBER_POINT_FHD,B50,MATCH(TEMPLATE_SPHERE,TEMPLATE_SPHERE_LIST_FOR_NOTE,0))</f>
        <v>2.13</v>
      </c>
      <c r="J50" s="1000"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00"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38" t="str">
        <f>IF(I50=0,"",I50)</f>
        <v>2.13</v>
      </c>
      <c r="M50" s="838"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38"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52" t="s">
        <v>2047</v>
      </c>
      <c r="P50" s="952" t="s">
        <v>2040</v>
      </c>
      <c r="Q50" s="952" t="s">
        <v>2052</v>
      </c>
      <c r="R50" s="952" t="s">
        <v>2040</v>
      </c>
      <c r="S50" s="952"/>
      <c r="T50" s="837" t="s">
        <v>2053</v>
      </c>
      <c r="U50" s="837" t="s">
        <v>2054</v>
      </c>
      <c r="V50" s="837" t="s">
        <v>2055</v>
      </c>
      <c r="W50" s="837" t="s">
        <v>2056</v>
      </c>
      <c r="X50" s="837"/>
      <c r="Y50" s="995"/>
      <c r="Z50" s="840" t="s">
        <v>2057</v>
      </c>
      <c r="AA50" s="843" t="s">
        <v>2058</v>
      </c>
      <c r="AB50" s="843" t="s">
        <v>2058</v>
      </c>
      <c r="AC50" s="843" t="s">
        <v>2058</v>
      </c>
      <c r="AD50" s="840"/>
    </row>
    <row customHeight="1" ht="27">
      <c r="A51" s="839"/>
      <c r="B51" s="893">
        <v>34</v>
      </c>
      <c r="C51" s="837" t="s">
        <v>2059</v>
      </c>
      <c r="D51" s="962"/>
      <c r="E51" s="837"/>
      <c r="F51" s="837"/>
      <c r="G51" s="837"/>
      <c r="H51" s="885"/>
      <c r="I51" s="1000" t="str">
        <f>INDEX(TEMPLATE_NUMBER_POINT_FHD,B51,MATCH(TEMPLATE_SPHERE,TEMPLATE_SPHERE_LIST_FOR_NOTE,0))</f>
        <v>3</v>
      </c>
      <c r="J51" s="1000"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00">
        <f>INDEX(TEMPLATE_NOTE_POINT_FHD,B51,MATCH(TEMPLATE_SPHERE,TEMPLATE_SPHERE_LIST_FOR_NOTE,0))</f>
        <v>0</v>
      </c>
      <c r="L51" s="838" t="str">
        <f>IF(I51=0,"",I51)</f>
        <v>3</v>
      </c>
      <c r="M51" s="838" t="str">
        <f>IF(J51=0,"",J51)</f>
        <v>Валовая прибыль (убытки) от реализации товаров и оказания услуг по регулируемому виду деятельности</v>
      </c>
      <c r="N51" s="838" t="str">
        <f>IF(K51=0,"",K51)</f>
        <v/>
      </c>
      <c r="O51" s="952" t="s">
        <v>89</v>
      </c>
      <c r="P51" s="952"/>
      <c r="Q51" s="952"/>
      <c r="R51" s="952"/>
      <c r="S51" s="952"/>
      <c r="T51" s="837" t="s">
        <v>2060</v>
      </c>
      <c r="U51" s="837"/>
      <c r="V51" s="837"/>
      <c r="W51" s="837"/>
      <c r="X51" s="837"/>
      <c r="Y51" s="995"/>
      <c r="Z51" s="840"/>
      <c r="AA51" s="843"/>
      <c r="AB51" s="843"/>
      <c r="AC51" s="843"/>
      <c r="AD51" s="840"/>
    </row>
    <row customHeight="1" ht="36">
      <c r="A52" s="839"/>
      <c r="B52" s="893">
        <v>35</v>
      </c>
      <c r="C52" s="837" t="s">
        <v>1952</v>
      </c>
      <c r="D52" s="962" t="s">
        <v>1952</v>
      </c>
      <c r="E52" s="837" t="s">
        <v>1952</v>
      </c>
      <c r="F52" s="837" t="s">
        <v>1952</v>
      </c>
      <c r="G52" s="837"/>
      <c r="H52" s="885"/>
      <c r="I52" s="1000" t="str">
        <f>INDEX(TEMPLATE_NUMBER_POINT_FHD,B52,MATCH(TEMPLATE_SPHERE,TEMPLATE_SPHERE_LIST_FOR_NOTE,0))</f>
        <v>4</v>
      </c>
      <c r="J52" s="1000" t="str">
        <f>INDEX(TEMPLATE_DATA_POINT_FHD,B52,MATCH(TEMPLATE_SPHERE,TEMPLATE_SPHERE_LIST_FOR_NOTE,0))</f>
        <v>Чистая прибыль, полученная от регулируемого вида деятельности, в том числе:</v>
      </c>
      <c r="K52" s="1000" t="str">
        <f>INDEX(TEMPLATE_NOTE_POINT_FHD,B52,MATCH(TEMPLATE_SPHERE,TEMPLATE_SPHERE_LIST_FOR_NOTE,0))</f>
        <v>Указывается общая сумма чистой прибыли, полученной от регулируемого вида деятельности.</v>
      </c>
      <c r="L52" s="838" t="str">
        <f>IF(I52=0,"",I52)</f>
        <v>4</v>
      </c>
      <c r="M52" s="838" t="str">
        <f>IF(J52=0,"",J52)</f>
        <v>Чистая прибыль, полученная от регулируемого вида деятельности, в том числе:</v>
      </c>
      <c r="N52" s="838" t="str">
        <f>IF(K52=0,"",K52)</f>
        <v>Указывается общая сумма чистой прибыли, полученной от регулируемого вида деятельности.</v>
      </c>
      <c r="O52" s="952" t="s">
        <v>90</v>
      </c>
      <c r="P52" s="952" t="s">
        <v>89</v>
      </c>
      <c r="Q52" s="952" t="s">
        <v>89</v>
      </c>
      <c r="R52" s="952" t="s">
        <v>89</v>
      </c>
      <c r="S52" s="952"/>
      <c r="T52" s="837" t="s">
        <v>2061</v>
      </c>
      <c r="U52" s="837" t="s">
        <v>2062</v>
      </c>
      <c r="V52" s="837" t="s">
        <v>2063</v>
      </c>
      <c r="W52" s="837" t="s">
        <v>2064</v>
      </c>
      <c r="X52" s="837"/>
      <c r="Y52" s="995"/>
      <c r="Z52" s="840" t="s">
        <v>674</v>
      </c>
      <c r="AA52" s="843" t="s">
        <v>674</v>
      </c>
      <c r="AB52" s="843" t="s">
        <v>674</v>
      </c>
      <c r="AC52" s="843" t="s">
        <v>674</v>
      </c>
      <c r="AD52" s="840"/>
    </row>
    <row customHeight="1" ht="36">
      <c r="A53" s="839"/>
      <c r="B53" s="893">
        <v>36</v>
      </c>
      <c r="C53" s="837">
        <v>1</v>
      </c>
      <c r="D53" s="962"/>
      <c r="E53" s="837"/>
      <c r="F53" s="837"/>
      <c r="G53" s="837"/>
      <c r="H53" s="885"/>
      <c r="I53" s="1000" t="str">
        <f>INDEX(TEMPLATE_NUMBER_POINT_FHD,B53,MATCH(TEMPLATE_SPHERE,TEMPLATE_SPHERE_LIST_FOR_NOTE,0))</f>
        <v>4.1</v>
      </c>
      <c r="J53" s="1000"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0">
        <f>INDEX(TEMPLATE_NOTE_POINT_FHD,B53,MATCH(TEMPLATE_SPHERE,TEMPLATE_SPHERE_LIST_FOR_NOTE,0))</f>
        <v>0</v>
      </c>
      <c r="L53" s="838" t="str">
        <f>IF(I53=0,"",I53)</f>
        <v>4.1</v>
      </c>
      <c r="M53" s="838"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38" t="str">
        <f>IF(K53=0,"",K53)</f>
        <v/>
      </c>
      <c r="O53" s="952" t="s">
        <v>678</v>
      </c>
      <c r="P53" s="952" t="s">
        <v>338</v>
      </c>
      <c r="Q53" s="952" t="s">
        <v>338</v>
      </c>
      <c r="R53" s="952" t="s">
        <v>338</v>
      </c>
      <c r="S53" s="952"/>
      <c r="T53" s="837" t="s">
        <v>2065</v>
      </c>
      <c r="U53" s="837" t="s">
        <v>2065</v>
      </c>
      <c r="V53" s="837" t="s">
        <v>2065</v>
      </c>
      <c r="W53" s="837" t="s">
        <v>2065</v>
      </c>
      <c r="X53" s="837"/>
      <c r="Y53" s="995"/>
      <c r="Z53" s="840"/>
      <c r="AA53" s="843"/>
      <c r="AB53" s="840"/>
      <c r="AC53" s="840"/>
      <c r="AD53" s="840"/>
    </row>
    <row customHeight="1" ht="18">
      <c r="A54" s="839"/>
      <c r="B54" s="893">
        <v>37</v>
      </c>
      <c r="C54" s="837" t="s">
        <v>1958</v>
      </c>
      <c r="D54" s="962" t="s">
        <v>1958</v>
      </c>
      <c r="E54" s="837" t="s">
        <v>1958</v>
      </c>
      <c r="F54" s="837" t="s">
        <v>1958</v>
      </c>
      <c r="G54" s="837"/>
      <c r="H54" s="885"/>
      <c r="I54" s="1000" t="str">
        <f>INDEX(TEMPLATE_NUMBER_POINT_FHD,B54,MATCH(TEMPLATE_SPHERE,TEMPLATE_SPHERE_LIST_FOR_NOTE,0))</f>
        <v>5</v>
      </c>
      <c r="J54" s="1000" t="str">
        <f>INDEX(TEMPLATE_DATA_POINT_FHD,B54,MATCH(TEMPLATE_SPHERE,TEMPLATE_SPHERE_LIST_FOR_NOTE,0))</f>
        <v>Изменение стоимости основных фондов, в том числе:</v>
      </c>
      <c r="K54" s="1000" t="str">
        <f>INDEX(TEMPLATE_NOTE_POINT_FHD,B54,MATCH(TEMPLATE_SPHERE,TEMPLATE_SPHERE_LIST_FOR_NOTE,0))</f>
        <v>Указывается общее изменение стоимости основных фондов.</v>
      </c>
      <c r="L54" s="838" t="str">
        <f>IF(I54=0,"",I54)</f>
        <v>5</v>
      </c>
      <c r="M54" s="838" t="str">
        <f>IF(J54=0,"",J54)</f>
        <v>Изменение стоимости основных фондов, в том числе:</v>
      </c>
      <c r="N54" s="838" t="str">
        <f>IF(K54=0,"",K54)</f>
        <v>Указывается общее изменение стоимости основных фондов.</v>
      </c>
      <c r="O54" s="952" t="s">
        <v>110</v>
      </c>
      <c r="P54" s="952" t="s">
        <v>90</v>
      </c>
      <c r="Q54" s="952" t="s">
        <v>90</v>
      </c>
      <c r="R54" s="952" t="s">
        <v>90</v>
      </c>
      <c r="S54" s="952"/>
      <c r="T54" s="837" t="s">
        <v>676</v>
      </c>
      <c r="U54" s="837" t="s">
        <v>676</v>
      </c>
      <c r="V54" s="837" t="s">
        <v>676</v>
      </c>
      <c r="W54" s="837" t="s">
        <v>676</v>
      </c>
      <c r="X54" s="837"/>
      <c r="Y54" s="995"/>
      <c r="Z54" s="840" t="s">
        <v>677</v>
      </c>
      <c r="AA54" s="840" t="s">
        <v>677</v>
      </c>
      <c r="AB54" s="840" t="s">
        <v>677</v>
      </c>
      <c r="AC54" s="840" t="s">
        <v>677</v>
      </c>
      <c r="AD54" s="840"/>
    </row>
    <row customHeight="1" ht="36">
      <c r="A55" s="839"/>
      <c r="B55" s="893">
        <v>38</v>
      </c>
      <c r="C55" s="837">
        <v>1</v>
      </c>
      <c r="D55" s="962"/>
      <c r="E55" s="837"/>
      <c r="F55" s="837"/>
      <c r="G55" s="837"/>
      <c r="H55" s="885"/>
      <c r="I55" s="1000" t="str">
        <f>INDEX(TEMPLATE_NUMBER_POINT_FHD,B55,MATCH(TEMPLATE_SPHERE,TEMPLATE_SPHERE_LIST_FOR_NOTE,0))</f>
        <v>5.1</v>
      </c>
      <c r="J55" s="1000" t="str">
        <f>INDEX(TEMPLATE_DATA_POINT_FHD,B55,MATCH(TEMPLATE_SPHERE,TEMPLATE_SPHERE_LIST_FOR_NOTE,0))</f>
        <v>Изменение стоимости основных фондов за счет:</v>
      </c>
      <c r="K55" s="1000"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38" t="str">
        <f>IF(I55=0,"",I55)</f>
        <v>5.1</v>
      </c>
      <c r="M55" s="838" t="str">
        <f>IF(J55=0,"",J55)</f>
        <v>Изменение стоимости основных фондов за счет:</v>
      </c>
      <c r="N55" s="838" t="str">
        <f>IF(K55=0,"",K55)</f>
        <v>Указываются общее изменение стоимости основных фондов за счет их ввода в эксплуатацию и вывода из эксплуатации.</v>
      </c>
      <c r="O55" s="952" t="s">
        <v>327</v>
      </c>
      <c r="P55" s="952" t="s">
        <v>678</v>
      </c>
      <c r="Q55" s="952" t="s">
        <v>678</v>
      </c>
      <c r="R55" s="952" t="s">
        <v>678</v>
      </c>
      <c r="S55" s="952"/>
      <c r="T55" s="837" t="s">
        <v>2066</v>
      </c>
      <c r="U55" s="837" t="s">
        <v>2067</v>
      </c>
      <c r="V55" s="837" t="s">
        <v>2067</v>
      </c>
      <c r="W55" s="837" t="s">
        <v>2067</v>
      </c>
      <c r="X55" s="837"/>
      <c r="Y55" s="995"/>
      <c r="Z55" s="840" t="s">
        <v>2068</v>
      </c>
      <c r="AA55" s="840" t="s">
        <v>2068</v>
      </c>
      <c r="AB55" s="840" t="s">
        <v>2068</v>
      </c>
      <c r="AC55" s="840" t="s">
        <v>2068</v>
      </c>
      <c r="AD55" s="840"/>
    </row>
    <row customHeight="1" ht="27">
      <c r="A56" s="839"/>
      <c r="B56" s="893">
        <v>39</v>
      </c>
      <c r="C56" s="837" t="s">
        <v>947</v>
      </c>
      <c r="D56" s="962"/>
      <c r="E56" s="837"/>
      <c r="F56" s="837"/>
      <c r="G56" s="837"/>
      <c r="H56" s="885"/>
      <c r="I56" s="1000" t="str">
        <f>INDEX(TEMPLATE_NUMBER_POINT_FHD,B56,MATCH(TEMPLATE_SPHERE,TEMPLATE_SPHERE_LIST_FOR_NOTE,0))</f>
        <v>5.1.1</v>
      </c>
      <c r="J56" s="1000" t="str">
        <f>INDEX(TEMPLATE_DATA_POINT_FHD,B56,MATCH(TEMPLATE_SPHERE,TEMPLATE_SPHERE_LIST_FOR_NOTE,0))</f>
        <v>Изменения стоимости основных фондов за счет их ввода в эксплуатацию</v>
      </c>
      <c r="K56" s="1000" t="str">
        <f>INDEX(TEMPLATE_NOTE_POINT_FHD,B56,MATCH(TEMPLATE_SPHERE,TEMPLATE_SPHERE_LIST_FOR_NOTE,0))</f>
        <v>Указываются изменение стоимости основных фондов за счет их ввода в эксплуатацию.</v>
      </c>
      <c r="L56" s="838" t="str">
        <f>IF(I56=0,"",I56)</f>
        <v>5.1.1</v>
      </c>
      <c r="M56" s="838" t="str">
        <f>IF(J56=0,"",J56)</f>
        <v>Изменения стоимости основных фондов за счет их ввода в эксплуатацию</v>
      </c>
      <c r="N56" s="838" t="str">
        <f>IF(K56=0,"",K56)</f>
        <v>Указываются изменение стоимости основных фондов за счет их ввода в эксплуатацию.</v>
      </c>
      <c r="O56" s="952" t="s">
        <v>1071</v>
      </c>
      <c r="P56" s="952" t="s">
        <v>681</v>
      </c>
      <c r="Q56" s="952" t="s">
        <v>681</v>
      </c>
      <c r="R56" s="952" t="s">
        <v>681</v>
      </c>
      <c r="S56" s="952"/>
      <c r="T56" s="837" t="s">
        <v>2069</v>
      </c>
      <c r="U56" s="837" t="s">
        <v>2070</v>
      </c>
      <c r="V56" s="837" t="s">
        <v>2070</v>
      </c>
      <c r="W56" s="837" t="s">
        <v>2070</v>
      </c>
      <c r="X56" s="837"/>
      <c r="Y56" s="995"/>
      <c r="Z56" s="840" t="s">
        <v>683</v>
      </c>
      <c r="AA56" s="840" t="s">
        <v>683</v>
      </c>
      <c r="AB56" s="840" t="s">
        <v>683</v>
      </c>
      <c r="AC56" s="840" t="s">
        <v>683</v>
      </c>
      <c r="AD56" s="840"/>
    </row>
    <row customHeight="1" ht="27">
      <c r="A57" s="839"/>
      <c r="B57" s="893">
        <v>40</v>
      </c>
      <c r="C57" s="837" t="s">
        <v>949</v>
      </c>
      <c r="D57" s="962"/>
      <c r="E57" s="837"/>
      <c r="F57" s="837"/>
      <c r="G57" s="837"/>
      <c r="H57" s="885"/>
      <c r="I57" s="1000" t="str">
        <f>INDEX(TEMPLATE_NUMBER_POINT_FHD,B57,MATCH(TEMPLATE_SPHERE,TEMPLATE_SPHERE_LIST_FOR_NOTE,0))</f>
        <v>5.1.2</v>
      </c>
      <c r="J57" s="1000" t="str">
        <f>INDEX(TEMPLATE_DATA_POINT_FHD,B57,MATCH(TEMPLATE_SPHERE,TEMPLATE_SPHERE_LIST_FOR_NOTE,0))</f>
        <v>Изменения стоимости основных фондов за счет их вывода в эксплуатацию</v>
      </c>
      <c r="K57" s="1000" t="str">
        <f>INDEX(TEMPLATE_NOTE_POINT_FHD,B57,MATCH(TEMPLATE_SPHERE,TEMPLATE_SPHERE_LIST_FOR_NOTE,0))</f>
        <v>Указываются изменение стоимости основных фондов за счет их вывода из эксплуатации.</v>
      </c>
      <c r="L57" s="838" t="str">
        <f>IF(I57=0,"",I57)</f>
        <v>5.1.2</v>
      </c>
      <c r="M57" s="838" t="str">
        <f>IF(J57=0,"",J57)</f>
        <v>Изменения стоимости основных фондов за счет их вывода в эксплуатацию</v>
      </c>
      <c r="N57" s="838" t="str">
        <f>IF(K57=0,"",K57)</f>
        <v>Указываются изменение стоимости основных фондов за счет их вывода из эксплуатации.</v>
      </c>
      <c r="O57" s="952" t="s">
        <v>2071</v>
      </c>
      <c r="P57" s="952" t="s">
        <v>684</v>
      </c>
      <c r="Q57" s="952" t="s">
        <v>684</v>
      </c>
      <c r="R57" s="952" t="s">
        <v>684</v>
      </c>
      <c r="S57" s="952"/>
      <c r="T57" s="837" t="s">
        <v>2072</v>
      </c>
      <c r="U57" s="837" t="s">
        <v>2073</v>
      </c>
      <c r="V57" s="837" t="s">
        <v>2073</v>
      </c>
      <c r="W57" s="837" t="s">
        <v>2073</v>
      </c>
      <c r="X57" s="837"/>
      <c r="Y57" s="995"/>
      <c r="Z57" s="840" t="s">
        <v>686</v>
      </c>
      <c r="AA57" s="840" t="s">
        <v>686</v>
      </c>
      <c r="AB57" s="840" t="s">
        <v>686</v>
      </c>
      <c r="AC57" s="840" t="s">
        <v>686</v>
      </c>
      <c r="AD57" s="840"/>
    </row>
    <row customHeight="1" ht="18">
      <c r="A58" s="839"/>
      <c r="B58" s="893">
        <v>41</v>
      </c>
      <c r="C58" s="837">
        <v>2</v>
      </c>
      <c r="D58" s="962"/>
      <c r="E58" s="837"/>
      <c r="F58" s="837"/>
      <c r="G58" s="837"/>
      <c r="H58" s="885"/>
      <c r="I58" s="1000" t="str">
        <f>INDEX(TEMPLATE_NUMBER_POINT_FHD,B58,MATCH(TEMPLATE_SPHERE,TEMPLATE_SPHERE_LIST_FOR_NOTE,0))</f>
        <v>5.2</v>
      </c>
      <c r="J58" s="1000" t="str">
        <f>INDEX(TEMPLATE_DATA_POINT_FHD,B58,MATCH(TEMPLATE_SPHERE,TEMPLATE_SPHERE_LIST_FOR_NOTE,0))</f>
        <v>Изменение стоимости основных фондов за счет их переоценки</v>
      </c>
      <c r="K58" s="1000">
        <f>INDEX(TEMPLATE_NOTE_POINT_FHD,B58,MATCH(TEMPLATE_SPHERE,TEMPLATE_SPHERE_LIST_FOR_NOTE,0))</f>
        <v>0</v>
      </c>
      <c r="L58" s="838" t="str">
        <f>IF(I58=0,"",I58)</f>
        <v>5.2</v>
      </c>
      <c r="M58" s="838" t="str">
        <f>IF(J58=0,"",J58)</f>
        <v>Изменение стоимости основных фондов за счет их переоценки</v>
      </c>
      <c r="N58" s="838" t="str">
        <f>IF(K58=0,"",K58)</f>
        <v/>
      </c>
      <c r="O58" s="952" t="s">
        <v>329</v>
      </c>
      <c r="P58" s="952" t="s">
        <v>721</v>
      </c>
      <c r="Q58" s="952" t="s">
        <v>721</v>
      </c>
      <c r="R58" s="952" t="s">
        <v>721</v>
      </c>
      <c r="S58" s="952"/>
      <c r="T58" s="837" t="s">
        <v>2074</v>
      </c>
      <c r="U58" s="837" t="s">
        <v>2074</v>
      </c>
      <c r="V58" s="837" t="s">
        <v>2074</v>
      </c>
      <c r="W58" s="837" t="s">
        <v>2074</v>
      </c>
      <c r="X58" s="837"/>
      <c r="Y58" s="995"/>
      <c r="Z58" s="840"/>
      <c r="AA58" s="843"/>
      <c r="AB58" s="840"/>
      <c r="AC58" s="840"/>
      <c r="AD58" s="840"/>
    </row>
    <row customHeight="1" ht="36">
      <c r="A59" s="839"/>
      <c r="B59" s="893">
        <v>42</v>
      </c>
      <c r="C59" s="837">
        <v>3</v>
      </c>
      <c r="D59" s="962" t="s">
        <v>2059</v>
      </c>
      <c r="E59" s="837" t="s">
        <v>2059</v>
      </c>
      <c r="F59" s="837" t="s">
        <v>2059</v>
      </c>
      <c r="G59" s="837"/>
      <c r="H59" s="885"/>
      <c r="I59" s="1000">
        <f>INDEX(TEMPLATE_NUMBER_POINT_FHD,B59,MATCH(TEMPLATE_SPHERE,TEMPLATE_SPHERE_LIST_FOR_NOTE,0))</f>
        <v>0</v>
      </c>
      <c r="J59" s="1000">
        <f>INDEX(TEMPLATE_DATA_POINT_FHD,B59,MATCH(TEMPLATE_SPHERE,TEMPLATE_SPHERE_LIST_FOR_NOTE,0))</f>
        <v>0</v>
      </c>
      <c r="K59" s="1000">
        <f>INDEX(TEMPLATE_NOTE_POINT_FHD,B59,MATCH(TEMPLATE_SPHERE,TEMPLATE_SPHERE_LIST_FOR_NOTE,0))</f>
        <v>0</v>
      </c>
      <c r="L59" s="838" t="str">
        <f>IF(I59=0,"",I59)</f>
        <v/>
      </c>
      <c r="M59" s="838" t="str">
        <f>IF(J59=0,"",J59)</f>
        <v/>
      </c>
      <c r="N59" s="838" t="str">
        <f>IF(K59=0,"",K59)</f>
        <v/>
      </c>
      <c r="O59" s="952"/>
      <c r="P59" s="952" t="s">
        <v>110</v>
      </c>
      <c r="Q59" s="952" t="s">
        <v>110</v>
      </c>
      <c r="R59" s="952" t="s">
        <v>110</v>
      </c>
      <c r="S59" s="952"/>
      <c r="T59" s="837"/>
      <c r="U59" s="837" t="s">
        <v>2075</v>
      </c>
      <c r="V59" s="837" t="s">
        <v>2076</v>
      </c>
      <c r="W59" s="837" t="s">
        <v>2077</v>
      </c>
      <c r="X59" s="837"/>
      <c r="Y59" s="995"/>
      <c r="Z59" s="840"/>
      <c r="AA59" s="843"/>
      <c r="AB59" s="840"/>
      <c r="AC59" s="840"/>
      <c r="AD59" s="840"/>
    </row>
    <row customHeight="1" ht="81">
      <c r="A60" s="839"/>
      <c r="B60" s="893">
        <v>43</v>
      </c>
      <c r="C60" s="837" t="s">
        <v>2078</v>
      </c>
      <c r="D60" s="962" t="s">
        <v>2078</v>
      </c>
      <c r="E60" s="837" t="s">
        <v>2078</v>
      </c>
      <c r="F60" s="837" t="s">
        <v>2078</v>
      </c>
      <c r="G60" s="837"/>
      <c r="H60" s="885"/>
      <c r="I60" s="1000" t="str">
        <f>INDEX(TEMPLATE_NUMBER_POINT_FHD,B60,MATCH(TEMPLATE_SPHERE,TEMPLATE_SPHERE_LIST_FOR_NOTE,0))</f>
        <v>6</v>
      </c>
      <c r="J60" s="1000"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0"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38" t="str">
        <f>IF(I60=0,"",I60)</f>
        <v>6</v>
      </c>
      <c r="M60" s="838" t="str">
        <f>IF(J60=0,"",J60)</f>
        <v>Годовая бухгалтерская (финансовая) отчетность, включая бухгалтерский баланс и приложения к нему</v>
      </c>
      <c r="N60" s="838"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52" t="s">
        <v>91</v>
      </c>
      <c r="P60" s="952" t="s">
        <v>91</v>
      </c>
      <c r="Q60" s="952" t="s">
        <v>91</v>
      </c>
      <c r="R60" s="952" t="s">
        <v>91</v>
      </c>
      <c r="S60" s="952"/>
      <c r="T60" s="837" t="s">
        <v>690</v>
      </c>
      <c r="U60" s="837" t="s">
        <v>690</v>
      </c>
      <c r="V60" s="837" t="s">
        <v>690</v>
      </c>
      <c r="W60" s="837" t="s">
        <v>690</v>
      </c>
      <c r="X60" s="837"/>
      <c r="Y60" s="995"/>
      <c r="Z60" s="840" t="s">
        <v>2079</v>
      </c>
      <c r="AA60" s="843" t="s">
        <v>2080</v>
      </c>
      <c r="AB60" s="840" t="s">
        <v>2081</v>
      </c>
      <c r="AC60" s="840" t="s">
        <v>2080</v>
      </c>
      <c r="AD60" s="840"/>
    </row>
    <row customHeight="1" ht="9">
      <c r="A61" s="839"/>
      <c r="B61" s="893">
        <v>44</v>
      </c>
      <c r="C61" s="837"/>
      <c r="D61" s="962" t="s">
        <v>2082</v>
      </c>
      <c r="E61" s="837"/>
      <c r="F61" s="837"/>
      <c r="G61" s="837"/>
      <c r="H61" s="885"/>
      <c r="I61" s="1000">
        <f>INDEX(TEMPLATE_NUMBER_POINT_FHD,B61,MATCH(TEMPLATE_SPHERE,TEMPLATE_SPHERE_LIST_FOR_NOTE,0))</f>
        <v>0</v>
      </c>
      <c r="J61" s="1000">
        <f>INDEX(TEMPLATE_DATA_POINT_FHD,B61,MATCH(TEMPLATE_SPHERE,TEMPLATE_SPHERE_LIST_FOR_NOTE,0))</f>
        <v>0</v>
      </c>
      <c r="K61" s="1000">
        <f>INDEX(TEMPLATE_NOTE_POINT_FHD,B61,MATCH(TEMPLATE_SPHERE,TEMPLATE_SPHERE_LIST_FOR_NOTE,0))</f>
        <v>0</v>
      </c>
      <c r="L61" s="838" t="str">
        <f>IF(I61=0,"",I61)</f>
        <v/>
      </c>
      <c r="M61" s="838" t="str">
        <f>IF(J61=0,"",J61)</f>
        <v/>
      </c>
      <c r="N61" s="838" t="str">
        <f>IF(K61=0,"",K61)</f>
        <v/>
      </c>
      <c r="O61" s="952"/>
      <c r="P61" s="952" t="s">
        <v>92</v>
      </c>
      <c r="Q61" s="952"/>
      <c r="R61" s="952"/>
      <c r="S61" s="952"/>
      <c r="T61" s="837"/>
      <c r="U61" s="837" t="s">
        <v>2083</v>
      </c>
      <c r="V61" s="837"/>
      <c r="W61" s="837"/>
      <c r="X61" s="837"/>
      <c r="Y61" s="995"/>
      <c r="Z61" s="840"/>
      <c r="AA61" s="843"/>
      <c r="AB61" s="840"/>
      <c r="AC61" s="840"/>
      <c r="AD61" s="840"/>
    </row>
    <row customHeight="1" ht="9">
      <c r="A62" s="839"/>
      <c r="B62" s="893">
        <v>45</v>
      </c>
      <c r="C62" s="837"/>
      <c r="D62" s="962" t="s">
        <v>2084</v>
      </c>
      <c r="E62" s="837"/>
      <c r="F62" s="837"/>
      <c r="G62" s="837"/>
      <c r="H62" s="885"/>
      <c r="I62" s="1000">
        <f>INDEX(TEMPLATE_NUMBER_POINT_FHD,B62,MATCH(TEMPLATE_SPHERE,TEMPLATE_SPHERE_LIST_FOR_NOTE,0))</f>
        <v>0</v>
      </c>
      <c r="J62" s="1000">
        <f>INDEX(TEMPLATE_DATA_POINT_FHD,B62,MATCH(TEMPLATE_SPHERE,TEMPLATE_SPHERE_LIST_FOR_NOTE,0))</f>
        <v>0</v>
      </c>
      <c r="K62" s="1000">
        <f>INDEX(TEMPLATE_NOTE_POINT_FHD,B62,MATCH(TEMPLATE_SPHERE,TEMPLATE_SPHERE_LIST_FOR_NOTE,0))</f>
        <v>0</v>
      </c>
      <c r="L62" s="838" t="str">
        <f>IF(I62=0,"",I62)</f>
        <v/>
      </c>
      <c r="M62" s="838" t="str">
        <f>IF(J62=0,"",J62)</f>
        <v/>
      </c>
      <c r="N62" s="838" t="str">
        <f>IF(K62=0,"",K62)</f>
        <v/>
      </c>
      <c r="O62" s="952"/>
      <c r="P62" s="952" t="s">
        <v>111</v>
      </c>
      <c r="Q62" s="952"/>
      <c r="R62" s="952"/>
      <c r="S62" s="952"/>
      <c r="T62" s="837"/>
      <c r="U62" s="837" t="s">
        <v>2085</v>
      </c>
      <c r="V62" s="837"/>
      <c r="W62" s="837"/>
      <c r="X62" s="837"/>
      <c r="Y62" s="995"/>
      <c r="Z62" s="840"/>
      <c r="AA62" s="843"/>
      <c r="AB62" s="840"/>
      <c r="AC62" s="840"/>
      <c r="AD62" s="840"/>
    </row>
    <row customHeight="1" ht="18">
      <c r="A63" s="839"/>
      <c r="B63" s="893">
        <v>46</v>
      </c>
      <c r="C63" s="837"/>
      <c r="D63" s="962" t="s">
        <v>2086</v>
      </c>
      <c r="E63" s="837"/>
      <c r="F63" s="837"/>
      <c r="G63" s="837"/>
      <c r="H63" s="885"/>
      <c r="I63" s="1000">
        <f>INDEX(TEMPLATE_NUMBER_POINT_FHD,B63,MATCH(TEMPLATE_SPHERE,TEMPLATE_SPHERE_LIST_FOR_NOTE,0))</f>
        <v>0</v>
      </c>
      <c r="J63" s="1000">
        <f>INDEX(TEMPLATE_DATA_POINT_FHD,B63,MATCH(TEMPLATE_SPHERE,TEMPLATE_SPHERE_LIST_FOR_NOTE,0))</f>
        <v>0</v>
      </c>
      <c r="K63" s="1000">
        <f>INDEX(TEMPLATE_NOTE_POINT_FHD,B63,MATCH(TEMPLATE_SPHERE,TEMPLATE_SPHERE_LIST_FOR_NOTE,0))</f>
        <v>0</v>
      </c>
      <c r="L63" s="838" t="str">
        <f>IF(I63=0,"",I63)</f>
        <v/>
      </c>
      <c r="M63" s="838" t="str">
        <f>IF(J63=0,"",J63)</f>
        <v/>
      </c>
      <c r="N63" s="838" t="str">
        <f>IF(K63=0,"",K63)</f>
        <v/>
      </c>
      <c r="O63" s="952"/>
      <c r="P63" s="952" t="s">
        <v>98</v>
      </c>
      <c r="Q63" s="952"/>
      <c r="R63" s="952"/>
      <c r="S63" s="952"/>
      <c r="T63" s="837"/>
      <c r="U63" s="837" t="s">
        <v>2087</v>
      </c>
      <c r="V63" s="837"/>
      <c r="W63" s="837"/>
      <c r="X63" s="837"/>
      <c r="Y63" s="995"/>
      <c r="Z63" s="840"/>
      <c r="AA63" s="843"/>
      <c r="AB63" s="840"/>
      <c r="AC63" s="840"/>
      <c r="AD63" s="840"/>
    </row>
    <row customHeight="1" ht="18">
      <c r="A64" s="839"/>
      <c r="B64" s="893">
        <v>47</v>
      </c>
      <c r="C64" s="837"/>
      <c r="D64" s="962" t="s">
        <v>2088</v>
      </c>
      <c r="E64" s="837"/>
      <c r="F64" s="837"/>
      <c r="G64" s="837"/>
      <c r="H64" s="885"/>
      <c r="I64" s="1000">
        <f>INDEX(TEMPLATE_NUMBER_POINT_FHD,B64,MATCH(TEMPLATE_SPHERE,TEMPLATE_SPHERE_LIST_FOR_NOTE,0))</f>
        <v>0</v>
      </c>
      <c r="J64" s="1000">
        <f>INDEX(TEMPLATE_DATA_POINT_FHD,B64,MATCH(TEMPLATE_SPHERE,TEMPLATE_SPHERE_LIST_FOR_NOTE,0))</f>
        <v>0</v>
      </c>
      <c r="K64" s="1000">
        <f>INDEX(TEMPLATE_NOTE_POINT_FHD,B64,MATCH(TEMPLATE_SPHERE,TEMPLATE_SPHERE_LIST_FOR_NOTE,0))</f>
        <v>0</v>
      </c>
      <c r="L64" s="838" t="str">
        <f>IF(I64=0,"",I64)</f>
        <v/>
      </c>
      <c r="M64" s="838" t="str">
        <f>IF(J64=0,"",J64)</f>
        <v/>
      </c>
      <c r="N64" s="838" t="str">
        <f>IF(K64=0,"",K64)</f>
        <v/>
      </c>
      <c r="O64" s="952"/>
      <c r="P64" s="952" t="s">
        <v>147</v>
      </c>
      <c r="Q64" s="952"/>
      <c r="R64" s="952"/>
      <c r="S64" s="952"/>
      <c r="T64" s="837"/>
      <c r="U64" s="837" t="s">
        <v>2089</v>
      </c>
      <c r="V64" s="837"/>
      <c r="W64" s="837"/>
      <c r="X64" s="837"/>
      <c r="Y64" s="995"/>
      <c r="Z64" s="840"/>
      <c r="AA64" s="843" t="s">
        <v>2090</v>
      </c>
      <c r="AB64" s="840"/>
      <c r="AC64" s="840"/>
      <c r="AD64" s="840"/>
    </row>
    <row customHeight="1" ht="18">
      <c r="A65" s="839"/>
      <c r="B65" s="893">
        <v>48</v>
      </c>
      <c r="C65" s="837"/>
      <c r="D65" s="962"/>
      <c r="E65" s="837"/>
      <c r="F65" s="837"/>
      <c r="G65" s="837"/>
      <c r="H65" s="885"/>
      <c r="I65" s="1000">
        <f>INDEX(TEMPLATE_NUMBER_POINT_FHD,B65,MATCH(TEMPLATE_SPHERE,TEMPLATE_SPHERE_LIST_FOR_NOTE,0))</f>
        <v>0</v>
      </c>
      <c r="J65" s="1000">
        <f>INDEX(TEMPLATE_DATA_POINT_FHD,B65,MATCH(TEMPLATE_SPHERE,TEMPLATE_SPHERE_LIST_FOR_NOTE,0))</f>
        <v>0</v>
      </c>
      <c r="K65" s="1000">
        <f>INDEX(TEMPLATE_NOTE_POINT_FHD,B65,MATCH(TEMPLATE_SPHERE,TEMPLATE_SPHERE_LIST_FOR_NOTE,0))</f>
        <v>0</v>
      </c>
      <c r="L65" s="838" t="str">
        <f>IF(I65=0,"",I65)</f>
        <v/>
      </c>
      <c r="M65" s="838" t="str">
        <f>IF(J65=0,"",J65)</f>
        <v/>
      </c>
      <c r="N65" s="838" t="str">
        <f>IF(K65=0,"",K65)</f>
        <v/>
      </c>
      <c r="O65" s="952"/>
      <c r="P65" s="952" t="s">
        <v>2000</v>
      </c>
      <c r="Q65" s="952"/>
      <c r="R65" s="952"/>
      <c r="S65" s="952"/>
      <c r="T65" s="837"/>
      <c r="U65" s="837" t="s">
        <v>2091</v>
      </c>
      <c r="V65" s="837"/>
      <c r="W65" s="837"/>
      <c r="X65" s="837"/>
      <c r="Y65" s="995"/>
      <c r="Z65" s="840"/>
      <c r="AA65" s="843"/>
      <c r="AB65" s="840"/>
      <c r="AC65" s="840"/>
      <c r="AD65" s="840"/>
    </row>
    <row customHeight="1" ht="18">
      <c r="A66" s="839"/>
      <c r="B66" s="893">
        <v>49</v>
      </c>
      <c r="C66" s="837"/>
      <c r="D66" s="962"/>
      <c r="E66" s="837"/>
      <c r="F66" s="837"/>
      <c r="G66" s="837"/>
      <c r="H66" s="885"/>
      <c r="I66" s="1000">
        <f>INDEX(TEMPLATE_NUMBER_POINT_FHD,B66,MATCH(TEMPLATE_SPHERE,TEMPLATE_SPHERE_LIST_FOR_NOTE,0))</f>
        <v>0</v>
      </c>
      <c r="J66" s="1000">
        <f>INDEX(TEMPLATE_DATA_POINT_FHD,B66,MATCH(TEMPLATE_SPHERE,TEMPLATE_SPHERE_LIST_FOR_NOTE,0))</f>
        <v>0</v>
      </c>
      <c r="K66" s="1000">
        <f>INDEX(TEMPLATE_NOTE_POINT_FHD,B66,MATCH(TEMPLATE_SPHERE,TEMPLATE_SPHERE_LIST_FOR_NOTE,0))</f>
        <v>0</v>
      </c>
      <c r="L66" s="838" t="str">
        <f>IF(I66=0,"",I66)</f>
        <v/>
      </c>
      <c r="M66" s="838" t="str">
        <f>IF(J66=0,"",J66)</f>
        <v/>
      </c>
      <c r="N66" s="838" t="str">
        <f>IF(K66=0,"",K66)</f>
        <v/>
      </c>
      <c r="O66" s="952"/>
      <c r="P66" s="952" t="s">
        <v>2004</v>
      </c>
      <c r="Q66" s="952"/>
      <c r="R66" s="952"/>
      <c r="S66" s="952"/>
      <c r="T66" s="837"/>
      <c r="U66" s="837" t="s">
        <v>2092</v>
      </c>
      <c r="V66" s="837"/>
      <c r="W66" s="837"/>
      <c r="X66" s="837"/>
      <c r="Y66" s="995"/>
      <c r="Z66" s="840"/>
      <c r="AA66" s="843"/>
      <c r="AB66" s="840"/>
      <c r="AC66" s="840"/>
      <c r="AD66" s="840"/>
    </row>
    <row customHeight="1" ht="27">
      <c r="A67" s="839"/>
      <c r="B67" s="893">
        <v>50</v>
      </c>
      <c r="C67" s="837"/>
      <c r="D67" s="962"/>
      <c r="E67" s="837"/>
      <c r="F67" s="837"/>
      <c r="G67" s="837"/>
      <c r="H67" s="885"/>
      <c r="I67" s="1000">
        <f>INDEX(TEMPLATE_NUMBER_POINT_FHD,B67,MATCH(TEMPLATE_SPHERE,TEMPLATE_SPHERE_LIST_FOR_NOTE,0))</f>
        <v>0</v>
      </c>
      <c r="J67" s="1000">
        <f>INDEX(TEMPLATE_DATA_POINT_FHD,B67,MATCH(TEMPLATE_SPHERE,TEMPLATE_SPHERE_LIST_FOR_NOTE,0))</f>
        <v>0</v>
      </c>
      <c r="K67" s="1000">
        <f>INDEX(TEMPLATE_NOTE_POINT_FHD,B67,MATCH(TEMPLATE_SPHERE,TEMPLATE_SPHERE_LIST_FOR_NOTE,0))</f>
        <v>0</v>
      </c>
      <c r="L67" s="838" t="str">
        <f>IF(I67=0,"",I67)</f>
        <v/>
      </c>
      <c r="M67" s="838" t="str">
        <f>IF(J67=0,"",J67)</f>
        <v/>
      </c>
      <c r="N67" s="838" t="str">
        <f>IF(K67=0,"",K67)</f>
        <v/>
      </c>
      <c r="O67" s="952"/>
      <c r="P67" s="952" t="s">
        <v>2093</v>
      </c>
      <c r="Q67" s="952"/>
      <c r="R67" s="952"/>
      <c r="S67" s="952"/>
      <c r="T67" s="837"/>
      <c r="U67" s="837" t="s">
        <v>2094</v>
      </c>
      <c r="V67" s="837"/>
      <c r="W67" s="837"/>
      <c r="X67" s="837"/>
      <c r="Y67" s="995"/>
      <c r="Z67" s="840"/>
      <c r="AA67" s="843"/>
      <c r="AB67" s="840"/>
      <c r="AC67" s="840"/>
      <c r="AD67" s="840"/>
    </row>
    <row customHeight="1" ht="27">
      <c r="A68" s="839"/>
      <c r="B68" s="893">
        <v>51</v>
      </c>
      <c r="C68" s="837"/>
      <c r="D68" s="962"/>
      <c r="E68" s="837"/>
      <c r="F68" s="837"/>
      <c r="G68" s="837"/>
      <c r="H68" s="885"/>
      <c r="I68" s="1000">
        <f>INDEX(TEMPLATE_NUMBER_POINT_FHD,B68,MATCH(TEMPLATE_SPHERE,TEMPLATE_SPHERE_LIST_FOR_NOTE,0))</f>
        <v>0</v>
      </c>
      <c r="J68" s="1000">
        <f>INDEX(TEMPLATE_DATA_POINT_FHD,B68,MATCH(TEMPLATE_SPHERE,TEMPLATE_SPHERE_LIST_FOR_NOTE,0))</f>
        <v>0</v>
      </c>
      <c r="K68" s="1000">
        <f>INDEX(TEMPLATE_NOTE_POINT_FHD,B68,MATCH(TEMPLATE_SPHERE,TEMPLATE_SPHERE_LIST_FOR_NOTE,0))</f>
        <v>0</v>
      </c>
      <c r="L68" s="838" t="str">
        <f>IF(I68=0,"",I68)</f>
        <v/>
      </c>
      <c r="M68" s="838" t="str">
        <f>IF(J68=0,"",J68)</f>
        <v/>
      </c>
      <c r="N68" s="838" t="str">
        <f>IF(K68=0,"",K68)</f>
        <v/>
      </c>
      <c r="O68" s="952"/>
      <c r="P68" s="952" t="s">
        <v>2095</v>
      </c>
      <c r="Q68" s="952"/>
      <c r="R68" s="952"/>
      <c r="S68" s="952"/>
      <c r="T68" s="837"/>
      <c r="U68" s="837" t="s">
        <v>2096</v>
      </c>
      <c r="V68" s="837"/>
      <c r="W68" s="837"/>
      <c r="X68" s="837"/>
      <c r="Y68" s="995"/>
      <c r="Z68" s="840"/>
      <c r="AA68" s="843"/>
      <c r="AB68" s="840"/>
      <c r="AC68" s="840"/>
      <c r="AD68" s="840"/>
    </row>
    <row customHeight="1" ht="9">
      <c r="A69" s="839"/>
      <c r="B69" s="893">
        <v>52</v>
      </c>
      <c r="C69" s="837"/>
      <c r="D69" s="962" t="s">
        <v>2097</v>
      </c>
      <c r="E69" s="837"/>
      <c r="F69" s="837"/>
      <c r="G69" s="837"/>
      <c r="H69" s="885"/>
      <c r="I69" s="1000">
        <f>INDEX(TEMPLATE_NUMBER_POINT_FHD,B69,MATCH(TEMPLATE_SPHERE,TEMPLATE_SPHERE_LIST_FOR_NOTE,0))</f>
        <v>0</v>
      </c>
      <c r="J69" s="1000">
        <f>INDEX(TEMPLATE_DATA_POINT_FHD,B69,MATCH(TEMPLATE_SPHERE,TEMPLATE_SPHERE_LIST_FOR_NOTE,0))</f>
        <v>0</v>
      </c>
      <c r="K69" s="1000">
        <f>INDEX(TEMPLATE_NOTE_POINT_FHD,B69,MATCH(TEMPLATE_SPHERE,TEMPLATE_SPHERE_LIST_FOR_NOTE,0))</f>
        <v>0</v>
      </c>
      <c r="L69" s="838" t="str">
        <f>IF(I69=0,"",I69)</f>
        <v/>
      </c>
      <c r="M69" s="838" t="str">
        <f>IF(J69=0,"",J69)</f>
        <v/>
      </c>
      <c r="N69" s="838" t="str">
        <f>IF(K69=0,"",K69)</f>
        <v/>
      </c>
      <c r="O69" s="952"/>
      <c r="P69" s="952" t="s">
        <v>148</v>
      </c>
      <c r="Q69" s="952"/>
      <c r="R69" s="952"/>
      <c r="S69" s="952"/>
      <c r="T69" s="837"/>
      <c r="U69" s="837" t="s">
        <v>2098</v>
      </c>
      <c r="V69" s="837"/>
      <c r="W69" s="837"/>
      <c r="X69" s="837"/>
      <c r="Y69" s="995"/>
      <c r="Z69" s="840"/>
      <c r="AA69" s="843"/>
      <c r="AB69" s="840"/>
      <c r="AC69" s="840"/>
      <c r="AD69" s="840"/>
    </row>
    <row customHeight="1" ht="27">
      <c r="A70" s="839"/>
      <c r="B70" s="893">
        <v>53</v>
      </c>
      <c r="C70" s="837"/>
      <c r="D70" s="962"/>
      <c r="E70" s="837" t="s">
        <v>2082</v>
      </c>
      <c r="F70" s="837"/>
      <c r="G70" s="837"/>
      <c r="H70" s="885"/>
      <c r="I70" s="1000">
        <f>INDEX(TEMPLATE_NUMBER_POINT_FHD,B70,MATCH(TEMPLATE_SPHERE,TEMPLATE_SPHERE_LIST_FOR_NOTE,0))</f>
        <v>0</v>
      </c>
      <c r="J70" s="1000">
        <f>INDEX(TEMPLATE_DATA_POINT_FHD,B70,MATCH(TEMPLATE_SPHERE,TEMPLATE_SPHERE_LIST_FOR_NOTE,0))</f>
        <v>0</v>
      </c>
      <c r="K70" s="1000">
        <f>INDEX(TEMPLATE_NOTE_POINT_FHD,B70,MATCH(TEMPLATE_SPHERE,TEMPLATE_SPHERE_LIST_FOR_NOTE,0))</f>
        <v>0</v>
      </c>
      <c r="L70" s="838" t="str">
        <f>IF(I70=0,"",I70)</f>
        <v/>
      </c>
      <c r="M70" s="838" t="str">
        <f>IF(J70=0,"",J70)</f>
        <v/>
      </c>
      <c r="N70" s="838" t="str">
        <f>IF(K70=0,"",K70)</f>
        <v/>
      </c>
      <c r="O70" s="952"/>
      <c r="P70" s="952"/>
      <c r="Q70" s="952" t="s">
        <v>92</v>
      </c>
      <c r="R70" s="952"/>
      <c r="S70" s="952"/>
      <c r="T70" s="837"/>
      <c r="U70" s="837"/>
      <c r="V70" s="837" t="s">
        <v>2099</v>
      </c>
      <c r="W70" s="837"/>
      <c r="X70" s="837"/>
      <c r="Y70" s="995"/>
      <c r="Z70" s="840"/>
      <c r="AA70" s="843"/>
      <c r="AB70" s="840"/>
      <c r="AC70" s="840"/>
      <c r="AD70" s="840"/>
    </row>
    <row customHeight="1" ht="36">
      <c r="A71" s="839"/>
      <c r="B71" s="893">
        <v>54</v>
      </c>
      <c r="C71" s="837"/>
      <c r="D71" s="962"/>
      <c r="E71" s="837" t="s">
        <v>2084</v>
      </c>
      <c r="F71" s="837"/>
      <c r="G71" s="837"/>
      <c r="H71" s="885"/>
      <c r="I71" s="1000">
        <f>INDEX(TEMPLATE_NUMBER_POINT_FHD,B71,MATCH(TEMPLATE_SPHERE,TEMPLATE_SPHERE_LIST_FOR_NOTE,0))</f>
        <v>0</v>
      </c>
      <c r="J71" s="1000">
        <f>INDEX(TEMPLATE_DATA_POINT_FHD,B71,MATCH(TEMPLATE_SPHERE,TEMPLATE_SPHERE_LIST_FOR_NOTE,0))</f>
        <v>0</v>
      </c>
      <c r="K71" s="1000">
        <f>INDEX(TEMPLATE_NOTE_POINT_FHD,B71,MATCH(TEMPLATE_SPHERE,TEMPLATE_SPHERE_LIST_FOR_NOTE,0))</f>
        <v>0</v>
      </c>
      <c r="L71" s="838" t="str">
        <f>IF(I71=0,"",I71)</f>
        <v/>
      </c>
      <c r="M71" s="838" t="str">
        <f>IF(J71=0,"",J71)</f>
        <v/>
      </c>
      <c r="N71" s="838" t="str">
        <f>IF(K71=0,"",K71)</f>
        <v/>
      </c>
      <c r="O71" s="952"/>
      <c r="P71" s="952"/>
      <c r="Q71" s="952" t="s">
        <v>111</v>
      </c>
      <c r="R71" s="952"/>
      <c r="S71" s="952"/>
      <c r="T71" s="837"/>
      <c r="U71" s="837"/>
      <c r="V71" s="837" t="s">
        <v>2100</v>
      </c>
      <c r="W71" s="837"/>
      <c r="X71" s="837"/>
      <c r="Y71" s="995"/>
      <c r="Z71" s="840"/>
      <c r="AA71" s="843"/>
      <c r="AB71" s="840"/>
      <c r="AC71" s="840"/>
      <c r="AD71" s="840"/>
    </row>
    <row customHeight="1" ht="27">
      <c r="A72" s="839"/>
      <c r="B72" s="893">
        <v>55</v>
      </c>
      <c r="C72" s="837"/>
      <c r="D72" s="962"/>
      <c r="E72" s="837" t="s">
        <v>2086</v>
      </c>
      <c r="F72" s="837"/>
      <c r="G72" s="837"/>
      <c r="H72" s="885"/>
      <c r="I72" s="1000">
        <f>INDEX(TEMPLATE_NUMBER_POINT_FHD,B72,MATCH(TEMPLATE_SPHERE,TEMPLATE_SPHERE_LIST_FOR_NOTE,0))</f>
        <v>0</v>
      </c>
      <c r="J72" s="1000">
        <f>INDEX(TEMPLATE_DATA_POINT_FHD,B72,MATCH(TEMPLATE_SPHERE,TEMPLATE_SPHERE_LIST_FOR_NOTE,0))</f>
        <v>0</v>
      </c>
      <c r="K72" s="1000">
        <f>INDEX(TEMPLATE_NOTE_POINT_FHD,B72,MATCH(TEMPLATE_SPHERE,TEMPLATE_SPHERE_LIST_FOR_NOTE,0))</f>
        <v>0</v>
      </c>
      <c r="L72" s="838" t="str">
        <f>IF(I72=0,"",I72)</f>
        <v/>
      </c>
      <c r="M72" s="838" t="str">
        <f>IF(J72=0,"",J72)</f>
        <v/>
      </c>
      <c r="N72" s="838" t="str">
        <f>IF(K72=0,"",K72)</f>
        <v/>
      </c>
      <c r="O72" s="952"/>
      <c r="P72" s="952"/>
      <c r="Q72" s="952" t="s">
        <v>98</v>
      </c>
      <c r="R72" s="952"/>
      <c r="S72" s="952"/>
      <c r="T72" s="837"/>
      <c r="U72" s="837"/>
      <c r="V72" s="837" t="s">
        <v>2101</v>
      </c>
      <c r="W72" s="837"/>
      <c r="X72" s="837"/>
      <c r="Y72" s="995"/>
      <c r="Z72" s="840"/>
      <c r="AA72" s="843"/>
      <c r="AB72" s="840"/>
      <c r="AC72" s="840"/>
      <c r="AD72" s="840"/>
    </row>
    <row customHeight="1" ht="36">
      <c r="A73" s="839"/>
      <c r="B73" s="893">
        <v>56</v>
      </c>
      <c r="C73" s="837"/>
      <c r="D73" s="962"/>
      <c r="E73" s="837" t="s">
        <v>2088</v>
      </c>
      <c r="F73" s="837"/>
      <c r="G73" s="837"/>
      <c r="H73" s="885"/>
      <c r="I73" s="1000">
        <f>INDEX(TEMPLATE_NUMBER_POINT_FHD,B73,MATCH(TEMPLATE_SPHERE,TEMPLATE_SPHERE_LIST_FOR_NOTE,0))</f>
        <v>0</v>
      </c>
      <c r="J73" s="1000">
        <f>INDEX(TEMPLATE_DATA_POINT_FHD,B73,MATCH(TEMPLATE_SPHERE,TEMPLATE_SPHERE_LIST_FOR_NOTE,0))</f>
        <v>0</v>
      </c>
      <c r="K73" s="1000">
        <f>INDEX(TEMPLATE_NOTE_POINT_FHD,B73,MATCH(TEMPLATE_SPHERE,TEMPLATE_SPHERE_LIST_FOR_NOTE,0))</f>
        <v>0</v>
      </c>
      <c r="L73" s="838" t="str">
        <f>IF(I73=0,"",I73)</f>
        <v/>
      </c>
      <c r="M73" s="838" t="str">
        <f>IF(J73=0,"",J73)</f>
        <v/>
      </c>
      <c r="N73" s="838" t="str">
        <f>IF(K73=0,"",K73)</f>
        <v/>
      </c>
      <c r="O73" s="952"/>
      <c r="P73" s="952"/>
      <c r="Q73" s="952" t="s">
        <v>147</v>
      </c>
      <c r="R73" s="952"/>
      <c r="S73" s="952"/>
      <c r="T73" s="837"/>
      <c r="U73" s="837"/>
      <c r="V73" s="837" t="s">
        <v>2102</v>
      </c>
      <c r="W73" s="837"/>
      <c r="X73" s="837"/>
      <c r="Y73" s="995"/>
      <c r="Z73" s="840"/>
      <c r="AA73" s="843"/>
      <c r="AB73" s="840"/>
      <c r="AC73" s="840"/>
      <c r="AD73" s="840"/>
    </row>
    <row customHeight="1" ht="18">
      <c r="A74" s="839"/>
      <c r="B74" s="893">
        <v>57</v>
      </c>
      <c r="C74" s="837"/>
      <c r="D74" s="962"/>
      <c r="E74" s="837" t="s">
        <v>2097</v>
      </c>
      <c r="F74" s="837"/>
      <c r="G74" s="837"/>
      <c r="H74" s="885"/>
      <c r="I74" s="1000">
        <f>INDEX(TEMPLATE_NUMBER_POINT_FHD,B74,MATCH(TEMPLATE_SPHERE,TEMPLATE_SPHERE_LIST_FOR_NOTE,0))</f>
        <v>0</v>
      </c>
      <c r="J74" s="1000">
        <f>INDEX(TEMPLATE_DATA_POINT_FHD,B74,MATCH(TEMPLATE_SPHERE,TEMPLATE_SPHERE_LIST_FOR_NOTE,0))</f>
        <v>0</v>
      </c>
      <c r="K74" s="1000">
        <f>INDEX(TEMPLATE_NOTE_POINT_FHD,B74,MATCH(TEMPLATE_SPHERE,TEMPLATE_SPHERE_LIST_FOR_NOTE,0))</f>
        <v>0</v>
      </c>
      <c r="L74" s="838" t="str">
        <f>IF(I74=0,"",I74)</f>
        <v/>
      </c>
      <c r="M74" s="838" t="str">
        <f>IF(J74=0,"",J74)</f>
        <v/>
      </c>
      <c r="N74" s="838" t="str">
        <f>IF(K74=0,"",K74)</f>
        <v/>
      </c>
      <c r="O74" s="952"/>
      <c r="P74" s="952"/>
      <c r="Q74" s="952" t="s">
        <v>148</v>
      </c>
      <c r="R74" s="952"/>
      <c r="S74" s="952"/>
      <c r="T74" s="837"/>
      <c r="U74" s="837"/>
      <c r="V74" s="837" t="s">
        <v>2103</v>
      </c>
      <c r="W74" s="837"/>
      <c r="X74" s="837"/>
      <c r="Y74" s="995"/>
      <c r="Z74" s="840"/>
      <c r="AA74" s="843"/>
      <c r="AB74" s="840"/>
      <c r="AC74" s="840"/>
      <c r="AD74" s="840"/>
    </row>
    <row customHeight="1" ht="18">
      <c r="A75" s="839"/>
      <c r="B75" s="893">
        <v>58</v>
      </c>
      <c r="C75" s="837"/>
      <c r="D75" s="962"/>
      <c r="E75" s="837"/>
      <c r="F75" s="837" t="s">
        <v>2082</v>
      </c>
      <c r="G75" s="837"/>
      <c r="H75" s="885"/>
      <c r="I75" s="1000">
        <f>INDEX(TEMPLATE_NUMBER_POINT_FHD,B75,MATCH(TEMPLATE_SPHERE,TEMPLATE_SPHERE_LIST_FOR_NOTE,0))</f>
        <v>0</v>
      </c>
      <c r="J75" s="1000">
        <f>INDEX(TEMPLATE_DATA_POINT_FHD,B75,MATCH(TEMPLATE_SPHERE,TEMPLATE_SPHERE_LIST_FOR_NOTE,0))</f>
        <v>0</v>
      </c>
      <c r="K75" s="1000">
        <f>INDEX(TEMPLATE_NOTE_POINT_FHD,B75,MATCH(TEMPLATE_SPHERE,TEMPLATE_SPHERE_LIST_FOR_NOTE,0))</f>
        <v>0</v>
      </c>
      <c r="L75" s="838" t="str">
        <f>IF(I75=0,"",I75)</f>
        <v/>
      </c>
      <c r="M75" s="838" t="str">
        <f>IF(J75=0,"",J75)</f>
        <v/>
      </c>
      <c r="N75" s="838" t="str">
        <f>IF(K75=0,"",K75)</f>
        <v/>
      </c>
      <c r="O75" s="952"/>
      <c r="P75" s="952"/>
      <c r="Q75" s="952"/>
      <c r="R75" s="952" t="s">
        <v>92</v>
      </c>
      <c r="S75" s="952"/>
      <c r="T75" s="837"/>
      <c r="U75" s="837"/>
      <c r="V75" s="837"/>
      <c r="W75" s="837" t="s">
        <v>2104</v>
      </c>
      <c r="X75" s="837"/>
      <c r="Y75" s="995"/>
      <c r="Z75" s="840"/>
      <c r="AA75" s="843"/>
      <c r="AB75" s="840"/>
      <c r="AC75" s="840"/>
      <c r="AD75" s="840"/>
    </row>
    <row customHeight="1" ht="36">
      <c r="A76" s="839"/>
      <c r="B76" s="893">
        <v>59</v>
      </c>
      <c r="C76" s="837"/>
      <c r="D76" s="962"/>
      <c r="E76" s="837"/>
      <c r="F76" s="837" t="s">
        <v>2084</v>
      </c>
      <c r="G76" s="837"/>
      <c r="H76" s="885"/>
      <c r="I76" s="1000">
        <f>INDEX(TEMPLATE_NUMBER_POINT_FHD,B76,MATCH(TEMPLATE_SPHERE,TEMPLATE_SPHERE_LIST_FOR_NOTE,0))</f>
        <v>0</v>
      </c>
      <c r="J76" s="1000">
        <f>INDEX(TEMPLATE_DATA_POINT_FHD,B76,MATCH(TEMPLATE_SPHERE,TEMPLATE_SPHERE_LIST_FOR_NOTE,0))</f>
        <v>0</v>
      </c>
      <c r="K76" s="1000">
        <f>INDEX(TEMPLATE_NOTE_POINT_FHD,B76,MATCH(TEMPLATE_SPHERE,TEMPLATE_SPHERE_LIST_FOR_NOTE,0))</f>
        <v>0</v>
      </c>
      <c r="L76" s="838" t="str">
        <f>IF(I76=0,"",I76)</f>
        <v/>
      </c>
      <c r="M76" s="838" t="str">
        <f>IF(J76=0,"",J76)</f>
        <v/>
      </c>
      <c r="N76" s="838" t="str">
        <f>IF(K76=0,"",K76)</f>
        <v/>
      </c>
      <c r="O76" s="952"/>
      <c r="P76" s="952"/>
      <c r="Q76" s="952"/>
      <c r="R76" s="952" t="s">
        <v>111</v>
      </c>
      <c r="S76" s="952"/>
      <c r="T76" s="837"/>
      <c r="U76" s="837"/>
      <c r="V76" s="837"/>
      <c r="W76" s="837" t="s">
        <v>2105</v>
      </c>
      <c r="X76" s="837"/>
      <c r="Y76" s="995"/>
      <c r="Z76" s="840"/>
      <c r="AA76" s="843"/>
      <c r="AB76" s="840"/>
      <c r="AC76" s="840"/>
      <c r="AD76" s="840"/>
    </row>
    <row customHeight="1" ht="18">
      <c r="A77" s="839"/>
      <c r="B77" s="893">
        <v>60</v>
      </c>
      <c r="C77" s="837"/>
      <c r="D77" s="962"/>
      <c r="E77" s="837"/>
      <c r="F77" s="837" t="s">
        <v>2086</v>
      </c>
      <c r="G77" s="837"/>
      <c r="H77" s="885"/>
      <c r="I77" s="1000">
        <f>INDEX(TEMPLATE_NUMBER_POINT_FHD,B77,MATCH(TEMPLATE_SPHERE,TEMPLATE_SPHERE_LIST_FOR_NOTE,0))</f>
        <v>0</v>
      </c>
      <c r="J77" s="1000">
        <f>INDEX(TEMPLATE_DATA_POINT_FHD,B77,MATCH(TEMPLATE_SPHERE,TEMPLATE_SPHERE_LIST_FOR_NOTE,0))</f>
        <v>0</v>
      </c>
      <c r="K77" s="1000">
        <f>INDEX(TEMPLATE_NOTE_POINT_FHD,B77,MATCH(TEMPLATE_SPHERE,TEMPLATE_SPHERE_LIST_FOR_NOTE,0))</f>
        <v>0</v>
      </c>
      <c r="L77" s="838" t="str">
        <f>IF(I77=0,"",I77)</f>
        <v/>
      </c>
      <c r="M77" s="838" t="str">
        <f>IF(J77=0,"",J77)</f>
        <v/>
      </c>
      <c r="N77" s="838" t="str">
        <f>IF(K77=0,"",K77)</f>
        <v/>
      </c>
      <c r="O77" s="952"/>
      <c r="P77" s="952"/>
      <c r="Q77" s="952"/>
      <c r="R77" s="952" t="s">
        <v>98</v>
      </c>
      <c r="S77" s="952"/>
      <c r="T77" s="837"/>
      <c r="U77" s="837"/>
      <c r="V77" s="837"/>
      <c r="W77" s="837" t="s">
        <v>2106</v>
      </c>
      <c r="X77" s="837"/>
      <c r="Y77" s="995"/>
      <c r="Z77" s="840"/>
      <c r="AA77" s="843"/>
      <c r="AB77" s="840"/>
      <c r="AC77" s="840"/>
      <c r="AD77" s="840"/>
    </row>
    <row customHeight="1" ht="72">
      <c r="A78" s="839"/>
      <c r="B78" s="893">
        <v>61</v>
      </c>
      <c r="C78" s="837" t="s">
        <v>2082</v>
      </c>
      <c r="D78" s="962"/>
      <c r="E78" s="837"/>
      <c r="F78" s="837"/>
      <c r="G78" s="837"/>
      <c r="H78" s="885"/>
      <c r="I78" s="1000" t="str">
        <f>INDEX(TEMPLATE_NUMBER_POINT_FHD,B78,MATCH(TEMPLATE_SPHERE,TEMPLATE_SPHERE_LIST_FOR_NOTE,0))</f>
        <v>7</v>
      </c>
      <c r="J78" s="1000"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00"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38" t="str">
        <f>IF(I78=0,"",I78)</f>
        <v>7</v>
      </c>
      <c r="M78" s="838"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38"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52" t="s">
        <v>92</v>
      </c>
      <c r="P78" s="952"/>
      <c r="Q78" s="952"/>
      <c r="R78" s="952"/>
      <c r="S78" s="952"/>
      <c r="T78" s="837" t="s">
        <v>2107</v>
      </c>
      <c r="U78" s="837"/>
      <c r="V78" s="837"/>
      <c r="W78" s="837"/>
      <c r="X78" s="837"/>
      <c r="Y78" s="995"/>
      <c r="Z78" s="840" t="s">
        <v>2108</v>
      </c>
      <c r="AA78" s="843"/>
      <c r="AB78" s="840"/>
      <c r="AC78" s="840"/>
      <c r="AD78" s="840"/>
    </row>
    <row customHeight="1" ht="36">
      <c r="A79" s="839"/>
      <c r="B79" s="893">
        <v>62</v>
      </c>
      <c r="C79" s="837" t="s">
        <v>2084</v>
      </c>
      <c r="D79" s="962"/>
      <c r="E79" s="837"/>
      <c r="F79" s="837"/>
      <c r="G79" s="837"/>
      <c r="H79" s="885"/>
      <c r="I79" s="1000" t="str">
        <f>INDEX(TEMPLATE_NUMBER_POINT_FHD,B79,MATCH(TEMPLATE_SPHERE,TEMPLATE_SPHERE_LIST_FOR_NOTE,0))</f>
        <v>8</v>
      </c>
      <c r="J79" s="1000"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00"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38" t="str">
        <f>IF(I79=0,"",I79)</f>
        <v>8</v>
      </c>
      <c r="M79" s="838" t="str">
        <f>IF(J79=0,"",J79)</f>
        <v>Тепловая нагрузка по договорам, заключенным в рамках осуществления регулируемых видов деятельности</v>
      </c>
      <c r="N79" s="838"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52" t="s">
        <v>111</v>
      </c>
      <c r="P79" s="952"/>
      <c r="Q79" s="952"/>
      <c r="R79" s="952"/>
      <c r="S79" s="952"/>
      <c r="T79" s="837" t="s">
        <v>2109</v>
      </c>
      <c r="U79" s="837"/>
      <c r="V79" s="837"/>
      <c r="W79" s="837"/>
      <c r="X79" s="837"/>
      <c r="Y79" s="995"/>
      <c r="Z79" s="840" t="s">
        <v>2110</v>
      </c>
      <c r="AA79" s="843"/>
      <c r="AB79" s="840"/>
      <c r="AC79" s="840"/>
      <c r="AD79" s="840"/>
    </row>
    <row customHeight="1" ht="45">
      <c r="A80" s="839"/>
      <c r="B80" s="893">
        <v>63</v>
      </c>
      <c r="C80" s="837" t="s">
        <v>2086</v>
      </c>
      <c r="D80" s="962"/>
      <c r="E80" s="837"/>
      <c r="F80" s="837"/>
      <c r="G80" s="837"/>
      <c r="H80" s="885"/>
      <c r="I80" s="1000" t="str">
        <f>INDEX(TEMPLATE_NUMBER_POINT_FHD,B80,MATCH(TEMPLATE_SPHERE,TEMPLATE_SPHERE_LIST_FOR_NOTE,0))</f>
        <v>9</v>
      </c>
      <c r="J80" s="1000"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00"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38" t="str">
        <f>IF(I80=0,"",I80)</f>
        <v>9</v>
      </c>
      <c r="M80" s="838" t="str">
        <f>IF(J80=0,"",J80)</f>
        <v>Объем вырабатываемой регулируемой организацией тепловой энергии в рамках осуществления регулируемых видов деятельности</v>
      </c>
      <c r="N80" s="838"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52" t="s">
        <v>98</v>
      </c>
      <c r="P80" s="952"/>
      <c r="Q80" s="952"/>
      <c r="R80" s="952"/>
      <c r="S80" s="952"/>
      <c r="T80" s="837" t="s">
        <v>2111</v>
      </c>
      <c r="U80" s="837"/>
      <c r="V80" s="837"/>
      <c r="W80" s="837"/>
      <c r="X80" s="837"/>
      <c r="Y80" s="995"/>
      <c r="Z80" s="840" t="s">
        <v>2112</v>
      </c>
      <c r="AA80" s="843"/>
      <c r="AB80" s="840"/>
      <c r="AC80" s="840"/>
      <c r="AD80" s="840"/>
    </row>
    <row customHeight="1" ht="36">
      <c r="A81" s="839"/>
      <c r="B81" s="893">
        <v>64</v>
      </c>
      <c r="C81" s="837" t="s">
        <v>2088</v>
      </c>
      <c r="D81" s="962"/>
      <c r="E81" s="837"/>
      <c r="F81" s="837"/>
      <c r="G81" s="837"/>
      <c r="H81" s="885"/>
      <c r="I81" s="1000" t="str">
        <f>INDEX(TEMPLATE_NUMBER_POINT_FHD,B81,MATCH(TEMPLATE_SPHERE,TEMPLATE_SPHERE_LIST_FOR_NOTE,0))</f>
        <v>9.1</v>
      </c>
      <c r="J81" s="1000"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00" t="str">
        <f>INDEX(TEMPLATE_NOTE_POINT_FHD,B81,MATCH(TEMPLATE_SPHERE,TEMPLATE_SPHERE_LIST_FOR_NOTE,0))</f>
        <v>Информация указывается только едиными теплоснабжающими организациями.</v>
      </c>
      <c r="L81" s="838" t="str">
        <f>IF(I81=0,"",I81)</f>
        <v>9.1</v>
      </c>
      <c r="M81" s="838" t="str">
        <f>IF(J81=0,"",J81)</f>
        <v>Объем приобретаемой регулируемой организацией тепловой энергии в рамках осуществления регулируемых видов деятельности</v>
      </c>
      <c r="N81" s="838" t="str">
        <f>IF(K81=0,"",K81)</f>
        <v>Информация указывается только едиными теплоснабжающими организациями.</v>
      </c>
      <c r="O81" s="952" t="s">
        <v>1991</v>
      </c>
      <c r="P81" s="952"/>
      <c r="Q81" s="952"/>
      <c r="R81" s="952"/>
      <c r="S81" s="952"/>
      <c r="T81" s="837" t="s">
        <v>2113</v>
      </c>
      <c r="U81" s="837"/>
      <c r="V81" s="837"/>
      <c r="W81" s="837"/>
      <c r="X81" s="837"/>
      <c r="Y81" s="995"/>
      <c r="Z81" s="840" t="s">
        <v>2114</v>
      </c>
      <c r="AA81" s="843"/>
      <c r="AB81" s="840"/>
      <c r="AC81" s="840"/>
      <c r="AD81" s="840"/>
    </row>
    <row customHeight="1" ht="90">
      <c r="A82" s="839"/>
      <c r="B82" s="893">
        <v>65</v>
      </c>
      <c r="C82" s="837" t="s">
        <v>2097</v>
      </c>
      <c r="D82" s="962"/>
      <c r="E82" s="837"/>
      <c r="F82" s="837"/>
      <c r="G82" s="837"/>
      <c r="H82" s="885"/>
      <c r="I82" s="1000" t="str">
        <f>INDEX(TEMPLATE_NUMBER_POINT_FHD,B82,MATCH(TEMPLATE_SPHERE,TEMPLATE_SPHERE_LIST_FOR_NOTE,0))</f>
        <v>10</v>
      </c>
      <c r="J82" s="1000"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00"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38" t="str">
        <f>IF(I82=0,"",I82)</f>
        <v>10</v>
      </c>
      <c r="M82" s="838"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38"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52" t="s">
        <v>147</v>
      </c>
      <c r="P82" s="952"/>
      <c r="Q82" s="952"/>
      <c r="R82" s="952"/>
      <c r="S82" s="952"/>
      <c r="T82" s="837" t="s">
        <v>2115</v>
      </c>
      <c r="U82" s="837"/>
      <c r="V82" s="837"/>
      <c r="W82" s="837"/>
      <c r="X82" s="837"/>
      <c r="Y82" s="995"/>
      <c r="Z82" s="840" t="s">
        <v>2116</v>
      </c>
      <c r="AA82" s="843"/>
      <c r="AB82" s="840"/>
      <c r="AC82" s="840"/>
      <c r="AD82" s="840"/>
    </row>
    <row customHeight="1" ht="9">
      <c r="A83" s="839"/>
      <c r="B83" s="893">
        <v>66</v>
      </c>
      <c r="C83" s="837"/>
      <c r="D83" s="962"/>
      <c r="E83" s="837"/>
      <c r="F83" s="837"/>
      <c r="G83" s="837"/>
      <c r="H83" s="885"/>
      <c r="I83" s="1000" t="str">
        <f>INDEX(TEMPLATE_NUMBER_POINT_FHD,B83,MATCH(TEMPLATE_SPHERE,TEMPLATE_SPHERE_LIST_FOR_NOTE,0))</f>
        <v>10.1</v>
      </c>
      <c r="J83" s="1000" t="str">
        <f>INDEX(TEMPLATE_DATA_POINT_FHD,B83,MATCH(TEMPLATE_SPHERE,TEMPLATE_SPHERE_LIST_FOR_NOTE,0))</f>
        <v>По приборам учёта </v>
      </c>
      <c r="K83" s="1000">
        <f>INDEX(TEMPLATE_NOTE_POINT_FHD,B83,MATCH(TEMPLATE_SPHERE,TEMPLATE_SPHERE_LIST_FOR_NOTE,0))</f>
        <v>0</v>
      </c>
      <c r="L83" s="838" t="str">
        <f>IF(I83=0,"",I83)</f>
        <v>10.1</v>
      </c>
      <c r="M83" s="838" t="str">
        <f>IF(J83=0,"",J83)</f>
        <v>По приборам учёта </v>
      </c>
      <c r="N83" s="838" t="str">
        <f>IF(K83=0,"",K83)</f>
        <v/>
      </c>
      <c r="O83" s="952" t="s">
        <v>2000</v>
      </c>
      <c r="P83" s="952"/>
      <c r="Q83" s="952"/>
      <c r="R83" s="952"/>
      <c r="S83" s="952"/>
      <c r="T83" s="837" t="s">
        <v>2117</v>
      </c>
      <c r="U83" s="837"/>
      <c r="V83" s="837"/>
      <c r="W83" s="837"/>
      <c r="X83" s="837"/>
      <c r="Y83" s="995"/>
      <c r="Z83" s="840"/>
      <c r="AA83" s="843"/>
      <c r="AB83" s="840"/>
      <c r="AC83" s="840"/>
      <c r="AD83" s="840"/>
    </row>
    <row customHeight="1" ht="54">
      <c r="A84" s="839"/>
      <c r="B84" s="893">
        <v>67</v>
      </c>
      <c r="C84" s="837"/>
      <c r="D84" s="962"/>
      <c r="E84" s="837"/>
      <c r="F84" s="837"/>
      <c r="G84" s="837"/>
      <c r="H84" s="885"/>
      <c r="I84" s="1000" t="str">
        <f>INDEX(TEMPLATE_NUMBER_POINT_FHD,B84,MATCH(TEMPLATE_SPHERE,TEMPLATE_SPHERE_LIST_FOR_NOTE,0))</f>
        <v>10.1.1</v>
      </c>
      <c r="J84" s="1000"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00">
        <f>INDEX(TEMPLATE_NOTE_POINT_FHD,B84,MATCH(TEMPLATE_SPHERE,TEMPLATE_SPHERE_LIST_FOR_NOTE,0))</f>
        <v>0</v>
      </c>
      <c r="L84" s="838" t="str">
        <f>IF(I84=0,"",I84)</f>
        <v>10.1.1</v>
      </c>
      <c r="M84" s="838"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38" t="str">
        <f>IF(K84=0,"",K84)</f>
        <v/>
      </c>
      <c r="O84" s="952" t="s">
        <v>2118</v>
      </c>
      <c r="P84" s="952"/>
      <c r="Q84" s="952"/>
      <c r="R84" s="952"/>
      <c r="S84" s="952"/>
      <c r="T84" s="837" t="s">
        <v>2119</v>
      </c>
      <c r="U84" s="837"/>
      <c r="V84" s="837"/>
      <c r="W84" s="837"/>
      <c r="X84" s="837"/>
      <c r="Y84" s="995"/>
      <c r="Z84" s="840"/>
      <c r="AA84" s="843"/>
      <c r="AB84" s="840"/>
      <c r="AC84" s="840"/>
      <c r="AD84" s="840"/>
    </row>
    <row customHeight="1" ht="9">
      <c r="A85" s="839"/>
      <c r="B85" s="893">
        <v>68</v>
      </c>
      <c r="C85" s="837"/>
      <c r="D85" s="962"/>
      <c r="E85" s="837"/>
      <c r="F85" s="837"/>
      <c r="G85" s="837"/>
      <c r="H85" s="885"/>
      <c r="I85" s="1000" t="str">
        <f>INDEX(TEMPLATE_NUMBER_POINT_FHD,B85,MATCH(TEMPLATE_SPHERE,TEMPLATE_SPHERE_LIST_FOR_NOTE,0))</f>
        <v>10.2</v>
      </c>
      <c r="J85" s="1000" t="str">
        <f>INDEX(TEMPLATE_DATA_POINT_FHD,B85,MATCH(TEMPLATE_SPHERE,TEMPLATE_SPHERE_LIST_FOR_NOTE,0))</f>
        <v>Расчётным путём</v>
      </c>
      <c r="K85" s="1000">
        <f>INDEX(TEMPLATE_NOTE_POINT_FHD,B85,MATCH(TEMPLATE_SPHERE,TEMPLATE_SPHERE_LIST_FOR_NOTE,0))</f>
        <v>0</v>
      </c>
      <c r="L85" s="838" t="str">
        <f>IF(I85=0,"",I85)</f>
        <v>10.2</v>
      </c>
      <c r="M85" s="838" t="str">
        <f>IF(J85=0,"",J85)</f>
        <v>Расчётным путём</v>
      </c>
      <c r="N85" s="838" t="str">
        <f>IF(K85=0,"",K85)</f>
        <v/>
      </c>
      <c r="O85" s="952" t="s">
        <v>2004</v>
      </c>
      <c r="P85" s="952"/>
      <c r="Q85" s="952"/>
      <c r="R85" s="952"/>
      <c r="S85" s="952"/>
      <c r="T85" s="837" t="s">
        <v>2120</v>
      </c>
      <c r="U85" s="837"/>
      <c r="V85" s="837"/>
      <c r="W85" s="837"/>
      <c r="X85" s="837"/>
      <c r="Y85" s="995"/>
      <c r="Z85" s="840"/>
      <c r="AA85" s="843"/>
      <c r="AB85" s="840"/>
      <c r="AC85" s="840"/>
      <c r="AD85" s="840"/>
    </row>
    <row customHeight="1" ht="27">
      <c r="A86" s="839"/>
      <c r="B86" s="893">
        <v>69</v>
      </c>
      <c r="C86" s="837"/>
      <c r="D86" s="962"/>
      <c r="E86" s="837"/>
      <c r="F86" s="837"/>
      <c r="G86" s="837"/>
      <c r="H86" s="885"/>
      <c r="I86" s="1000" t="str">
        <f>INDEX(TEMPLATE_NUMBER_POINT_FHD,B86,MATCH(TEMPLATE_SPHERE,TEMPLATE_SPHERE_LIST_FOR_NOTE,0))</f>
        <v>10.3</v>
      </c>
      <c r="J86" s="1000" t="str">
        <f>INDEX(TEMPLATE_DATA_POINT_FHD,B86,MATCH(TEMPLATE_SPHERE,TEMPLATE_SPHERE_LIST_FOR_NOTE,0))</f>
        <v>По нормативам потребления коммунальных услуг и нормативам потребления коммунальных ресурсов</v>
      </c>
      <c r="K86" s="1000">
        <f>INDEX(TEMPLATE_NOTE_POINT_FHD,B86,MATCH(TEMPLATE_SPHERE,TEMPLATE_SPHERE_LIST_FOR_NOTE,0))</f>
        <v>0</v>
      </c>
      <c r="L86" s="838" t="str">
        <f>IF(I86=0,"",I86)</f>
        <v>10.3</v>
      </c>
      <c r="M86" s="838" t="str">
        <f>IF(J86=0,"",J86)</f>
        <v>По нормативам потребления коммунальных услуг и нормативам потребления коммунальных ресурсов</v>
      </c>
      <c r="N86" s="838" t="str">
        <f>IF(K86=0,"",K86)</f>
        <v/>
      </c>
      <c r="O86" s="952" t="s">
        <v>2121</v>
      </c>
      <c r="P86" s="952"/>
      <c r="Q86" s="952"/>
      <c r="R86" s="952"/>
      <c r="S86" s="952"/>
      <c r="T86" s="837" t="s">
        <v>2122</v>
      </c>
      <c r="U86" s="837"/>
      <c r="V86" s="837"/>
      <c r="W86" s="837"/>
      <c r="X86" s="837"/>
      <c r="Y86" s="995"/>
      <c r="Z86" s="840"/>
      <c r="AA86" s="843"/>
      <c r="AB86" s="840"/>
      <c r="AC86" s="840"/>
      <c r="AD86" s="840"/>
    </row>
    <row customHeight="1" ht="36">
      <c r="A87" s="839"/>
      <c r="B87" s="893">
        <v>70</v>
      </c>
      <c r="C87" s="837" t="s">
        <v>2123</v>
      </c>
      <c r="D87" s="962"/>
      <c r="E87" s="837"/>
      <c r="F87" s="837"/>
      <c r="G87" s="837"/>
      <c r="H87" s="885"/>
      <c r="I87" s="1000" t="str">
        <f>INDEX(TEMPLATE_NUMBER_POINT_FHD,B87,MATCH(TEMPLATE_SPHERE,TEMPLATE_SPHERE_LIST_FOR_NOTE,0))</f>
        <v>11</v>
      </c>
      <c r="J87" s="1000"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00">
        <f>INDEX(TEMPLATE_NOTE_POINT_FHD,B87,MATCH(TEMPLATE_SPHERE,TEMPLATE_SPHERE_LIST_FOR_NOTE,0))</f>
        <v>0</v>
      </c>
      <c r="L87" s="838" t="str">
        <f>IF(I87=0,"",I87)</f>
        <v>11</v>
      </c>
      <c r="M87" s="838" t="str">
        <f>IF(J87=0,"",J87)</f>
        <v>Нормативы технологических потерь при передаче тепловой энергии, теплоносителя по тепловым сетям, утвержденные уполномоченным органом</v>
      </c>
      <c r="N87" s="838" t="str">
        <f>IF(K87=0,"",K87)</f>
        <v/>
      </c>
      <c r="O87" s="952" t="s">
        <v>148</v>
      </c>
      <c r="P87" s="952"/>
      <c r="Q87" s="952"/>
      <c r="R87" s="952"/>
      <c r="S87" s="952"/>
      <c r="T87" s="837" t="s">
        <v>2124</v>
      </c>
      <c r="U87" s="837"/>
      <c r="V87" s="837"/>
      <c r="W87" s="837"/>
      <c r="X87" s="837"/>
      <c r="Y87" s="995"/>
      <c r="Z87" s="840"/>
      <c r="AA87" s="843"/>
      <c r="AB87" s="840"/>
      <c r="AC87" s="840"/>
      <c r="AD87" s="840"/>
    </row>
    <row customHeight="1" ht="18">
      <c r="A88" s="839"/>
      <c r="B88" s="893">
        <v>71</v>
      </c>
      <c r="C88" s="837" t="s">
        <v>2125</v>
      </c>
      <c r="D88" s="962"/>
      <c r="E88" s="837"/>
      <c r="F88" s="837"/>
      <c r="G88" s="837"/>
      <c r="H88" s="885"/>
      <c r="I88" s="1000" t="str">
        <f>INDEX(TEMPLATE_NUMBER_POINT_FHD,B88,MATCH(TEMPLATE_SPHERE,TEMPLATE_SPHERE_LIST_FOR_NOTE,0))</f>
        <v>12</v>
      </c>
      <c r="J88" s="1000" t="str">
        <f>INDEX(TEMPLATE_DATA_POINT_FHD,B88,MATCH(TEMPLATE_SPHERE,TEMPLATE_SPHERE_LIST_FOR_NOTE,0))</f>
        <v>Фактический объем потерь при передаче тепловой энергии</v>
      </c>
      <c r="K88" s="1000">
        <f>INDEX(TEMPLATE_NOTE_POINT_FHD,B88,MATCH(TEMPLATE_SPHERE,TEMPLATE_SPHERE_LIST_FOR_NOTE,0))</f>
        <v>0</v>
      </c>
      <c r="L88" s="838" t="str">
        <f>IF(I88=0,"",I88)</f>
        <v>12</v>
      </c>
      <c r="M88" s="838" t="str">
        <f>IF(J88=0,"",J88)</f>
        <v>Фактический объем потерь при передаче тепловой энергии</v>
      </c>
      <c r="N88" s="838" t="str">
        <f>IF(K88=0,"",K88)</f>
        <v/>
      </c>
      <c r="O88" s="952" t="s">
        <v>149</v>
      </c>
      <c r="P88" s="952"/>
      <c r="Q88" s="952"/>
      <c r="R88" s="952"/>
      <c r="S88" s="952"/>
      <c r="T88" s="837" t="s">
        <v>2126</v>
      </c>
      <c r="U88" s="837"/>
      <c r="V88" s="837"/>
      <c r="W88" s="837"/>
      <c r="X88" s="837"/>
      <c r="Y88" s="995"/>
      <c r="Z88" s="840"/>
      <c r="AA88" s="843"/>
      <c r="AB88" s="840"/>
      <c r="AC88" s="840"/>
      <c r="AD88" s="840"/>
    </row>
    <row customHeight="1" ht="18">
      <c r="A89" s="839"/>
      <c r="B89" s="893">
        <v>72</v>
      </c>
      <c r="C89" s="837" t="s">
        <v>2127</v>
      </c>
      <c r="D89" s="962" t="s">
        <v>2123</v>
      </c>
      <c r="E89" s="837" t="s">
        <v>2123</v>
      </c>
      <c r="F89" s="837" t="s">
        <v>2088</v>
      </c>
      <c r="G89" s="837"/>
      <c r="H89" s="885"/>
      <c r="I89" s="1000" t="str">
        <f>INDEX(TEMPLATE_NUMBER_POINT_FHD,B89,MATCH(TEMPLATE_SPHERE,TEMPLATE_SPHERE_LIST_FOR_NOTE,0))</f>
        <v>13</v>
      </c>
      <c r="J89" s="1000" t="str">
        <f>INDEX(TEMPLATE_DATA_POINT_FHD,B89,MATCH(TEMPLATE_SPHERE,TEMPLATE_SPHERE_LIST_FOR_NOTE,0))</f>
        <v>Среднесписочная численность основного производственного персонала</v>
      </c>
      <c r="K89" s="1000">
        <f>INDEX(TEMPLATE_NOTE_POINT_FHD,B89,MATCH(TEMPLATE_SPHERE,TEMPLATE_SPHERE_LIST_FOR_NOTE,0))</f>
        <v>0</v>
      </c>
      <c r="L89" s="838" t="str">
        <f>IF(I89=0,"",I89)</f>
        <v>13</v>
      </c>
      <c r="M89" s="838" t="str">
        <f>IF(J89=0,"",J89)</f>
        <v>Среднесписочная численность основного производственного персонала</v>
      </c>
      <c r="N89" s="838" t="str">
        <f>IF(K89=0,"",K89)</f>
        <v/>
      </c>
      <c r="O89" s="952" t="s">
        <v>150</v>
      </c>
      <c r="P89" s="952" t="s">
        <v>149</v>
      </c>
      <c r="Q89" s="952" t="s">
        <v>149</v>
      </c>
      <c r="R89" s="952" t="s">
        <v>147</v>
      </c>
      <c r="S89" s="952"/>
      <c r="T89" s="837" t="s">
        <v>2128</v>
      </c>
      <c r="U89" s="837" t="s">
        <v>2128</v>
      </c>
      <c r="V89" s="837" t="s">
        <v>2128</v>
      </c>
      <c r="W89" s="837" t="s">
        <v>2128</v>
      </c>
      <c r="X89" s="837"/>
      <c r="Y89" s="995"/>
      <c r="Z89" s="840"/>
      <c r="AA89" s="843"/>
      <c r="AB89" s="840"/>
      <c r="AC89" s="840"/>
      <c r="AD89" s="840"/>
    </row>
    <row customHeight="1" ht="27">
      <c r="A90" s="839"/>
      <c r="B90" s="893">
        <v>73</v>
      </c>
      <c r="C90" s="837" t="s">
        <v>2129</v>
      </c>
      <c r="D90" s="962"/>
      <c r="E90" s="837"/>
      <c r="F90" s="837"/>
      <c r="G90" s="837"/>
      <c r="H90" s="885"/>
      <c r="I90" s="1000" t="str">
        <f>INDEX(TEMPLATE_NUMBER_POINT_FHD,B90,MATCH(TEMPLATE_SPHERE,TEMPLATE_SPHERE_LIST_FOR_NOTE,0))</f>
        <v>14</v>
      </c>
      <c r="J90" s="1000" t="str">
        <f>INDEX(TEMPLATE_DATA_POINT_FHD,B90,MATCH(TEMPLATE_SPHERE,TEMPLATE_SPHERE_LIST_FOR_NOTE,0))</f>
        <v>Среднесписочная численность административно-управленческого персонала</v>
      </c>
      <c r="K90" s="1000">
        <f>INDEX(TEMPLATE_NOTE_POINT_FHD,B90,MATCH(TEMPLATE_SPHERE,TEMPLATE_SPHERE_LIST_FOR_NOTE,0))</f>
        <v>0</v>
      </c>
      <c r="L90" s="838" t="str">
        <f>IF(I90=0,"",I90)</f>
        <v>14</v>
      </c>
      <c r="M90" s="838" t="str">
        <f>IF(J90=0,"",J90)</f>
        <v>Среднесписочная численность административно-управленческого персонала</v>
      </c>
      <c r="N90" s="838" t="str">
        <f>IF(K90=0,"",K90)</f>
        <v/>
      </c>
      <c r="O90" s="952" t="s">
        <v>151</v>
      </c>
      <c r="P90" s="952"/>
      <c r="Q90" s="952"/>
      <c r="R90" s="952"/>
      <c r="S90" s="952"/>
      <c r="T90" s="837" t="s">
        <v>2130</v>
      </c>
      <c r="U90" s="837"/>
      <c r="V90" s="837"/>
      <c r="W90" s="837"/>
      <c r="X90" s="837"/>
      <c r="Y90" s="995"/>
      <c r="Z90" s="840"/>
      <c r="AA90" s="843"/>
      <c r="AB90" s="840"/>
      <c r="AC90" s="840"/>
      <c r="AD90" s="840"/>
    </row>
    <row customHeight="1" ht="18">
      <c r="A91" s="839"/>
      <c r="B91" s="893">
        <v>74</v>
      </c>
      <c r="C91" s="837"/>
      <c r="D91" s="962" t="s">
        <v>2125</v>
      </c>
      <c r="E91" s="837" t="s">
        <v>2125</v>
      </c>
      <c r="F91" s="837"/>
      <c r="G91" s="837"/>
      <c r="H91" s="885"/>
      <c r="I91" s="1000">
        <f>INDEX(TEMPLATE_NUMBER_POINT_FHD,B91,MATCH(TEMPLATE_SPHERE,TEMPLATE_SPHERE_LIST_FOR_NOTE,0))</f>
        <v>0</v>
      </c>
      <c r="J91" s="1000">
        <f>INDEX(TEMPLATE_DATA_POINT_FHD,B91,MATCH(TEMPLATE_SPHERE,TEMPLATE_SPHERE_LIST_FOR_NOTE,0))</f>
        <v>0</v>
      </c>
      <c r="K91" s="1000">
        <f>INDEX(TEMPLATE_NOTE_POINT_FHD,B91,MATCH(TEMPLATE_SPHERE,TEMPLATE_SPHERE_LIST_FOR_NOTE,0))</f>
        <v>0</v>
      </c>
      <c r="L91" s="838" t="str">
        <f>IF(I91=0,"",I91)</f>
        <v/>
      </c>
      <c r="M91" s="838" t="str">
        <f>IF(J91=0,"",J91)</f>
        <v/>
      </c>
      <c r="N91" s="838" t="str">
        <f>IF(K91=0,"",K91)</f>
        <v/>
      </c>
      <c r="O91" s="952"/>
      <c r="P91" s="952" t="s">
        <v>150</v>
      </c>
      <c r="Q91" s="952" t="s">
        <v>150</v>
      </c>
      <c r="R91" s="952"/>
      <c r="S91" s="952"/>
      <c r="T91" s="837"/>
      <c r="U91" s="837" t="s">
        <v>2131</v>
      </c>
      <c r="V91" s="837" t="s">
        <v>2131</v>
      </c>
      <c r="W91" s="837"/>
      <c r="X91" s="837"/>
      <c r="Y91" s="995"/>
      <c r="Z91" s="840"/>
      <c r="AA91" s="843"/>
      <c r="AB91" s="840"/>
      <c r="AC91" s="840"/>
      <c r="AD91" s="840"/>
    </row>
    <row customHeight="1" ht="27">
      <c r="A92" s="839"/>
      <c r="B92" s="893">
        <v>75</v>
      </c>
      <c r="C92" s="837"/>
      <c r="D92" s="962" t="s">
        <v>2127</v>
      </c>
      <c r="E92" s="837"/>
      <c r="F92" s="837"/>
      <c r="G92" s="837"/>
      <c r="H92" s="885"/>
      <c r="I92" s="1000">
        <f>INDEX(TEMPLATE_NUMBER_POINT_FHD,B92,MATCH(TEMPLATE_SPHERE,TEMPLATE_SPHERE_LIST_FOR_NOTE,0))</f>
        <v>0</v>
      </c>
      <c r="J92" s="1000">
        <f>INDEX(TEMPLATE_DATA_POINT_FHD,B92,MATCH(TEMPLATE_SPHERE,TEMPLATE_SPHERE_LIST_FOR_NOTE,0))</f>
        <v>0</v>
      </c>
      <c r="K92" s="1000">
        <f>INDEX(TEMPLATE_NOTE_POINT_FHD,B92,MATCH(TEMPLATE_SPHERE,TEMPLATE_SPHERE_LIST_FOR_NOTE,0))</f>
        <v>0</v>
      </c>
      <c r="L92" s="838" t="str">
        <f>IF(I92=0,"",I92)</f>
        <v/>
      </c>
      <c r="M92" s="838" t="str">
        <f>IF(J92=0,"",J92)</f>
        <v/>
      </c>
      <c r="N92" s="838" t="str">
        <f>IF(K92=0,"",K92)</f>
        <v/>
      </c>
      <c r="O92" s="952"/>
      <c r="P92" s="952" t="s">
        <v>151</v>
      </c>
      <c r="Q92" s="952"/>
      <c r="R92" s="952"/>
      <c r="S92" s="952"/>
      <c r="T92" s="837"/>
      <c r="U92" s="837" t="s">
        <v>2132</v>
      </c>
      <c r="V92" s="837"/>
      <c r="W92" s="837"/>
      <c r="X92" s="837"/>
      <c r="Y92" s="995"/>
      <c r="Z92" s="840"/>
      <c r="AA92" s="843" t="s">
        <v>2133</v>
      </c>
      <c r="AB92" s="840"/>
      <c r="AC92" s="840"/>
      <c r="AD92" s="840"/>
    </row>
    <row customHeight="1" ht="27">
      <c r="A93" s="839"/>
      <c r="B93" s="893">
        <v>76</v>
      </c>
      <c r="C93" s="837"/>
      <c r="D93" s="962"/>
      <c r="E93" s="837"/>
      <c r="F93" s="837"/>
      <c r="G93" s="837"/>
      <c r="H93" s="885"/>
      <c r="I93" s="1000">
        <f>INDEX(TEMPLATE_NUMBER_POINT_FHD,B93,MATCH(TEMPLATE_SPHERE,TEMPLATE_SPHERE_LIST_FOR_NOTE,0))</f>
        <v>0</v>
      </c>
      <c r="J93" s="1000">
        <f>INDEX(TEMPLATE_DATA_POINT_FHD,B93,MATCH(TEMPLATE_SPHERE,TEMPLATE_SPHERE_LIST_FOR_NOTE,0))</f>
        <v>0</v>
      </c>
      <c r="K93" s="1000">
        <f>INDEX(TEMPLATE_NOTE_POINT_FHD,B93,MATCH(TEMPLATE_SPHERE,TEMPLATE_SPHERE_LIST_FOR_NOTE,0))</f>
        <v>0</v>
      </c>
      <c r="L93" s="838" t="str">
        <f>IF(I93=0,"",I93)</f>
        <v/>
      </c>
      <c r="M93" s="838" t="str">
        <f>IF(J93=0,"",J93)</f>
        <v/>
      </c>
      <c r="N93" s="838" t="str">
        <f>IF(K93=0,"",K93)</f>
        <v/>
      </c>
      <c r="O93" s="952"/>
      <c r="P93" s="952" t="s">
        <v>2032</v>
      </c>
      <c r="Q93" s="952"/>
      <c r="R93" s="952"/>
      <c r="S93" s="952"/>
      <c r="T93" s="837"/>
      <c r="U93" s="837" t="s">
        <v>2134</v>
      </c>
      <c r="V93" s="837"/>
      <c r="W93" s="837"/>
      <c r="X93" s="837"/>
      <c r="Y93" s="995"/>
      <c r="Z93" s="840"/>
      <c r="AA93" s="843" t="s">
        <v>2135</v>
      </c>
      <c r="AB93" s="840"/>
      <c r="AC93" s="840"/>
      <c r="AD93" s="840"/>
    </row>
    <row customHeight="1" ht="45">
      <c r="A94" s="839"/>
      <c r="B94" s="893">
        <v>77</v>
      </c>
      <c r="C94" s="837"/>
      <c r="D94" s="962" t="s">
        <v>2129</v>
      </c>
      <c r="E94" s="837"/>
      <c r="F94" s="837"/>
      <c r="G94" s="837"/>
      <c r="H94" s="885"/>
      <c r="I94" s="1000">
        <f>INDEX(TEMPLATE_NUMBER_POINT_FHD,B94,MATCH(TEMPLATE_SPHERE,TEMPLATE_SPHERE_LIST_FOR_NOTE,0))</f>
        <v>0</v>
      </c>
      <c r="J94" s="1000">
        <f>INDEX(TEMPLATE_DATA_POINT_FHD,B94,MATCH(TEMPLATE_SPHERE,TEMPLATE_SPHERE_LIST_FOR_NOTE,0))</f>
        <v>0</v>
      </c>
      <c r="K94" s="1000">
        <f>INDEX(TEMPLATE_NOTE_POINT_FHD,B94,MATCH(TEMPLATE_SPHERE,TEMPLATE_SPHERE_LIST_FOR_NOTE,0))</f>
        <v>0</v>
      </c>
      <c r="L94" s="838" t="str">
        <f>IF(I94=0,"",I94)</f>
        <v/>
      </c>
      <c r="M94" s="838" t="str">
        <f>IF(J94=0,"",J94)</f>
        <v/>
      </c>
      <c r="N94" s="838" t="str">
        <f>IF(K94=0,"",K94)</f>
        <v/>
      </c>
      <c r="O94" s="952"/>
      <c r="P94" s="952" t="s">
        <v>1482</v>
      </c>
      <c r="Q94" s="952"/>
      <c r="R94" s="952"/>
      <c r="S94" s="952"/>
      <c r="T94" s="837"/>
      <c r="U94" s="837" t="s">
        <v>2136</v>
      </c>
      <c r="V94" s="837"/>
      <c r="W94" s="837"/>
      <c r="X94" s="837"/>
      <c r="Y94" s="995"/>
      <c r="Z94" s="840"/>
      <c r="AA94" s="843" t="s">
        <v>2137</v>
      </c>
      <c r="AB94" s="840"/>
      <c r="AC94" s="840"/>
      <c r="AD94" s="840"/>
    </row>
    <row customHeight="1" ht="99">
      <c r="A95" s="839"/>
      <c r="B95" s="893">
        <v>78</v>
      </c>
      <c r="C95" s="837" t="s">
        <v>2138</v>
      </c>
      <c r="D95" s="962"/>
      <c r="E95" s="837"/>
      <c r="F95" s="837"/>
      <c r="G95" s="837"/>
      <c r="H95" s="885"/>
      <c r="I95" s="1000" t="str">
        <f>INDEX(TEMPLATE_NUMBER_POINT_FHD,B95,MATCH(TEMPLATE_SPHERE,TEMPLATE_SPHERE_LIST_FOR_NOTE,0))</f>
        <v>15</v>
      </c>
      <c r="J95" s="1000"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00">
        <f>INDEX(TEMPLATE_NOTE_POINT_FHD,B95,MATCH(TEMPLATE_SPHERE,TEMPLATE_SPHERE_LIST_FOR_NOTE,0))</f>
        <v>0</v>
      </c>
      <c r="L95" s="838" t="str">
        <f>IF(I95=0,"",I95)</f>
        <v>15</v>
      </c>
      <c r="M95" s="838"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38" t="str">
        <f>IF(K95=0,"",K95)</f>
        <v/>
      </c>
      <c r="O95" s="952" t="s">
        <v>1482</v>
      </c>
      <c r="P95" s="952"/>
      <c r="Q95" s="952"/>
      <c r="R95" s="952"/>
      <c r="S95" s="952"/>
      <c r="T95" s="837" t="s">
        <v>2139</v>
      </c>
      <c r="U95" s="837"/>
      <c r="V95" s="837"/>
      <c r="W95" s="837"/>
      <c r="X95" s="837"/>
      <c r="Y95" s="995"/>
      <c r="Z95" s="840"/>
      <c r="AA95" s="843"/>
      <c r="AB95" s="840"/>
      <c r="AC95" s="840"/>
      <c r="AD95" s="840"/>
    </row>
    <row customHeight="1" ht="99">
      <c r="A96" s="839"/>
      <c r="B96" s="893">
        <v>79</v>
      </c>
      <c r="C96" s="837" t="s">
        <v>1084</v>
      </c>
      <c r="D96" s="962"/>
      <c r="E96" s="837"/>
      <c r="F96" s="837"/>
      <c r="G96" s="837"/>
      <c r="H96" s="885"/>
      <c r="I96" s="1000" t="str">
        <f>INDEX(TEMPLATE_NUMBER_POINT_FHD,B96,MATCH(TEMPLATE_SPHERE,TEMPLATE_SPHERE_LIST_FOR_NOTE,0))</f>
        <v>16</v>
      </c>
      <c r="J96" s="1000"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00"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38" t="str">
        <f>IF(I96=0,"",I96)</f>
        <v>16</v>
      </c>
      <c r="M96" s="838"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38"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52" t="s">
        <v>1488</v>
      </c>
      <c r="P96" s="952"/>
      <c r="Q96" s="952"/>
      <c r="R96" s="952"/>
      <c r="S96" s="952"/>
      <c r="T96" s="837" t="s">
        <v>2140</v>
      </c>
      <c r="U96" s="837"/>
      <c r="V96" s="837"/>
      <c r="W96" s="837"/>
      <c r="X96" s="837"/>
      <c r="Y96" s="995"/>
      <c r="Z96" s="840" t="s">
        <v>2141</v>
      </c>
      <c r="AA96" s="843"/>
      <c r="AB96" s="840"/>
      <c r="AC96" s="840"/>
      <c r="AD96" s="840"/>
    </row>
    <row customHeight="1" ht="63">
      <c r="A97" s="839"/>
      <c r="B97" s="893">
        <v>80</v>
      </c>
      <c r="C97" s="837" t="s">
        <v>2142</v>
      </c>
      <c r="D97" s="962"/>
      <c r="E97" s="837"/>
      <c r="F97" s="837"/>
      <c r="G97" s="837"/>
      <c r="H97" s="885"/>
      <c r="I97" s="1000" t="str">
        <f>INDEX(TEMPLATE_NUMBER_POINT_FHD,B97,MATCH(TEMPLATE_SPHERE,TEMPLATE_SPHERE_LIST_FOR_NOTE,0))</f>
        <v>17</v>
      </c>
      <c r="J97" s="1000"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00"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38" t="str">
        <f>IF(I97=0,"",I97)</f>
        <v>17</v>
      </c>
      <c r="M97" s="838"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38" t="str">
        <f>IF(K97=0,"",K97)</f>
        <v>Регулируемыми организациями указывается информация с по договорам, заключенным в рамках осуществления регулируемой деятельности.</v>
      </c>
      <c r="O97" s="952" t="s">
        <v>1499</v>
      </c>
      <c r="P97" s="952"/>
      <c r="Q97" s="952"/>
      <c r="R97" s="952"/>
      <c r="S97" s="952"/>
      <c r="T97" s="837" t="s">
        <v>2143</v>
      </c>
      <c r="U97" s="837"/>
      <c r="V97" s="837"/>
      <c r="W97" s="837"/>
      <c r="X97" s="837"/>
      <c r="Y97" s="995"/>
      <c r="Z97" s="840" t="s">
        <v>2144</v>
      </c>
      <c r="AA97" s="843"/>
      <c r="AB97" s="840"/>
      <c r="AC97" s="840"/>
      <c r="AD97" s="840"/>
    </row>
    <row customHeight="1" ht="63">
      <c r="A98" s="839"/>
      <c r="B98" s="893">
        <v>81</v>
      </c>
      <c r="C98" s="837" t="s">
        <v>2145</v>
      </c>
      <c r="D98" s="962"/>
      <c r="E98" s="837"/>
      <c r="F98" s="837"/>
      <c r="G98" s="837"/>
      <c r="H98" s="885"/>
      <c r="I98" s="1000" t="str">
        <f>INDEX(TEMPLATE_NUMBER_POINT_FHD,B98,MATCH(TEMPLATE_SPHERE,TEMPLATE_SPHERE_LIST_FOR_NOTE,0))</f>
        <v>18</v>
      </c>
      <c r="J98" s="1000"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00"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38" t="str">
        <f>IF(I98=0,"",I98)</f>
        <v>18</v>
      </c>
      <c r="M98" s="838"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38" t="str">
        <f>IF(K98=0,"",K98)</f>
        <v>Регулируемыми организациями указывается информация с по договорам, заключенным в рамках осуществления регулируемой деятельности.</v>
      </c>
      <c r="O98" s="952" t="s">
        <v>1513</v>
      </c>
      <c r="P98" s="952"/>
      <c r="Q98" s="952"/>
      <c r="R98" s="952"/>
      <c r="S98" s="952"/>
      <c r="T98" s="837" t="s">
        <v>2146</v>
      </c>
      <c r="U98" s="837"/>
      <c r="V98" s="837"/>
      <c r="W98" s="837"/>
      <c r="X98" s="837"/>
      <c r="Y98" s="995"/>
      <c r="Z98" s="840" t="s">
        <v>2144</v>
      </c>
      <c r="AA98" s="843"/>
      <c r="AB98" s="840"/>
      <c r="AC98" s="840"/>
      <c r="AD98" s="840"/>
    </row>
    <row customHeight="1" ht="90">
      <c r="A99" s="839"/>
      <c r="B99" s="893">
        <v>82</v>
      </c>
      <c r="C99" s="837" t="s">
        <v>2147</v>
      </c>
      <c r="D99" s="962"/>
      <c r="E99" s="837"/>
      <c r="F99" s="837"/>
      <c r="G99" s="837"/>
      <c r="H99" s="885"/>
      <c r="I99" s="1000" t="str">
        <f>INDEX(TEMPLATE_NUMBER_POINT_FHD,B99,MATCH(TEMPLATE_SPHERE,TEMPLATE_SPHERE_LIST_FOR_NOTE,0))</f>
        <v>19</v>
      </c>
      <c r="J99" s="1000"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00" t="str">
        <f>INDEX(TEMPLATE_NOTE_POINT_FHD,B99,MATCH(TEMPLATE_SPHERE,TEMPLATE_SPHERE_LIST_FOR_NOTE,0))</f>
        <v>Указывается ссылка на документ, предварительно загруженный в хранилище файлов ФГИС ЕИАС.</v>
      </c>
      <c r="L99" s="838" t="str">
        <f>IF(I99=0,"",I99)</f>
        <v>19</v>
      </c>
      <c r="M99" s="838"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38" t="str">
        <f>IF(K99=0,"",K99)</f>
        <v>Указывается ссылка на документ, предварительно загруженный в хранилище файлов ФГИС ЕИАС.</v>
      </c>
      <c r="O99" s="952" t="s">
        <v>1525</v>
      </c>
      <c r="P99" s="952"/>
      <c r="Q99" s="952"/>
      <c r="R99" s="952"/>
      <c r="S99" s="952"/>
      <c r="T99" s="837" t="s">
        <v>2148</v>
      </c>
      <c r="U99" s="837"/>
      <c r="V99" s="837"/>
      <c r="W99" s="837"/>
      <c r="X99" s="837"/>
      <c r="Y99" s="995"/>
      <c r="Z99" s="840" t="s">
        <v>814</v>
      </c>
      <c r="AA99" s="843"/>
      <c r="AB99" s="840"/>
      <c r="AC99" s="840"/>
      <c r="AD99" s="840"/>
    </row>
    <row customHeight="1" ht="27">
      <c r="A100" s="839"/>
      <c r="B100" s="893">
        <v>83</v>
      </c>
      <c r="C100" s="837"/>
      <c r="D100" s="962"/>
      <c r="E100" s="837"/>
      <c r="F100" s="837"/>
      <c r="G100" s="837"/>
      <c r="H100" s="885"/>
      <c r="I100" s="1000" t="str">
        <f>INDEX(TEMPLATE_NUMBER_POINT_FHD,B100,MATCH(TEMPLATE_SPHERE,TEMPLATE_SPHERE_LIST_FOR_NOTE,0))</f>
        <v>19.1</v>
      </c>
      <c r="J100" s="1000" t="str">
        <f>INDEX(TEMPLATE_DATA_POINT_FHD,B100,MATCH(TEMPLATE_SPHERE,TEMPLATE_SPHERE_LIST_FOR_NOTE,0))</f>
        <v>Информация о показателях физического износа объектов теплоснабжения</v>
      </c>
      <c r="K100" s="1000" t="str">
        <f>INDEX(TEMPLATE_NOTE_POINT_FHD,B100,MATCH(TEMPLATE_SPHERE,TEMPLATE_SPHERE_LIST_FOR_NOTE,0))</f>
        <v>Указывается ссылка на документ, предварительно загруженный в хранилище файлов ФГИС ЕИАС.</v>
      </c>
      <c r="L100" s="838" t="str">
        <f>IF(I100=0,"",I100)</f>
        <v>19.1</v>
      </c>
      <c r="M100" s="838" t="str">
        <f>IF(J100=0,"",J100)</f>
        <v>Информация о показателях физического износа объектов теплоснабжения</v>
      </c>
      <c r="N100" s="838" t="str">
        <f>IF(K100=0,"",K100)</f>
        <v>Указывается ссылка на документ, предварительно загруженный в хранилище файлов ФГИС ЕИАС.</v>
      </c>
      <c r="O100" s="952" t="s">
        <v>2149</v>
      </c>
      <c r="P100" s="952"/>
      <c r="Q100" s="952"/>
      <c r="R100" s="952"/>
      <c r="S100" s="952"/>
      <c r="T100" s="837" t="s">
        <v>2150</v>
      </c>
      <c r="U100" s="837"/>
      <c r="V100" s="837"/>
      <c r="W100" s="837"/>
      <c r="X100" s="837"/>
      <c r="Y100" s="995"/>
      <c r="Z100" s="840" t="s">
        <v>814</v>
      </c>
      <c r="AA100" s="843"/>
      <c r="AB100" s="840"/>
      <c r="AC100" s="840"/>
      <c r="AD100" s="840"/>
    </row>
    <row customHeight="1" ht="27">
      <c r="A101" s="839"/>
      <c r="B101" s="893">
        <v>84</v>
      </c>
      <c r="C101" s="837"/>
      <c r="D101" s="962"/>
      <c r="E101" s="837"/>
      <c r="F101" s="837"/>
      <c r="G101" s="837"/>
      <c r="H101" s="885"/>
      <c r="I101" s="1000" t="str">
        <f>INDEX(TEMPLATE_NUMBER_POINT_FHD,B101,MATCH(TEMPLATE_SPHERE,TEMPLATE_SPHERE_LIST_FOR_NOTE,0))</f>
        <v>19.2</v>
      </c>
      <c r="J101" s="1000" t="str">
        <f>INDEX(TEMPLATE_DATA_POINT_FHD,B101,MATCH(TEMPLATE_SPHERE,TEMPLATE_SPHERE_LIST_FOR_NOTE,0))</f>
        <v>Информация о показателях энергетической эффективности объектов теплоснабжения</v>
      </c>
      <c r="K101" s="1000" t="str">
        <f>INDEX(TEMPLATE_NOTE_POINT_FHD,B101,MATCH(TEMPLATE_SPHERE,TEMPLATE_SPHERE_LIST_FOR_NOTE,0))</f>
        <v>Указывается ссылка на документ, предварительно загруженный в хранилище файлов ФГИС ЕИАС.</v>
      </c>
      <c r="L101" s="838" t="str">
        <f>IF(I101=0,"",I101)</f>
        <v>19.2</v>
      </c>
      <c r="M101" s="838" t="str">
        <f>IF(J101=0,"",J101)</f>
        <v>Информация о показателях энергетической эффективности объектов теплоснабжения</v>
      </c>
      <c r="N101" s="838" t="str">
        <f>IF(K101=0,"",K101)</f>
        <v>Указывается ссылка на документ, предварительно загруженный в хранилище файлов ФГИС ЕИАС.</v>
      </c>
      <c r="O101" s="952" t="s">
        <v>2151</v>
      </c>
      <c r="P101" s="952"/>
      <c r="Q101" s="952"/>
      <c r="R101" s="952"/>
      <c r="S101" s="952"/>
      <c r="T101" s="837" t="s">
        <v>2152</v>
      </c>
      <c r="U101" s="837"/>
      <c r="V101" s="837"/>
      <c r="W101" s="837"/>
      <c r="X101" s="837"/>
      <c r="Y101" s="995"/>
      <c r="Z101" s="840" t="s">
        <v>814</v>
      </c>
      <c r="AA101" s="843"/>
      <c r="AB101" s="840"/>
      <c r="AC101" s="840"/>
      <c r="AD101" s="840"/>
    </row>
    <row customHeight="1" ht="9">
      <c r="A102" s="839"/>
      <c r="B102" s="839"/>
      <c r="C102" s="837"/>
      <c r="D102" s="837"/>
      <c r="E102" s="837"/>
      <c r="F102" s="837"/>
      <c r="G102" s="837"/>
      <c r="H102" s="885"/>
      <c r="I102" s="885"/>
      <c r="J102" s="885"/>
      <c r="K102" s="885"/>
      <c r="L102" s="885"/>
      <c r="M102" s="837"/>
      <c r="N102" s="884"/>
      <c r="O102" s="952"/>
      <c r="P102" s="952"/>
      <c r="Q102" s="952"/>
      <c r="R102" s="952"/>
      <c r="S102" s="837"/>
      <c r="T102" s="837"/>
      <c r="U102" s="837"/>
      <c r="V102" s="837"/>
      <c r="W102" s="837"/>
      <c r="X102" s="837"/>
      <c r="Y102" s="995"/>
      <c r="Z102" s="840"/>
      <c r="AA102" s="843"/>
      <c r="AB102" s="840"/>
      <c r="AC102" s="840"/>
      <c r="AD102" s="840"/>
    </row>
    <row customHeight="1" ht="9">
      <c r="A103" s="839"/>
      <c r="B103" s="839"/>
      <c r="C103" s="837"/>
      <c r="D103" s="837"/>
      <c r="E103" s="837"/>
      <c r="F103" s="837"/>
      <c r="G103" s="837"/>
      <c r="H103" s="885"/>
      <c r="I103" s="885"/>
      <c r="J103" s="885"/>
      <c r="K103" s="885"/>
      <c r="L103" s="885"/>
      <c r="M103" s="837"/>
      <c r="N103" s="884"/>
      <c r="O103" s="952"/>
      <c r="P103" s="952"/>
      <c r="Q103" s="952"/>
      <c r="R103" s="952"/>
      <c r="S103" s="837"/>
      <c r="T103" s="837"/>
      <c r="U103" s="837"/>
      <c r="V103" s="837"/>
      <c r="W103" s="837"/>
      <c r="X103" s="837"/>
      <c r="Y103" s="995"/>
      <c r="Z103" s="840"/>
      <c r="AA103" s="843"/>
      <c r="AB103" s="840"/>
      <c r="AC103" s="840"/>
      <c r="AD103" s="840"/>
    </row>
    <row customHeight="1" ht="9">
      <c r="A104" s="839"/>
      <c r="B104" s="839"/>
      <c r="C104" s="837"/>
      <c r="D104" s="837"/>
      <c r="E104" s="837"/>
      <c r="F104" s="837"/>
      <c r="G104" s="837"/>
      <c r="H104" s="885"/>
      <c r="I104" s="885"/>
      <c r="J104" s="885"/>
      <c r="K104" s="885"/>
      <c r="L104" s="885"/>
      <c r="M104" s="837"/>
      <c r="N104" s="884"/>
      <c r="O104" s="952"/>
      <c r="P104" s="952"/>
      <c r="Q104" s="952"/>
      <c r="R104" s="952"/>
      <c r="S104" s="837"/>
      <c r="T104" s="837"/>
      <c r="U104" s="837"/>
      <c r="V104" s="837"/>
      <c r="W104" s="837"/>
      <c r="X104" s="837"/>
      <c r="Y104" s="995"/>
      <c r="Z104" s="840"/>
      <c r="AA104" s="843"/>
      <c r="AB104" s="840"/>
      <c r="AC104" s="840"/>
      <c r="AD104" s="840"/>
    </row>
    <row customHeight="1" ht="9">
      <c r="A105" s="839"/>
      <c r="B105" s="839"/>
      <c r="C105" s="837"/>
      <c r="D105" s="837"/>
      <c r="E105" s="837"/>
      <c r="F105" s="837"/>
      <c r="G105" s="837"/>
      <c r="H105" s="885"/>
      <c r="I105" s="885"/>
      <c r="J105" s="885"/>
      <c r="K105" s="885"/>
      <c r="L105" s="885"/>
      <c r="M105" s="837"/>
      <c r="N105" s="884"/>
      <c r="O105" s="952"/>
      <c r="P105" s="952"/>
      <c r="Q105" s="952"/>
      <c r="R105" s="952"/>
      <c r="S105" s="837"/>
      <c r="T105" s="837"/>
      <c r="U105" s="837"/>
      <c r="V105" s="837"/>
      <c r="W105" s="837"/>
      <c r="X105" s="837"/>
      <c r="Y105" s="995"/>
      <c r="Z105" s="840"/>
      <c r="AA105" s="843"/>
      <c r="AB105" s="840"/>
      <c r="AC105" s="840"/>
      <c r="AD105" s="840"/>
    </row>
    <row customHeight="1" ht="9">
      <c r="A106" s="839"/>
      <c r="B106" s="839"/>
      <c r="C106" s="837"/>
      <c r="D106" s="837"/>
      <c r="E106" s="837"/>
      <c r="F106" s="837"/>
      <c r="G106" s="837"/>
      <c r="H106" s="885"/>
      <c r="I106" s="885"/>
      <c r="J106" s="885"/>
      <c r="K106" s="885"/>
      <c r="L106" s="885"/>
      <c r="M106" s="837"/>
      <c r="N106" s="884"/>
      <c r="O106" s="952"/>
      <c r="P106" s="952"/>
      <c r="Q106" s="952"/>
      <c r="R106" s="952"/>
      <c r="S106" s="837"/>
      <c r="T106" s="837"/>
      <c r="U106" s="837"/>
      <c r="V106" s="837"/>
      <c r="W106" s="837"/>
      <c r="X106" s="837"/>
      <c r="Y106" s="995"/>
      <c r="Z106" s="840"/>
      <c r="AA106" s="843"/>
      <c r="AB106" s="840"/>
      <c r="AC106" s="840"/>
      <c r="AD106" s="840"/>
    </row>
    <row customHeight="1" ht="9">
      <c r="A107" s="839"/>
      <c r="B107" s="839"/>
      <c r="C107" s="837"/>
      <c r="D107" s="837"/>
      <c r="E107" s="837"/>
      <c r="F107" s="837"/>
      <c r="G107" s="837"/>
      <c r="H107" s="885"/>
      <c r="I107" s="885"/>
      <c r="J107" s="885"/>
      <c r="K107" s="885"/>
      <c r="L107" s="885"/>
      <c r="M107" s="837"/>
      <c r="N107" s="884"/>
      <c r="O107" s="952"/>
      <c r="P107" s="952"/>
      <c r="Q107" s="952"/>
      <c r="R107" s="952"/>
      <c r="S107" s="837"/>
      <c r="T107" s="837"/>
      <c r="U107" s="837"/>
      <c r="V107" s="837"/>
      <c r="W107" s="837"/>
      <c r="X107" s="837"/>
      <c r="Y107" s="995"/>
      <c r="Z107" s="840"/>
      <c r="AA107" s="843"/>
      <c r="AB107" s="840"/>
      <c r="AC107" s="840"/>
      <c r="AD107" s="840"/>
    </row>
    <row customHeight="1" ht="9">
      <c r="A108" s="839"/>
      <c r="B108" s="839"/>
      <c r="C108" s="837"/>
      <c r="D108" s="837"/>
      <c r="E108" s="837"/>
      <c r="F108" s="837"/>
      <c r="G108" s="837"/>
      <c r="H108" s="885"/>
      <c r="I108" s="885"/>
      <c r="J108" s="885"/>
      <c r="K108" s="885"/>
      <c r="L108" s="885"/>
      <c r="M108" s="837"/>
      <c r="N108" s="884"/>
      <c r="O108" s="952"/>
      <c r="P108" s="952"/>
      <c r="Q108" s="952"/>
      <c r="R108" s="952"/>
      <c r="S108" s="837"/>
      <c r="T108" s="837"/>
      <c r="U108" s="837"/>
      <c r="V108" s="837"/>
      <c r="W108" s="837"/>
      <c r="X108" s="837"/>
      <c r="Y108" s="995"/>
      <c r="Z108" s="840"/>
      <c r="AA108" s="843"/>
      <c r="AB108" s="840"/>
      <c r="AC108" s="840"/>
      <c r="AD108" s="840"/>
    </row>
    <row customHeight="1" ht="9">
      <c r="A109" s="839"/>
      <c r="B109" s="839"/>
      <c r="C109" s="837"/>
      <c r="D109" s="837"/>
      <c r="E109" s="837"/>
      <c r="F109" s="837"/>
      <c r="G109" s="837"/>
      <c r="H109" s="885"/>
      <c r="I109" s="885"/>
      <c r="J109" s="885"/>
      <c r="K109" s="885"/>
      <c r="L109" s="885"/>
      <c r="M109" s="837"/>
      <c r="N109" s="884"/>
      <c r="O109" s="952"/>
      <c r="P109" s="952"/>
      <c r="Q109" s="952"/>
      <c r="R109" s="952"/>
      <c r="S109" s="837"/>
      <c r="T109" s="837"/>
      <c r="U109" s="837"/>
      <c r="V109" s="837"/>
      <c r="W109" s="837"/>
      <c r="X109" s="837"/>
      <c r="Y109" s="995"/>
      <c r="Z109" s="840"/>
      <c r="AA109" s="843"/>
      <c r="AB109" s="840"/>
      <c r="AC109" s="840"/>
      <c r="AD109" s="840"/>
    </row>
    <row customHeight="1" ht="9">
      <c r="A110" s="839"/>
      <c r="B110" s="839"/>
      <c r="C110" s="837"/>
      <c r="D110" s="837"/>
      <c r="E110" s="837"/>
      <c r="F110" s="837"/>
      <c r="G110" s="837"/>
      <c r="H110" s="885"/>
      <c r="I110" s="885"/>
      <c r="J110" s="885"/>
      <c r="K110" s="885"/>
      <c r="L110" s="885"/>
      <c r="M110" s="837"/>
      <c r="N110" s="884"/>
      <c r="O110" s="952"/>
      <c r="P110" s="952"/>
      <c r="Q110" s="952"/>
      <c r="R110" s="952"/>
      <c r="S110" s="837"/>
      <c r="T110" s="837"/>
      <c r="U110" s="837"/>
      <c r="V110" s="837"/>
      <c r="W110" s="837"/>
      <c r="X110" s="837"/>
      <c r="Y110" s="995"/>
      <c r="Z110" s="840"/>
      <c r="AA110" s="843"/>
      <c r="AB110" s="840"/>
      <c r="AC110" s="840"/>
      <c r="AD110" s="840"/>
    </row>
    <row customHeight="1" ht="9">
      <c r="A111" s="839"/>
      <c r="B111" s="839"/>
      <c r="C111" s="837"/>
      <c r="D111" s="837"/>
      <c r="E111" s="837"/>
      <c r="F111" s="837"/>
      <c r="G111" s="837"/>
      <c r="H111" s="885"/>
      <c r="I111" s="885"/>
      <c r="J111" s="885"/>
      <c r="K111" s="885"/>
      <c r="L111" s="885"/>
      <c r="M111" s="837"/>
      <c r="N111" s="884"/>
      <c r="O111" s="952"/>
      <c r="P111" s="952"/>
      <c r="Q111" s="952"/>
      <c r="R111" s="952"/>
      <c r="S111" s="837"/>
      <c r="T111" s="837"/>
      <c r="U111" s="837"/>
      <c r="V111" s="837"/>
      <c r="W111" s="837"/>
      <c r="X111" s="837"/>
      <c r="Y111" s="995"/>
      <c r="Z111" s="840"/>
      <c r="AA111" s="843"/>
      <c r="AB111" s="840"/>
      <c r="AC111" s="840"/>
      <c r="AD111" s="840"/>
    </row>
    <row customHeight="1" ht="9">
      <c r="A112" s="839"/>
      <c r="B112" s="839"/>
      <c r="C112" s="837"/>
      <c r="D112" s="837"/>
      <c r="E112" s="837"/>
      <c r="F112" s="837"/>
      <c r="G112" s="837"/>
      <c r="H112" s="885"/>
      <c r="I112" s="885"/>
      <c r="J112" s="885"/>
      <c r="K112" s="885"/>
      <c r="L112" s="885"/>
      <c r="M112" s="837"/>
      <c r="N112" s="884"/>
      <c r="O112" s="952"/>
      <c r="P112" s="952"/>
      <c r="Q112" s="952"/>
      <c r="R112" s="952"/>
      <c r="S112" s="837"/>
      <c r="T112" s="837"/>
      <c r="U112" s="837"/>
      <c r="V112" s="837"/>
      <c r="W112" s="837"/>
      <c r="X112" s="837"/>
      <c r="Y112" s="995"/>
      <c r="Z112" s="840"/>
      <c r="AA112" s="843"/>
      <c r="AB112" s="840"/>
      <c r="AC112" s="840"/>
      <c r="AD112" s="840"/>
    </row>
    <row customHeight="1" ht="9">
      <c r="A113" s="839"/>
      <c r="B113" s="839"/>
      <c r="C113" s="837"/>
      <c r="D113" s="837"/>
      <c r="E113" s="837"/>
      <c r="F113" s="837"/>
      <c r="G113" s="837"/>
      <c r="H113" s="885"/>
      <c r="I113" s="885"/>
      <c r="J113" s="885"/>
      <c r="K113" s="885"/>
      <c r="L113" s="885"/>
      <c r="M113" s="837"/>
      <c r="N113" s="884"/>
      <c r="O113" s="952"/>
      <c r="P113" s="952"/>
      <c r="Q113" s="952"/>
      <c r="R113" s="952"/>
      <c r="S113" s="837"/>
      <c r="T113" s="837"/>
      <c r="U113" s="837"/>
      <c r="V113" s="837"/>
      <c r="W113" s="837"/>
      <c r="X113" s="837"/>
      <c r="Y113" s="995"/>
      <c r="Z113" s="840"/>
      <c r="AA113" s="843"/>
      <c r="AB113" s="840"/>
      <c r="AC113" s="840"/>
      <c r="AD113" s="840"/>
    </row>
    <row customHeight="1" ht="9">
      <c r="A114" s="839"/>
      <c r="B114" s="839"/>
      <c r="C114" s="837"/>
      <c r="D114" s="837"/>
      <c r="E114" s="837"/>
      <c r="F114" s="837"/>
      <c r="G114" s="837"/>
      <c r="H114" s="885"/>
      <c r="I114" s="885"/>
      <c r="J114" s="885"/>
      <c r="K114" s="885"/>
      <c r="L114" s="885"/>
      <c r="M114" s="837"/>
      <c r="N114" s="884"/>
      <c r="O114" s="952"/>
      <c r="P114" s="952"/>
      <c r="Q114" s="952"/>
      <c r="R114" s="952"/>
      <c r="S114" s="837"/>
      <c r="T114" s="837"/>
      <c r="U114" s="837"/>
      <c r="V114" s="837"/>
      <c r="W114" s="837"/>
      <c r="X114" s="837"/>
      <c r="Y114" s="995"/>
      <c r="Z114" s="840"/>
      <c r="AA114" s="843"/>
      <c r="AB114" s="840"/>
      <c r="AC114" s="840"/>
      <c r="AD114" s="840"/>
    </row>
    <row customHeight="1" ht="9">
      <c r="A115" s="839"/>
      <c r="B115" s="839"/>
      <c r="C115" s="837"/>
      <c r="D115" s="837"/>
      <c r="E115" s="837"/>
      <c r="F115" s="837"/>
      <c r="G115" s="837"/>
      <c r="H115" s="885"/>
      <c r="I115" s="885"/>
      <c r="J115" s="885"/>
      <c r="K115" s="885"/>
      <c r="L115" s="885"/>
      <c r="M115" s="837"/>
      <c r="N115" s="884"/>
      <c r="O115" s="952"/>
      <c r="P115" s="952"/>
      <c r="Q115" s="952"/>
      <c r="R115" s="952"/>
      <c r="S115" s="837"/>
      <c r="T115" s="837"/>
      <c r="U115" s="837"/>
      <c r="V115" s="837"/>
      <c r="W115" s="837"/>
      <c r="X115" s="837"/>
      <c r="Y115" s="995"/>
      <c r="Z115" s="840"/>
      <c r="AA115" s="843"/>
      <c r="AB115" s="840"/>
      <c r="AC115" s="840"/>
      <c r="AD115" s="840"/>
    </row>
    <row customHeight="1" ht="9">
      <c r="A116" s="839"/>
      <c r="B116" s="839"/>
      <c r="C116" s="837"/>
      <c r="D116" s="837"/>
      <c r="E116" s="837"/>
      <c r="F116" s="837"/>
      <c r="G116" s="837"/>
      <c r="H116" s="885"/>
      <c r="I116" s="885"/>
      <c r="J116" s="885"/>
      <c r="K116" s="885"/>
      <c r="L116" s="885"/>
      <c r="M116" s="837"/>
      <c r="N116" s="884"/>
      <c r="O116" s="952"/>
      <c r="P116" s="952"/>
      <c r="Q116" s="952"/>
      <c r="R116" s="952"/>
      <c r="S116" s="837"/>
      <c r="T116" s="837"/>
      <c r="U116" s="837"/>
      <c r="V116" s="837"/>
      <c r="W116" s="837"/>
      <c r="X116" s="837"/>
      <c r="Y116" s="995"/>
      <c r="Z116" s="840"/>
      <c r="AA116" s="843"/>
      <c r="AB116" s="840"/>
      <c r="AC116" s="840"/>
      <c r="AD116" s="840"/>
    </row>
    <row customHeight="1" ht="9">
      <c r="A117" s="839"/>
      <c r="B117" s="839"/>
      <c r="C117" s="837"/>
      <c r="D117" s="837"/>
      <c r="E117" s="837"/>
      <c r="F117" s="837"/>
      <c r="G117" s="837"/>
      <c r="H117" s="885"/>
      <c r="I117" s="885"/>
      <c r="J117" s="885"/>
      <c r="K117" s="885"/>
      <c r="L117" s="885"/>
      <c r="M117" s="837"/>
      <c r="N117" s="884"/>
      <c r="O117" s="952"/>
      <c r="P117" s="952"/>
      <c r="Q117" s="952"/>
      <c r="R117" s="952"/>
      <c r="S117" s="837"/>
      <c r="T117" s="837"/>
      <c r="U117" s="837"/>
      <c r="V117" s="837"/>
      <c r="W117" s="837"/>
      <c r="X117" s="837"/>
      <c r="Y117" s="995"/>
      <c r="Z117" s="840"/>
      <c r="AA117" s="843"/>
      <c r="AB117" s="840"/>
      <c r="AC117" s="840"/>
      <c r="AD117" s="840"/>
    </row>
    <row customHeight="1" ht="9">
      <c r="A118" s="839"/>
      <c r="B118" s="839"/>
      <c r="C118" s="837"/>
      <c r="D118" s="837"/>
      <c r="E118" s="837"/>
      <c r="F118" s="837"/>
      <c r="G118" s="837"/>
      <c r="H118" s="885"/>
      <c r="I118" s="885"/>
      <c r="J118" s="885"/>
      <c r="K118" s="885"/>
      <c r="L118" s="885"/>
      <c r="M118" s="837"/>
      <c r="N118" s="884"/>
      <c r="O118" s="952"/>
      <c r="P118" s="952"/>
      <c r="Q118" s="952"/>
      <c r="R118" s="952"/>
      <c r="S118" s="837"/>
      <c r="T118" s="837"/>
      <c r="U118" s="837"/>
      <c r="V118" s="837"/>
      <c r="W118" s="837"/>
      <c r="X118" s="837"/>
      <c r="Y118" s="995"/>
      <c r="Z118" s="840"/>
      <c r="AA118" s="843"/>
      <c r="AB118" s="840"/>
      <c r="AC118" s="840"/>
      <c r="AD118" s="840"/>
    </row>
    <row customHeight="1" ht="9">
      <c r="A119" s="839"/>
      <c r="B119" s="839"/>
      <c r="C119" s="837"/>
      <c r="D119" s="837"/>
      <c r="E119" s="837"/>
      <c r="F119" s="837"/>
      <c r="G119" s="837"/>
      <c r="H119" s="885"/>
      <c r="I119" s="885"/>
      <c r="J119" s="885"/>
      <c r="K119" s="885"/>
      <c r="L119" s="885"/>
      <c r="M119" s="837"/>
      <c r="N119" s="884"/>
      <c r="O119" s="952"/>
      <c r="P119" s="952"/>
      <c r="Q119" s="952"/>
      <c r="R119" s="952"/>
      <c r="S119" s="837"/>
      <c r="T119" s="837"/>
      <c r="U119" s="837"/>
      <c r="V119" s="837"/>
      <c r="W119" s="837"/>
      <c r="X119" s="837"/>
      <c r="Y119" s="995"/>
      <c r="Z119" s="840"/>
      <c r="AA119" s="843"/>
      <c r="AB119" s="840"/>
      <c r="AC119" s="840"/>
      <c r="AD119" s="840"/>
    </row>
    <row customHeight="1" ht="9">
      <c r="A120" s="839"/>
      <c r="B120" s="839"/>
      <c r="C120" s="837"/>
      <c r="D120" s="837"/>
      <c r="E120" s="837"/>
      <c r="F120" s="837"/>
      <c r="G120" s="837"/>
      <c r="H120" s="885"/>
      <c r="I120" s="885"/>
      <c r="J120" s="885"/>
      <c r="K120" s="885"/>
      <c r="L120" s="885"/>
      <c r="M120" s="837"/>
      <c r="N120" s="884"/>
      <c r="O120" s="952"/>
      <c r="P120" s="952"/>
      <c r="Q120" s="952"/>
      <c r="R120" s="952"/>
      <c r="S120" s="837"/>
      <c r="T120" s="837"/>
      <c r="U120" s="837"/>
      <c r="V120" s="837"/>
      <c r="W120" s="837"/>
      <c r="X120" s="837"/>
      <c r="Y120" s="995"/>
      <c r="Z120" s="840"/>
      <c r="AA120" s="843"/>
      <c r="AB120" s="840"/>
      <c r="AC120" s="840"/>
      <c r="AD120" s="840"/>
    </row>
    <row customHeight="1" ht="9">
      <c r="A121" s="839"/>
      <c r="B121" s="839"/>
      <c r="C121" s="837"/>
      <c r="D121" s="837"/>
      <c r="E121" s="837"/>
      <c r="F121" s="837"/>
      <c r="G121" s="837"/>
      <c r="H121" s="885"/>
      <c r="I121" s="885"/>
      <c r="J121" s="885"/>
      <c r="K121" s="885"/>
      <c r="L121" s="885"/>
      <c r="M121" s="837"/>
      <c r="N121" s="884"/>
      <c r="O121" s="952"/>
      <c r="P121" s="952"/>
      <c r="Q121" s="952"/>
      <c r="R121" s="952"/>
      <c r="S121" s="837"/>
      <c r="T121" s="837"/>
      <c r="U121" s="837"/>
      <c r="V121" s="837"/>
      <c r="W121" s="837"/>
      <c r="X121" s="837"/>
      <c r="Y121" s="995"/>
      <c r="Z121" s="840"/>
      <c r="AA121" s="843"/>
      <c r="AB121" s="840"/>
      <c r="AC121" s="840"/>
      <c r="AD121" s="840"/>
    </row>
    <row customHeight="1" ht="9">
      <c r="A122" s="839"/>
      <c r="B122" s="839"/>
      <c r="C122" s="837"/>
      <c r="D122" s="837"/>
      <c r="E122" s="837"/>
      <c r="F122" s="837"/>
      <c r="G122" s="837"/>
      <c r="H122" s="885"/>
      <c r="I122" s="885"/>
      <c r="J122" s="885"/>
      <c r="K122" s="885"/>
      <c r="L122" s="885"/>
      <c r="M122" s="837"/>
      <c r="N122" s="884"/>
      <c r="O122" s="952"/>
      <c r="P122" s="952"/>
      <c r="Q122" s="952"/>
      <c r="R122" s="952"/>
      <c r="S122" s="837"/>
      <c r="T122" s="837"/>
      <c r="U122" s="837"/>
      <c r="V122" s="837"/>
      <c r="W122" s="837"/>
      <c r="X122" s="837"/>
      <c r="Y122" s="995"/>
      <c r="Z122" s="840"/>
      <c r="AA122" s="843"/>
      <c r="AB122" s="840"/>
      <c r="AC122" s="840"/>
      <c r="AD122" s="840"/>
    </row>
    <row customHeight="1" ht="9">
      <c r="A123" s="839"/>
      <c r="B123" s="839"/>
      <c r="C123" s="837"/>
      <c r="D123" s="837"/>
      <c r="E123" s="837"/>
      <c r="F123" s="837"/>
      <c r="G123" s="837"/>
      <c r="H123" s="885"/>
      <c r="I123" s="885"/>
      <c r="J123" s="885"/>
      <c r="K123" s="885"/>
      <c r="L123" s="885"/>
      <c r="M123" s="837"/>
      <c r="N123" s="884"/>
      <c r="O123" s="952"/>
      <c r="P123" s="952"/>
      <c r="Q123" s="952"/>
      <c r="R123" s="952"/>
      <c r="S123" s="837"/>
      <c r="T123" s="837"/>
      <c r="U123" s="837"/>
      <c r="V123" s="837"/>
      <c r="W123" s="837"/>
      <c r="X123" s="837"/>
      <c r="Y123" s="995"/>
      <c r="Z123" s="840"/>
      <c r="AA123" s="843"/>
      <c r="AB123" s="840"/>
      <c r="AC123" s="840"/>
      <c r="AD123" s="840"/>
    </row>
    <row customHeight="1" ht="9">
      <c r="A124" s="839"/>
      <c r="B124" s="839"/>
      <c r="C124" s="837"/>
      <c r="D124" s="837"/>
      <c r="E124" s="837"/>
      <c r="F124" s="837"/>
      <c r="G124" s="837"/>
      <c r="H124" s="885"/>
      <c r="I124" s="885"/>
      <c r="J124" s="885"/>
      <c r="K124" s="885"/>
      <c r="L124" s="885"/>
      <c r="M124" s="837"/>
      <c r="N124" s="884"/>
      <c r="O124" s="952"/>
      <c r="P124" s="952"/>
      <c r="Q124" s="952"/>
      <c r="R124" s="952"/>
      <c r="S124" s="837"/>
      <c r="T124" s="837"/>
      <c r="U124" s="837"/>
      <c r="V124" s="837"/>
      <c r="W124" s="837"/>
      <c r="X124" s="837"/>
      <c r="Y124" s="995"/>
      <c r="Z124" s="840"/>
      <c r="AA124" s="843"/>
      <c r="AB124" s="840"/>
      <c r="AC124" s="840"/>
      <c r="AD124" s="840"/>
    </row>
    <row customHeight="1" ht="9">
      <c r="A125" s="839"/>
      <c r="B125" s="839"/>
      <c r="C125" s="837"/>
      <c r="D125" s="837"/>
      <c r="E125" s="837"/>
      <c r="F125" s="837"/>
      <c r="G125" s="837"/>
      <c r="H125" s="885"/>
      <c r="I125" s="885"/>
      <c r="J125" s="885"/>
      <c r="K125" s="885"/>
      <c r="L125" s="885"/>
      <c r="M125" s="837"/>
      <c r="N125" s="884"/>
      <c r="O125" s="952"/>
      <c r="P125" s="952"/>
      <c r="Q125" s="952"/>
      <c r="R125" s="952"/>
      <c r="S125" s="837"/>
      <c r="T125" s="837"/>
      <c r="U125" s="837"/>
      <c r="V125" s="837"/>
      <c r="W125" s="837"/>
      <c r="X125" s="837"/>
      <c r="Y125" s="995"/>
      <c r="Z125" s="840"/>
      <c r="AA125" s="843"/>
      <c r="AB125" s="840"/>
      <c r="AC125" s="840"/>
      <c r="AD125" s="840"/>
    </row>
    <row customHeight="1" ht="9">
      <c r="A126" s="839"/>
      <c r="B126" s="839"/>
      <c r="C126" s="837"/>
      <c r="D126" s="837"/>
      <c r="E126" s="837"/>
      <c r="F126" s="837"/>
      <c r="G126" s="837"/>
      <c r="H126" s="885"/>
      <c r="I126" s="885"/>
      <c r="J126" s="885"/>
      <c r="K126" s="885"/>
      <c r="L126" s="885"/>
      <c r="M126" s="837"/>
      <c r="N126" s="884"/>
      <c r="O126" s="952"/>
      <c r="P126" s="952"/>
      <c r="Q126" s="952"/>
      <c r="R126" s="952"/>
      <c r="S126" s="837"/>
      <c r="T126" s="837"/>
      <c r="U126" s="837"/>
      <c r="V126" s="837"/>
      <c r="W126" s="837"/>
      <c r="X126" s="837"/>
      <c r="Y126" s="995"/>
      <c r="Z126" s="840"/>
      <c r="AA126" s="843"/>
      <c r="AB126" s="840"/>
      <c r="AC126" s="840"/>
      <c r="AD126" s="840"/>
    </row>
    <row customHeight="1" ht="9">
      <c r="A127" s="839"/>
      <c r="B127" s="839"/>
      <c r="C127" s="837"/>
      <c r="D127" s="837"/>
      <c r="E127" s="837"/>
      <c r="F127" s="837"/>
      <c r="G127" s="837"/>
      <c r="H127" s="885"/>
      <c r="I127" s="885"/>
      <c r="J127" s="885"/>
      <c r="K127" s="885"/>
      <c r="L127" s="885"/>
      <c r="M127" s="837"/>
      <c r="N127" s="884"/>
      <c r="O127" s="952"/>
      <c r="P127" s="952"/>
      <c r="Q127" s="952"/>
      <c r="R127" s="952"/>
      <c r="S127" s="837"/>
      <c r="T127" s="837"/>
      <c r="U127" s="837"/>
      <c r="V127" s="837"/>
      <c r="W127" s="837"/>
      <c r="X127" s="837"/>
      <c r="Y127" s="995"/>
      <c r="Z127" s="840"/>
      <c r="AA127" s="843"/>
      <c r="AB127" s="840"/>
      <c r="AC127" s="840"/>
      <c r="AD127" s="840"/>
    </row>
    <row customHeight="1" ht="9">
      <c r="A128" s="839"/>
      <c r="B128" s="839"/>
      <c r="C128" s="837"/>
      <c r="D128" s="837"/>
      <c r="E128" s="837"/>
      <c r="F128" s="837"/>
      <c r="G128" s="837"/>
      <c r="H128" s="885"/>
      <c r="I128" s="885"/>
      <c r="J128" s="885"/>
      <c r="K128" s="885"/>
      <c r="L128" s="885"/>
      <c r="M128" s="837"/>
      <c r="N128" s="884"/>
      <c r="O128" s="952"/>
      <c r="P128" s="952"/>
      <c r="Q128" s="952"/>
      <c r="R128" s="952"/>
      <c r="S128" s="837"/>
      <c r="T128" s="837"/>
      <c r="U128" s="837"/>
      <c r="V128" s="837"/>
      <c r="W128" s="837"/>
      <c r="X128" s="837"/>
      <c r="Y128" s="995"/>
      <c r="Z128" s="840"/>
      <c r="AA128" s="843"/>
      <c r="AB128" s="840"/>
      <c r="AC128" s="840"/>
      <c r="AD128" s="840"/>
    </row>
    <row customHeight="1" ht="9">
      <c r="A129" s="839"/>
      <c r="B129" s="839"/>
      <c r="C129" s="837"/>
      <c r="D129" s="837"/>
      <c r="E129" s="837"/>
      <c r="F129" s="837"/>
      <c r="G129" s="837"/>
      <c r="H129" s="885"/>
      <c r="I129" s="885"/>
      <c r="J129" s="885"/>
      <c r="K129" s="885"/>
      <c r="L129" s="885"/>
      <c r="M129" s="837"/>
      <c r="N129" s="884"/>
      <c r="O129" s="952"/>
      <c r="P129" s="952"/>
      <c r="Q129" s="952"/>
      <c r="R129" s="952"/>
      <c r="S129" s="837"/>
      <c r="T129" s="837"/>
      <c r="U129" s="837"/>
      <c r="V129" s="837"/>
      <c r="W129" s="837"/>
      <c r="X129" s="837"/>
      <c r="Y129" s="995"/>
      <c r="Z129" s="840"/>
      <c r="AA129" s="843"/>
      <c r="AB129" s="840"/>
      <c r="AC129" s="840"/>
      <c r="AD129" s="840"/>
    </row>
    <row customHeight="1" ht="9">
      <c r="A130" s="839"/>
      <c r="B130" s="839"/>
      <c r="C130" s="837"/>
      <c r="D130" s="837"/>
      <c r="E130" s="837"/>
      <c r="F130" s="837"/>
      <c r="G130" s="837"/>
      <c r="H130" s="885"/>
      <c r="I130" s="885"/>
      <c r="J130" s="885"/>
      <c r="K130" s="885"/>
      <c r="L130" s="885"/>
      <c r="M130" s="837"/>
      <c r="N130" s="884"/>
      <c r="O130" s="954"/>
      <c r="P130" s="954"/>
      <c r="Q130" s="954"/>
      <c r="R130" s="954"/>
      <c r="S130" s="837"/>
      <c r="T130" s="837"/>
      <c r="U130" s="837"/>
      <c r="V130" s="837"/>
      <c r="W130" s="837"/>
      <c r="X130" s="837"/>
      <c r="Y130" s="995"/>
      <c r="Z130" s="840"/>
      <c r="AA130" s="843"/>
      <c r="AB130" s="840"/>
      <c r="AC130" s="840"/>
      <c r="AD130" s="840"/>
    </row>
    <row customHeight="1" ht="9">
      <c r="A131" s="839"/>
      <c r="B131" s="839"/>
      <c r="C131" s="837"/>
      <c r="D131" s="837"/>
      <c r="E131" s="837"/>
      <c r="F131" s="837"/>
      <c r="G131" s="837"/>
      <c r="H131" s="885"/>
      <c r="I131" s="885"/>
      <c r="J131" s="885"/>
      <c r="K131" s="885"/>
      <c r="L131" s="885"/>
      <c r="M131" s="837"/>
      <c r="N131" s="884"/>
      <c r="O131" s="955"/>
      <c r="P131" s="955"/>
      <c r="Q131" s="955"/>
      <c r="R131" s="955"/>
      <c r="S131" s="837"/>
      <c r="T131" s="837"/>
      <c r="U131" s="837"/>
      <c r="V131" s="837"/>
      <c r="W131" s="837"/>
      <c r="X131" s="837"/>
      <c r="Y131" s="995"/>
      <c r="Z131" s="840"/>
      <c r="AA131" s="843"/>
      <c r="AB131" s="840"/>
      <c r="AC131" s="840"/>
      <c r="AD131" s="840"/>
    </row>
    <row customHeight="1" ht="9">
      <c r="A132" s="839"/>
      <c r="B132" s="839"/>
      <c r="C132" s="837"/>
      <c r="D132" s="837"/>
      <c r="E132" s="837"/>
      <c r="F132" s="837"/>
      <c r="G132" s="837"/>
      <c r="H132" s="885"/>
      <c r="I132" s="885"/>
      <c r="J132" s="885"/>
      <c r="K132" s="885"/>
      <c r="L132" s="885"/>
      <c r="M132" s="837"/>
      <c r="N132" s="884"/>
      <c r="O132" s="954"/>
      <c r="P132" s="954"/>
      <c r="Q132" s="954"/>
      <c r="R132" s="954"/>
      <c r="S132" s="837"/>
      <c r="T132" s="837"/>
      <c r="U132" s="837"/>
      <c r="V132" s="837"/>
      <c r="W132" s="837"/>
      <c r="X132" s="837"/>
      <c r="Y132" s="995"/>
      <c r="Z132" s="840"/>
      <c r="AA132" s="843"/>
      <c r="AB132" s="840"/>
      <c r="AC132" s="840"/>
      <c r="AD132" s="840"/>
    </row>
    <row customHeight="1" ht="9">
      <c r="A133" s="839"/>
      <c r="B133" s="839"/>
      <c r="C133" s="837"/>
      <c r="D133" s="837"/>
      <c r="E133" s="837"/>
      <c r="F133" s="837"/>
      <c r="G133" s="837"/>
      <c r="H133" s="885"/>
      <c r="I133" s="885"/>
      <c r="J133" s="885"/>
      <c r="K133" s="885"/>
      <c r="L133" s="885"/>
      <c r="M133" s="837"/>
      <c r="N133" s="884"/>
      <c r="O133" s="955"/>
      <c r="P133" s="955"/>
      <c r="Q133" s="955"/>
      <c r="R133" s="955"/>
      <c r="S133" s="837"/>
      <c r="T133" s="837"/>
      <c r="U133" s="837"/>
      <c r="V133" s="837"/>
      <c r="W133" s="837"/>
      <c r="X133" s="837"/>
      <c r="Y133" s="995"/>
      <c r="Z133" s="840"/>
      <c r="AA133" s="843"/>
      <c r="AB133" s="840"/>
      <c r="AC133" s="840"/>
      <c r="AD133" s="840"/>
    </row>
    <row customHeight="1" ht="9">
      <c r="A134" s="839"/>
      <c r="B134" s="839"/>
      <c r="C134" s="837"/>
      <c r="D134" s="837"/>
      <c r="E134" s="837"/>
      <c r="F134" s="837"/>
      <c r="G134" s="837"/>
      <c r="H134" s="885"/>
      <c r="I134" s="885"/>
      <c r="J134" s="885"/>
      <c r="K134" s="885"/>
      <c r="L134" s="885"/>
      <c r="M134" s="837"/>
      <c r="N134" s="884"/>
      <c r="O134" s="952"/>
      <c r="P134" s="952"/>
      <c r="Q134" s="952"/>
      <c r="R134" s="952"/>
      <c r="S134" s="837"/>
      <c r="T134" s="837"/>
      <c r="U134" s="837"/>
      <c r="V134" s="837"/>
      <c r="W134" s="837"/>
      <c r="X134" s="837"/>
      <c r="Y134" s="995"/>
      <c r="Z134" s="840"/>
      <c r="AA134" s="843"/>
      <c r="AB134" s="840"/>
      <c r="AC134" s="840"/>
      <c r="AD134" s="840"/>
    </row>
    <row customHeight="1" ht="9">
      <c r="A135" s="839"/>
      <c r="B135" s="839"/>
      <c r="C135" s="837"/>
      <c r="D135" s="837"/>
      <c r="E135" s="837"/>
      <c r="F135" s="837"/>
      <c r="G135" s="837"/>
      <c r="H135" s="885"/>
      <c r="I135" s="885"/>
      <c r="J135" s="885"/>
      <c r="K135" s="885"/>
      <c r="L135" s="885"/>
      <c r="M135" s="837"/>
      <c r="N135" s="884"/>
      <c r="O135" s="952"/>
      <c r="P135" s="952"/>
      <c r="Q135" s="952"/>
      <c r="R135" s="952"/>
      <c r="S135" s="837"/>
      <c r="T135" s="837"/>
      <c r="U135" s="837"/>
      <c r="V135" s="837"/>
      <c r="W135" s="837"/>
      <c r="X135" s="837"/>
      <c r="Y135" s="995"/>
      <c r="Z135" s="840"/>
      <c r="AA135" s="843"/>
      <c r="AB135" s="840"/>
      <c r="AC135" s="840"/>
      <c r="AD135" s="840"/>
    </row>
    <row customHeight="1" ht="9">
      <c r="A136" s="839"/>
      <c r="B136" s="839"/>
      <c r="C136" s="837"/>
      <c r="D136" s="837"/>
      <c r="E136" s="837"/>
      <c r="F136" s="837"/>
      <c r="G136" s="837"/>
      <c r="H136" s="885"/>
      <c r="I136" s="885"/>
      <c r="J136" s="885"/>
      <c r="K136" s="885"/>
      <c r="L136" s="885"/>
      <c r="M136" s="837"/>
      <c r="N136" s="884"/>
      <c r="O136" s="952"/>
      <c r="P136" s="952"/>
      <c r="Q136" s="952"/>
      <c r="R136" s="952"/>
      <c r="S136" s="837"/>
      <c r="T136" s="837"/>
      <c r="U136" s="837"/>
      <c r="V136" s="837"/>
      <c r="W136" s="837"/>
      <c r="X136" s="837"/>
      <c r="Y136" s="995"/>
      <c r="Z136" s="840"/>
      <c r="AA136" s="843"/>
      <c r="AB136" s="840"/>
      <c r="AC136" s="840"/>
      <c r="AD136" s="840"/>
    </row>
    <row customHeight="1" ht="9">
      <c r="A137" s="839"/>
      <c r="B137" s="839"/>
      <c r="C137" s="837"/>
      <c r="D137" s="837"/>
      <c r="E137" s="837"/>
      <c r="F137" s="837"/>
      <c r="G137" s="837"/>
      <c r="H137" s="885"/>
      <c r="I137" s="885"/>
      <c r="J137" s="885"/>
      <c r="K137" s="885"/>
      <c r="L137" s="885"/>
      <c r="M137" s="837"/>
      <c r="N137" s="884"/>
      <c r="O137" s="956"/>
      <c r="P137" s="956"/>
      <c r="Q137" s="956"/>
      <c r="R137" s="956"/>
      <c r="S137" s="837"/>
      <c r="T137" s="837"/>
      <c r="U137" s="837"/>
      <c r="V137" s="837"/>
      <c r="W137" s="837"/>
      <c r="X137" s="837"/>
      <c r="Y137" s="995"/>
      <c r="Z137" s="840"/>
      <c r="AA137" s="843"/>
      <c r="AB137" s="840"/>
      <c r="AC137" s="840"/>
      <c r="AD137" s="840"/>
    </row>
    <row customHeight="1" ht="9">
      <c r="A138" s="839"/>
      <c r="B138" s="839"/>
      <c r="C138" s="837"/>
      <c r="D138" s="837"/>
      <c r="E138" s="837"/>
      <c r="F138" s="837"/>
      <c r="G138" s="837"/>
      <c r="H138" s="885"/>
      <c r="I138" s="885"/>
      <c r="J138" s="885"/>
      <c r="K138" s="885"/>
      <c r="L138" s="885"/>
      <c r="M138" s="837"/>
      <c r="N138" s="884"/>
      <c r="O138" s="953"/>
      <c r="P138" s="953"/>
      <c r="Q138" s="953"/>
      <c r="R138" s="953"/>
      <c r="S138" s="837"/>
      <c r="T138" s="837"/>
      <c r="U138" s="837"/>
      <c r="V138" s="837"/>
      <c r="W138" s="837"/>
      <c r="X138" s="837"/>
      <c r="Y138" s="995"/>
      <c r="Z138" s="840"/>
      <c r="AA138" s="843"/>
      <c r="AB138" s="840"/>
      <c r="AC138" s="840"/>
      <c r="AD138" s="840"/>
    </row>
    <row customHeight="1" ht="9">
      <c r="A139" s="839"/>
      <c r="B139" s="839"/>
      <c r="C139" s="837"/>
      <c r="D139" s="837"/>
      <c r="E139" s="837"/>
      <c r="F139" s="837"/>
      <c r="G139" s="837"/>
      <c r="H139" s="885"/>
      <c r="I139" s="885"/>
      <c r="J139" s="885"/>
      <c r="K139" s="885"/>
      <c r="L139" s="885"/>
      <c r="M139" s="837"/>
      <c r="N139" s="884"/>
      <c r="O139" s="837"/>
      <c r="P139" s="837"/>
      <c r="Q139" s="837"/>
      <c r="R139" s="837"/>
      <c r="S139" s="837"/>
      <c r="T139" s="837"/>
      <c r="U139" s="837"/>
      <c r="V139" s="837"/>
      <c r="W139" s="837"/>
      <c r="X139" s="837"/>
      <c r="Y139" s="995"/>
      <c r="Z139" s="840"/>
      <c r="AA139" s="843"/>
      <c r="AB139" s="840"/>
      <c r="AC139" s="840"/>
      <c r="AD139" s="840"/>
    </row>
    <row customHeight="1" ht="9">
      <c r="A140" s="839"/>
      <c r="B140" s="839"/>
      <c r="C140" s="837"/>
      <c r="D140" s="837"/>
      <c r="E140" s="837"/>
      <c r="F140" s="837"/>
      <c r="G140" s="837"/>
      <c r="H140" s="885"/>
      <c r="I140" s="885"/>
      <c r="J140" s="885"/>
      <c r="K140" s="885"/>
      <c r="L140" s="885"/>
      <c r="M140" s="837"/>
      <c r="N140" s="884"/>
      <c r="O140" s="837"/>
      <c r="P140" s="837"/>
      <c r="Q140" s="837"/>
      <c r="R140" s="837"/>
      <c r="S140" s="837"/>
      <c r="T140" s="837"/>
      <c r="U140" s="837"/>
      <c r="V140" s="837"/>
      <c r="W140" s="837"/>
      <c r="X140" s="837"/>
      <c r="Y140" s="995"/>
      <c r="Z140" s="840"/>
      <c r="AA140" s="843"/>
      <c r="AB140" s="840"/>
      <c r="AC140" s="840"/>
      <c r="AD140" s="840"/>
    </row>
    <row customHeight="1" ht="9">
      <c r="A141" s="839"/>
      <c r="B141" s="839"/>
      <c r="C141" s="837"/>
      <c r="D141" s="837"/>
      <c r="E141" s="837"/>
      <c r="F141" s="837"/>
      <c r="G141" s="837"/>
      <c r="H141" s="885"/>
      <c r="I141" s="885"/>
      <c r="J141" s="885"/>
      <c r="K141" s="885"/>
      <c r="L141" s="885"/>
      <c r="M141" s="837"/>
      <c r="N141" s="884"/>
      <c r="O141" s="837"/>
      <c r="P141" s="837"/>
      <c r="Q141" s="837"/>
      <c r="R141" s="837"/>
      <c r="S141" s="837"/>
      <c r="T141" s="837"/>
      <c r="U141" s="837"/>
      <c r="V141" s="837"/>
      <c r="W141" s="837"/>
      <c r="X141" s="837"/>
      <c r="Y141" s="995"/>
      <c r="Z141" s="840"/>
      <c r="AA141" s="843"/>
      <c r="AB141" s="840"/>
      <c r="AC141" s="840"/>
      <c r="AD141" s="840"/>
    </row>
    <row customHeight="1" ht="9">
      <c r="A142" s="839"/>
      <c r="B142" s="839"/>
      <c r="C142" s="837"/>
      <c r="D142" s="837"/>
      <c r="E142" s="837"/>
      <c r="F142" s="837"/>
      <c r="G142" s="837"/>
      <c r="H142" s="885"/>
      <c r="I142" s="885"/>
      <c r="J142" s="885"/>
      <c r="K142" s="885"/>
      <c r="L142" s="885"/>
      <c r="M142" s="837"/>
      <c r="N142" s="884"/>
      <c r="O142" s="837"/>
      <c r="P142" s="837"/>
      <c r="Q142" s="837"/>
      <c r="R142" s="837"/>
      <c r="S142" s="837"/>
      <c r="T142" s="837"/>
      <c r="U142" s="837"/>
      <c r="V142" s="837"/>
      <c r="W142" s="837"/>
      <c r="X142" s="837"/>
      <c r="Y142" s="995"/>
      <c r="Z142" s="840"/>
      <c r="AA142" s="843"/>
      <c r="AB142" s="840"/>
      <c r="AC142" s="840"/>
      <c r="AD142" s="840"/>
    </row>
    <row customHeight="1" ht="9">
      <c r="A143" s="839"/>
      <c r="B143" s="839"/>
      <c r="C143" s="837"/>
      <c r="D143" s="837"/>
      <c r="E143" s="837"/>
      <c r="F143" s="837"/>
      <c r="G143" s="837"/>
      <c r="H143" s="885"/>
      <c r="I143" s="885"/>
      <c r="J143" s="885"/>
      <c r="K143" s="885"/>
      <c r="L143" s="885"/>
      <c r="M143" s="837"/>
      <c r="N143" s="884"/>
      <c r="O143" s="837"/>
      <c r="P143" s="837"/>
      <c r="Q143" s="837"/>
      <c r="R143" s="837"/>
      <c r="S143" s="837"/>
      <c r="T143" s="837"/>
      <c r="U143" s="837"/>
      <c r="V143" s="837"/>
      <c r="W143" s="837"/>
      <c r="X143" s="837"/>
      <c r="Y143" s="995"/>
      <c r="Z143" s="840"/>
      <c r="AA143" s="843"/>
      <c r="AB143" s="840"/>
      <c r="AC143" s="840"/>
      <c r="AD143" s="840"/>
    </row>
    <row customHeight="1" ht="9">
      <c r="A144" s="839"/>
      <c r="B144" s="839"/>
      <c r="C144" s="837"/>
      <c r="D144" s="837"/>
      <c r="E144" s="837"/>
      <c r="F144" s="837"/>
      <c r="G144" s="837"/>
      <c r="H144" s="885"/>
      <c r="I144" s="885"/>
      <c r="J144" s="885"/>
      <c r="K144" s="885"/>
      <c r="L144" s="885"/>
      <c r="M144" s="837"/>
      <c r="N144" s="884"/>
      <c r="O144" s="837"/>
      <c r="P144" s="837"/>
      <c r="Q144" s="837"/>
      <c r="R144" s="837"/>
      <c r="S144" s="837"/>
      <c r="T144" s="837"/>
      <c r="U144" s="837"/>
      <c r="V144" s="837"/>
      <c r="W144" s="837"/>
      <c r="X144" s="837"/>
      <c r="Y144" s="995"/>
      <c r="Z144" s="840"/>
      <c r="AA144" s="843"/>
      <c r="AB144" s="840"/>
      <c r="AC144" s="840"/>
      <c r="AD144" s="840"/>
    </row>
    <row customHeight="1" ht="9">
      <c r="A145" s="839"/>
      <c r="B145" s="839"/>
      <c r="C145" s="837"/>
      <c r="D145" s="837"/>
      <c r="E145" s="837"/>
      <c r="F145" s="837"/>
      <c r="G145" s="837"/>
      <c r="H145" s="885"/>
      <c r="I145" s="885"/>
      <c r="J145" s="885"/>
      <c r="K145" s="885"/>
      <c r="L145" s="885"/>
      <c r="M145" s="837"/>
      <c r="N145" s="884"/>
      <c r="O145" s="837"/>
      <c r="P145" s="837"/>
      <c r="Q145" s="837"/>
      <c r="R145" s="837"/>
      <c r="S145" s="837"/>
      <c r="T145" s="837"/>
      <c r="U145" s="837"/>
      <c r="V145" s="837"/>
      <c r="W145" s="837"/>
      <c r="X145" s="837"/>
      <c r="Y145" s="995"/>
      <c r="Z145" s="840"/>
      <c r="AA145" s="843"/>
      <c r="AB145" s="840"/>
      <c r="AC145" s="840"/>
      <c r="AD145" s="840"/>
    </row>
    <row customHeight="1" ht="9">
      <c r="A146" s="839"/>
      <c r="B146" s="839"/>
      <c r="C146" s="837"/>
      <c r="D146" s="837"/>
      <c r="E146" s="837"/>
      <c r="F146" s="837"/>
      <c r="G146" s="837"/>
      <c r="H146" s="885"/>
      <c r="I146" s="885"/>
      <c r="J146" s="885"/>
      <c r="K146" s="885"/>
      <c r="L146" s="885"/>
      <c r="M146" s="837"/>
      <c r="N146" s="884"/>
      <c r="O146" s="837"/>
      <c r="P146" s="837"/>
      <c r="Q146" s="837"/>
      <c r="R146" s="837"/>
      <c r="S146" s="837"/>
      <c r="T146" s="837"/>
      <c r="U146" s="837"/>
      <c r="V146" s="837"/>
      <c r="W146" s="837"/>
      <c r="X146" s="837"/>
      <c r="Y146" s="995"/>
      <c r="Z146" s="840"/>
      <c r="AA146" s="843"/>
      <c r="AB146" s="840"/>
      <c r="AC146" s="840"/>
      <c r="AD146" s="840"/>
    </row>
    <row customHeight="1" ht="9">
      <c r="A147" s="839"/>
      <c r="B147" s="839"/>
      <c r="C147" s="839"/>
      <c r="D147" s="839"/>
      <c r="E147" s="839"/>
      <c r="F147" s="839"/>
      <c r="G147" s="839"/>
      <c r="H147" s="839"/>
      <c r="I147" s="839"/>
      <c r="J147" s="839"/>
      <c r="K147" s="839"/>
      <c r="L147" s="839"/>
      <c r="M147" s="839"/>
      <c r="N147" s="839"/>
      <c r="O147" s="839"/>
      <c r="P147" s="839"/>
      <c r="Q147" s="839"/>
      <c r="R147" s="839"/>
      <c r="S147" s="839"/>
      <c r="T147" s="839"/>
      <c r="U147" s="839"/>
      <c r="V147" s="839"/>
      <c r="W147" s="839"/>
      <c r="X147" s="839"/>
      <c r="Y147" s="839"/>
      <c r="Z147" s="839"/>
      <c r="AA147" s="839"/>
      <c r="AB147" s="839"/>
      <c r="AC147" s="839"/>
      <c r="AD147" s="839"/>
    </row>
    <row customHeight="1" ht="90">
      <c r="A148" s="839" t="s">
        <v>1679</v>
      </c>
      <c r="B148" s="839"/>
      <c r="C148" s="837" t="s">
        <v>2153</v>
      </c>
      <c r="D148" s="837" t="s">
        <v>1581</v>
      </c>
      <c r="E148" s="837" t="s">
        <v>1681</v>
      </c>
      <c r="F148" s="837" t="s">
        <v>2154</v>
      </c>
      <c r="G148" s="837"/>
      <c r="H148" s="837"/>
      <c r="I148" s="958"/>
      <c r="J148" s="958"/>
      <c r="K148" s="958"/>
      <c r="L148" s="958"/>
      <c r="M148" s="88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42"/>
      <c r="O148" s="837"/>
      <c r="P148" s="838"/>
      <c r="Q148" s="838"/>
      <c r="R148" s="838"/>
      <c r="S148" s="837"/>
      <c r="T148" s="837" t="s">
        <v>2155</v>
      </c>
      <c r="U148" s="838"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38"/>
      <c r="W148" s="838"/>
      <c r="X148" s="837" t="s">
        <v>2156</v>
      </c>
      <c r="Y148" s="995"/>
      <c r="Z148" s="840"/>
      <c r="AA148" s="843"/>
      <c r="AB148" s="840"/>
      <c r="AC148" s="840"/>
      <c r="AD148" s="840"/>
    </row>
    <row customHeight="1" ht="9">
      <c r="A149" s="839"/>
      <c r="B149" s="839"/>
      <c r="C149" s="839"/>
      <c r="D149" s="839"/>
      <c r="E149" s="839"/>
      <c r="F149" s="839"/>
      <c r="G149" s="839"/>
      <c r="H149" s="839"/>
      <c r="I149" s="839"/>
      <c r="J149" s="839"/>
      <c r="K149" s="839"/>
      <c r="L149" s="839"/>
      <c r="M149" s="839"/>
      <c r="N149" s="839"/>
      <c r="O149" s="839"/>
      <c r="P149" s="839"/>
      <c r="Q149" s="839"/>
      <c r="R149" s="839"/>
      <c r="S149" s="839"/>
      <c r="T149" s="839"/>
      <c r="U149" s="839"/>
      <c r="V149" s="839"/>
      <c r="W149" s="839"/>
      <c r="X149" s="839"/>
      <c r="Y149" s="839"/>
      <c r="Z149" s="839"/>
      <c r="AA149" s="839"/>
      <c r="AB149" s="839"/>
      <c r="AC149" s="839"/>
      <c r="AD149" s="839"/>
    </row>
    <row customHeight="1" ht="9">
      <c r="A150" s="839" t="s">
        <v>1683</v>
      </c>
      <c r="B150" s="839"/>
      <c r="C150" s="837"/>
      <c r="D150" s="837"/>
      <c r="E150" s="837"/>
      <c r="F150" s="837"/>
      <c r="G150" s="837"/>
      <c r="H150" s="837"/>
      <c r="I150" s="837"/>
      <c r="J150" s="837"/>
      <c r="K150" s="837"/>
      <c r="L150" s="837"/>
      <c r="M150" s="837"/>
      <c r="N150" s="837"/>
      <c r="O150" s="837"/>
      <c r="P150" s="837"/>
      <c r="Q150" s="837"/>
      <c r="R150" s="837"/>
      <c r="S150" s="837"/>
      <c r="T150" s="837"/>
      <c r="U150" s="837"/>
      <c r="V150" s="837"/>
      <c r="W150" s="837"/>
      <c r="X150" s="837"/>
      <c r="Y150" s="995"/>
      <c r="Z150" s="840"/>
      <c r="AA150" s="843"/>
      <c r="AB150" s="840"/>
      <c r="AC150" s="840"/>
      <c r="AD150" s="840"/>
    </row>
    <row customHeight="1" ht="9">
      <c r="A151" s="839"/>
      <c r="B151" s="839"/>
      <c r="C151" s="839"/>
      <c r="D151" s="839"/>
      <c r="E151" s="839"/>
      <c r="F151" s="839"/>
      <c r="G151" s="839"/>
      <c r="H151" s="839"/>
      <c r="I151" s="839"/>
      <c r="J151" s="839"/>
      <c r="K151" s="839"/>
      <c r="L151" s="839"/>
      <c r="M151" s="839"/>
      <c r="N151" s="839"/>
      <c r="O151" s="839"/>
      <c r="P151" s="839"/>
      <c r="Q151" s="839"/>
      <c r="R151" s="839"/>
      <c r="S151" s="839"/>
      <c r="T151" s="839"/>
      <c r="U151" s="839"/>
      <c r="V151" s="839"/>
      <c r="W151" s="839"/>
      <c r="X151" s="839"/>
      <c r="Y151" s="839"/>
      <c r="Z151" s="839"/>
      <c r="AA151" s="839"/>
      <c r="AB151" s="839"/>
      <c r="AC151" s="839"/>
      <c r="AD151" s="839"/>
    </row>
    <row customHeight="1" ht="9">
      <c r="A152" s="839" t="s">
        <v>1686</v>
      </c>
      <c r="B152" s="839"/>
      <c r="C152" s="837"/>
      <c r="D152" s="837"/>
      <c r="E152" s="837"/>
      <c r="F152" s="837"/>
      <c r="G152" s="837"/>
      <c r="H152" s="837"/>
      <c r="I152" s="837"/>
      <c r="J152" s="837"/>
      <c r="K152" s="837"/>
      <c r="L152" s="837"/>
      <c r="M152" s="837"/>
      <c r="N152" s="837"/>
      <c r="O152" s="837"/>
      <c r="P152" s="837"/>
      <c r="Q152" s="837"/>
      <c r="R152" s="837"/>
      <c r="S152" s="837"/>
      <c r="T152" s="837"/>
      <c r="U152" s="837"/>
      <c r="V152" s="837"/>
      <c r="W152" s="837"/>
      <c r="X152" s="837"/>
      <c r="Y152" s="995"/>
      <c r="Z152" s="840"/>
      <c r="AA152" s="843"/>
      <c r="AB152" s="840"/>
      <c r="AC152" s="840"/>
      <c r="AD152" s="840"/>
    </row>
    <row customHeight="1" ht="9">
      <c r="A153" s="839"/>
      <c r="B153" s="839"/>
      <c r="C153" s="839"/>
      <c r="D153" s="839"/>
      <c r="E153" s="839"/>
      <c r="F153" s="839"/>
      <c r="G153" s="839"/>
      <c r="H153" s="839"/>
      <c r="I153" s="839"/>
      <c r="J153" s="839"/>
      <c r="K153" s="839"/>
      <c r="L153" s="839"/>
      <c r="M153" s="839"/>
      <c r="N153" s="839"/>
      <c r="O153" s="839"/>
      <c r="P153" s="839"/>
      <c r="Q153" s="839"/>
      <c r="R153" s="839"/>
      <c r="S153" s="839"/>
      <c r="T153" s="839"/>
      <c r="U153" s="839"/>
      <c r="V153" s="839"/>
      <c r="W153" s="839"/>
      <c r="X153" s="839"/>
      <c r="Y153" s="839"/>
      <c r="Z153" s="839"/>
      <c r="AA153" s="839"/>
      <c r="AB153" s="839"/>
      <c r="AC153" s="839"/>
      <c r="AD153" s="839"/>
    </row>
    <row customHeight="1" ht="9">
      <c r="A154" s="839" t="s">
        <v>1691</v>
      </c>
      <c r="B154" s="839"/>
      <c r="C154" s="837"/>
      <c r="D154" s="837"/>
      <c r="E154" s="837"/>
      <c r="F154" s="837"/>
      <c r="G154" s="837"/>
      <c r="H154" s="837"/>
      <c r="I154" s="837"/>
      <c r="J154" s="837"/>
      <c r="K154" s="837"/>
      <c r="L154" s="837"/>
      <c r="M154" s="837"/>
      <c r="N154" s="837"/>
      <c r="O154" s="837"/>
      <c r="P154" s="837"/>
      <c r="Q154" s="837"/>
      <c r="R154" s="837"/>
      <c r="S154" s="837"/>
      <c r="T154" s="837"/>
      <c r="U154" s="837"/>
      <c r="V154" s="837"/>
      <c r="W154" s="837"/>
      <c r="X154" s="837"/>
      <c r="Y154" s="995"/>
      <c r="Z154" s="840"/>
      <c r="AA154" s="843"/>
      <c r="AB154" s="840"/>
      <c r="AC154" s="840"/>
      <c r="AD154" s="840"/>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B4DBF02-9D63-9F12-1F5D-34EE353FAAD7}"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1383" width="10.57421875" hidden="1"/>
    <col min="2" max="2" style="1383" width="11.00390625" hidden="1" customWidth="1"/>
    <col min="3" max="3" style="1383" width="10.57421875" hidden="1"/>
    <col min="4" max="4" style="1383" width="11.8515625" hidden="1" customWidth="1"/>
    <col min="5" max="5" style="1383" width="12.28125" hidden="1" customWidth="1"/>
    <col min="6" max="8" style="1801" width="12.28125" hidden="1"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2157</v>
      </c>
      <c r="M5" s="2423"/>
      <c r="N5" s="2423"/>
      <c r="O5" s="2423"/>
      <c r="P5" s="2423"/>
      <c r="Q5" s="2423"/>
      <c r="R5" s="2423"/>
      <c r="S5" s="2423"/>
      <c r="T5" s="2423"/>
      <c r="U5" s="2423"/>
      <c r="V5" s="1248"/>
    </row>
    <row customHeight="1" ht="14.25">
      <c r="J6" s="368"/>
      <c r="K6" s="368"/>
      <c r="L6" s="2424" t="str">
        <f>IF(org=0,"Не определено",org)</f>
        <v>ПАО "ТГК-1" филиал "Невский"</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A8" s="1385"/>
      <c r="B8" s="1385"/>
      <c r="C8" s="1385"/>
      <c r="D8" s="1385"/>
      <c r="E8" s="1385"/>
      <c r="F8" s="1385"/>
      <c r="G8" s="1385"/>
      <c r="H8" s="1385"/>
      <c r="L8" s="1293"/>
      <c r="M8" s="275" t="s">
        <v>38</v>
      </c>
      <c r="N8" s="284"/>
      <c r="O8" s="2082" t="str">
        <f>IF(TITLE_NAME_OR_PR_CHANGE="",IF(TITLE_NAME_OR_PR="","",TITLE_NAME_OR_PR),TITLE_NAME_OR_PR_CHANGE)</f>
        <v>Комитет по тарифам Санкт-Петербурга</v>
      </c>
      <c r="P8" s="2082"/>
      <c r="Q8" s="2082"/>
      <c r="R8" s="2082"/>
      <c r="S8" s="2082"/>
      <c r="T8" s="2082"/>
      <c r="U8" s="2082"/>
      <c r="V8" s="314"/>
      <c r="W8" s="314"/>
      <c r="X8" s="261"/>
      <c r="Y8" s="360"/>
      <c r="Z8" s="360"/>
      <c r="AA8" s="360"/>
      <c r="AB8" s="360"/>
      <c r="AC8" s="360"/>
    </row>
    <row s="1877" customFormat="1" customHeight="1" ht="22.5">
      <c r="A9" s="1385"/>
      <c r="B9" s="1385"/>
      <c r="C9" s="1385"/>
      <c r="D9" s="1385"/>
      <c r="E9" s="1385"/>
      <c r="F9" s="1385"/>
      <c r="G9" s="1385"/>
      <c r="H9" s="1385"/>
      <c r="L9" s="1293"/>
      <c r="M9" s="275" t="s">
        <v>434</v>
      </c>
      <c r="N9" s="284"/>
      <c r="O9" s="2082" t="str">
        <f>IF(TITLE_DATE_CHANGE_PERIOD="",IF(TITLE_DATE_PR="","",TITLE_DATE_PR),TITLE_DATE_CHANGE_PERIOD)</f>
        <v>45280.49324074074</v>
      </c>
      <c r="P9" s="2082"/>
      <c r="Q9" s="2082"/>
      <c r="R9" s="2082"/>
      <c r="S9" s="2082"/>
      <c r="T9" s="2082"/>
      <c r="U9" s="2082"/>
      <c r="V9" s="314"/>
      <c r="W9" s="314"/>
      <c r="X9" s="261"/>
      <c r="Y9" s="360"/>
      <c r="Z9" s="360"/>
      <c r="AA9" s="360"/>
      <c r="AB9" s="360"/>
      <c r="AC9" s="360"/>
    </row>
    <row s="1877" customFormat="1" customHeight="1" ht="22.5">
      <c r="A10" s="1385"/>
      <c r="B10" s="1385"/>
      <c r="C10" s="1385"/>
      <c r="D10" s="1385"/>
      <c r="E10" s="1385"/>
      <c r="F10" s="1385"/>
      <c r="G10" s="1385"/>
      <c r="H10" s="1385"/>
      <c r="L10" s="1256"/>
      <c r="M10" s="275" t="s">
        <v>435</v>
      </c>
      <c r="N10" s="284"/>
      <c r="O10" s="2082" t="str">
        <f>IF(TITLE_NUMBER_PR_CHANGE="",IF(TITLE_NUMBER_PR="","",TITLE_NUMBER_PR),TITLE_NUMBER_PR_CHANGE)</f>
        <v>262-р</v>
      </c>
      <c r="P10" s="2082"/>
      <c r="Q10" s="2082"/>
      <c r="R10" s="2082"/>
      <c r="S10" s="2082"/>
      <c r="T10" s="2082"/>
      <c r="U10" s="2082"/>
      <c r="V10" s="314"/>
      <c r="W10" s="314"/>
      <c r="X10" s="261"/>
      <c r="Y10" s="360"/>
      <c r="Z10" s="360"/>
      <c r="AA10" s="360"/>
      <c r="AB10" s="360"/>
      <c r="AC10" s="360"/>
    </row>
    <row s="1877" customFormat="1" customHeight="1" ht="22.5">
      <c r="A11" s="1385"/>
      <c r="B11" s="1385"/>
      <c r="C11" s="1385"/>
      <c r="D11" s="1385"/>
      <c r="E11" s="1385"/>
      <c r="F11" s="1385"/>
      <c r="G11" s="1385"/>
      <c r="H11" s="1385"/>
      <c r="L11" s="1256"/>
      <c r="M11" s="275" t="s">
        <v>40</v>
      </c>
      <c r="N11" s="284"/>
      <c r="O11" s="2082" t="str">
        <f>IF(TITLE_IST_PUB_CHANGE="",IF(TITLE_IST_PUB="","",TITLE_IST_PUB),TITLE_IST_PUB_CHANGE)</f>
        <v>https://www.gov.spb.ru/static/writable/documents/2023/12/22/%D0%BE%D1%82_20.12.2023__262-%D1%80.pdf</v>
      </c>
      <c r="P11" s="2082"/>
      <c r="Q11" s="2082"/>
      <c r="R11" s="2082"/>
      <c r="S11" s="2082"/>
      <c r="T11" s="2082"/>
      <c r="U11" s="2082"/>
      <c r="V11" s="314"/>
      <c r="W11" s="314"/>
      <c r="X11" s="261"/>
      <c r="Y11" s="360"/>
      <c r="Z11" s="360"/>
      <c r="AA11" s="360"/>
      <c r="AB11" s="360"/>
      <c r="AC11" s="360"/>
    </row>
    <row s="1877" customFormat="1" customHeight="1" ht="11.25" hidden="1">
      <c r="A12" s="1385"/>
      <c r="B12" s="1385"/>
      <c r="C12" s="1385"/>
      <c r="D12" s="1385"/>
      <c r="E12" s="1385"/>
      <c r="F12" s="1385"/>
      <c r="G12" s="1385"/>
      <c r="H12" s="1385"/>
      <c r="L12" s="2422"/>
      <c r="M12" s="2422"/>
      <c r="N12" s="1304"/>
      <c r="O12" s="314"/>
      <c r="P12" s="314"/>
      <c r="Q12" s="314"/>
      <c r="R12" s="314"/>
      <c r="S12" s="314"/>
      <c r="T12" s="314"/>
      <c r="U12" s="314"/>
      <c r="V12" s="259" t="s">
        <v>438</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312</v>
      </c>
      <c r="M14" s="1953"/>
      <c r="N14" s="1953"/>
      <c r="O14" s="1953"/>
      <c r="P14" s="1953"/>
      <c r="Q14" s="1953"/>
      <c r="R14" s="1953"/>
      <c r="S14" s="1953"/>
      <c r="T14" s="1953"/>
      <c r="U14" s="1953"/>
      <c r="V14" s="1953"/>
      <c r="W14" s="1953"/>
      <c r="X14" s="1953" t="s">
        <v>313</v>
      </c>
    </row>
    <row customHeight="1" ht="14.25">
      <c r="J15" s="368"/>
      <c r="K15" s="368"/>
      <c r="L15" s="2107" t="s">
        <v>87</v>
      </c>
      <c r="M15" s="2044" t="s">
        <v>439</v>
      </c>
      <c r="N15" s="281"/>
      <c r="O15" s="2108" t="s">
        <v>2158</v>
      </c>
      <c r="P15" s="2109"/>
      <c r="Q15" s="2109"/>
      <c r="R15" s="2109"/>
      <c r="S15" s="2109"/>
      <c r="T15" s="2109"/>
      <c r="U15" s="2110"/>
      <c r="V15" s="2111" t="s">
        <v>441</v>
      </c>
      <c r="W15" s="2114" t="s">
        <v>1081</v>
      </c>
      <c r="X15" s="1953"/>
    </row>
    <row customHeight="1" ht="33.75">
      <c r="J16" s="368"/>
      <c r="K16" s="368"/>
      <c r="L16" s="2107"/>
      <c r="M16" s="2044"/>
      <c r="N16" s="1026"/>
      <c r="O16" s="2117" t="s">
        <v>444</v>
      </c>
      <c r="P16" s="2117" t="s">
        <v>445</v>
      </c>
      <c r="Q16" s="2100" t="s">
        <v>446</v>
      </c>
      <c r="R16" s="2102"/>
      <c r="S16" s="2100" t="s">
        <v>464</v>
      </c>
      <c r="T16" s="2101"/>
      <c r="U16" s="2102"/>
      <c r="V16" s="2112"/>
      <c r="W16" s="2115"/>
      <c r="X16" s="1953"/>
    </row>
    <row customHeight="1" ht="33.75">
      <c r="A17" s="1387" t="s">
        <v>133</v>
      </c>
      <c r="B17" s="1387" t="s">
        <v>134</v>
      </c>
      <c r="C17" s="1387" t="s">
        <v>135</v>
      </c>
      <c r="D17" s="1387" t="s">
        <v>136</v>
      </c>
      <c r="E17" s="1387"/>
      <c r="J17" s="368"/>
      <c r="K17" s="368"/>
      <c r="L17" s="2107"/>
      <c r="M17" s="2044"/>
      <c r="N17" s="282"/>
      <c r="O17" s="2118"/>
      <c r="P17" s="2118"/>
      <c r="Q17" s="1224" t="s">
        <v>455</v>
      </c>
      <c r="R17" s="1224" t="s">
        <v>456</v>
      </c>
      <c r="S17" s="1309" t="s">
        <v>457</v>
      </c>
      <c r="T17" s="2103" t="s">
        <v>458</v>
      </c>
      <c r="U17" s="2104"/>
      <c r="V17" s="2113"/>
      <c r="W17" s="2116"/>
      <c r="X17" s="1953"/>
    </row>
    <row s="1666" customFormat="1" customHeight="1" ht="11.25">
      <c r="A18" s="1387"/>
      <c r="B18" s="1387"/>
      <c r="C18" s="1387"/>
      <c r="D18" s="1387"/>
      <c r="E18" s="1387"/>
      <c r="F18" s="1379"/>
      <c r="G18" s="1379"/>
      <c r="H18" s="1379"/>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380" t="s">
        <v>190</v>
      </c>
      <c r="B19" s="1380" t="s">
        <v>191</v>
      </c>
      <c r="C19" s="1380" t="s">
        <v>192</v>
      </c>
      <c r="D19" s="1380" t="s">
        <v>193</v>
      </c>
      <c r="E19" s="1380"/>
      <c r="F19" s="1382"/>
      <c r="G19" s="1382"/>
      <c r="H19" s="1382"/>
      <c r="I19" s="349"/>
      <c r="J19" s="348"/>
      <c r="K19" s="343"/>
      <c r="L19" s="1310">
        <f>INDEX(PT_DIFFERENTIATION_NUM_NTAR,MATCH(A19,PT_DIFFERENTIATION_NTAR_ID,0))</f>
        <v>1</v>
      </c>
      <c r="M19" s="278" t="s">
        <v>122</v>
      </c>
      <c r="N19" s="280"/>
      <c r="O19" s="2416" t="str">
        <f>INDEX(PT_DIFFERENTIATION_NTAR,MATCH(A19,PT_DIFFERENTIATION_NTAR_ID,0))</f>
        <v>Тариф на теплоноситель, поставляемый ПАО "ТГК-1" потребителям, расположенным на территории Санкт-Петербурга</v>
      </c>
      <c r="P19" s="2416"/>
      <c r="Q19" s="2416"/>
      <c r="R19" s="2416"/>
      <c r="S19" s="2416"/>
      <c r="T19" s="2416"/>
      <c r="U19" s="2416"/>
      <c r="V19" s="2416"/>
      <c r="W19" s="2416"/>
      <c r="X19" s="1273" t="s">
        <v>410</v>
      </c>
      <c r="Z19" s="496"/>
      <c r="AA19" s="496" t="str">
        <f>IF(M19="","",M19)</f>
        <v>Наименование тарифа</v>
      </c>
      <c r="AB19" s="496"/>
      <c r="AC19" s="496"/>
    </row>
    <row customHeight="1" ht="21">
      <c r="A20" s="1380" t="s">
        <v>190</v>
      </c>
      <c r="B20" s="1380" t="s">
        <v>191</v>
      </c>
      <c r="C20" s="1380" t="s">
        <v>192</v>
      </c>
      <c r="D20" s="1380" t="s">
        <v>193</v>
      </c>
      <c r="E20" s="1380"/>
      <c r="F20" s="1382"/>
      <c r="G20" s="1382"/>
      <c r="H20" s="1382"/>
      <c r="I20" s="1307"/>
      <c r="J20" s="340"/>
      <c r="K20" s="341"/>
      <c r="L20" s="1310" t="str">
        <f>INDEX(PT_DIFFERENTIATION_NUM_TER,MATCH(B19,PT_DIFFERENTIATION_TER_ID,0))</f>
        <v>1.1</v>
      </c>
      <c r="M20" s="290" t="s">
        <v>411</v>
      </c>
      <c r="N20" s="280"/>
      <c r="O20" s="2416" t="str">
        <f>INDEX(PT_DIFFERENTIATION_TER,MATCH(B19,PT_DIFFERENTIATION_TER_ID,0))</f>
        <v>без дифференциации</v>
      </c>
      <c r="P20" s="2416"/>
      <c r="Q20" s="2416"/>
      <c r="R20" s="2416"/>
      <c r="S20" s="2416"/>
      <c r="T20" s="2416"/>
      <c r="U20" s="2416"/>
      <c r="V20" s="2416"/>
      <c r="W20" s="2416"/>
      <c r="X20" s="1273" t="s">
        <v>412</v>
      </c>
      <c r="Z20" s="496"/>
      <c r="AA20" s="496" t="str">
        <f>IF(M20="","",M20)</f>
        <v>Территория действия тарифа</v>
      </c>
      <c r="AB20" s="496"/>
      <c r="AC20" s="496"/>
    </row>
    <row customHeight="1" ht="22.5">
      <c r="A21" s="1380" t="s">
        <v>190</v>
      </c>
      <c r="B21" s="1380" t="s">
        <v>191</v>
      </c>
      <c r="C21" s="1380" t="s">
        <v>192</v>
      </c>
      <c r="D21" s="1380" t="s">
        <v>193</v>
      </c>
      <c r="E21" s="1380"/>
      <c r="F21" s="1382"/>
      <c r="G21" s="1382"/>
      <c r="H21" s="1382"/>
      <c r="I21" s="342"/>
      <c r="J21" s="340"/>
      <c r="K21" s="341"/>
      <c r="L21" s="1310" t="str">
        <f>INDEX(PT_DIFFERENTIATION_NUM_CS,MATCH(C19,PT_DIFFERENTIATION_CS_ID,0))</f>
        <v>1.1.1</v>
      </c>
      <c r="M21" s="291" t="s">
        <v>413</v>
      </c>
      <c r="N21" s="280"/>
      <c r="O21" s="2416" t="str">
        <f>INDEX(PT_DIFFERENTIATION_CS,MATCH(C19,PT_DIFFERENTIATION_CS_ID,0))</f>
        <v>без дифференциации</v>
      </c>
      <c r="P21" s="2416"/>
      <c r="Q21" s="2416"/>
      <c r="R21" s="2416"/>
      <c r="S21" s="2416"/>
      <c r="T21" s="2416"/>
      <c r="U21" s="2416"/>
      <c r="V21" s="2416"/>
      <c r="W21" s="2416"/>
      <c r="X21" s="1273" t="s">
        <v>414</v>
      </c>
      <c r="Z21" s="496"/>
      <c r="AA21" s="496" t="str">
        <f>IF(M21="","",M21)</f>
        <v>Наименование системы теплоснабжения </v>
      </c>
      <c r="AB21" s="496"/>
      <c r="AC21" s="496"/>
    </row>
    <row customHeight="1" ht="21">
      <c r="A22" s="1380" t="s">
        <v>190</v>
      </c>
      <c r="B22" s="1380" t="s">
        <v>191</v>
      </c>
      <c r="C22" s="1380" t="s">
        <v>192</v>
      </c>
      <c r="D22" s="1380" t="s">
        <v>193</v>
      </c>
      <c r="E22" s="1380"/>
      <c r="F22" s="1382"/>
      <c r="G22" s="1382"/>
      <c r="H22" s="1382"/>
      <c r="I22" s="342"/>
      <c r="J22" s="340"/>
      <c r="K22" s="341"/>
      <c r="L22" s="1310" t="str">
        <f>INDEX(PT_DIFFERENTIATION_NUM_IST_TE,MATCH(D19,PT_DIFFERENTIATION_IST_TE_ID,0))</f>
        <v>1.1.1.1</v>
      </c>
      <c r="M22" s="292" t="s">
        <v>415</v>
      </c>
      <c r="N22" s="280"/>
      <c r="O22" s="2416" t="str">
        <f>INDEX(PT_DIFFERENTIATION_IST_TE,MATCH(D19,PT_DIFFERENTIATION_IST_TE_ID,0))</f>
        <v>без дифференциации</v>
      </c>
      <c r="P22" s="2416"/>
      <c r="Q22" s="2416"/>
      <c r="R22" s="2416"/>
      <c r="S22" s="2416"/>
      <c r="T22" s="2416"/>
      <c r="U22" s="2416"/>
      <c r="V22" s="2416"/>
      <c r="W22" s="2416"/>
      <c r="X22" s="1273" t="s">
        <v>416</v>
      </c>
      <c r="Z22" s="496"/>
      <c r="AA22" s="496" t="str">
        <f>IF(M22="","",M22)</f>
        <v>Источник тепловой энергии  </v>
      </c>
      <c r="AB22" s="496"/>
      <c r="AC22" s="496"/>
    </row>
    <row customHeight="1" ht="94.5">
      <c r="A23" s="1380" t="s">
        <v>190</v>
      </c>
      <c r="B23" s="1380" t="s">
        <v>191</v>
      </c>
      <c r="C23" s="1380" t="s">
        <v>192</v>
      </c>
      <c r="D23" s="1380" t="s">
        <v>193</v>
      </c>
      <c r="E23" s="1380"/>
      <c r="F23" s="2417" t="str">
        <f>L22&amp;".1"</f>
        <v>1.1.1.1.1</v>
      </c>
      <c r="I23" s="2093">
        <v>1</v>
      </c>
      <c r="J23" s="1308"/>
      <c r="K23" s="344"/>
      <c r="L23" s="1310" t="str">
        <f>$F$23</f>
        <v>1.1.1.1.1</v>
      </c>
      <c r="M23" s="266" t="s">
        <v>418</v>
      </c>
      <c r="N23" s="280"/>
      <c r="O23" s="2418"/>
      <c r="P23" s="2418"/>
      <c r="Q23" s="2418"/>
      <c r="R23" s="2418"/>
      <c r="S23" s="2418"/>
      <c r="T23" s="2418"/>
      <c r="U23" s="2418"/>
      <c r="V23" s="2418"/>
      <c r="W23" s="2418"/>
      <c r="X23" s="1273" t="s">
        <v>419</v>
      </c>
      <c r="Z23" s="496"/>
      <c r="AA23" s="496" t="str">
        <f>IF(M23="","",M23)</f>
        <v>Схема подключения теплопотребляющей установки к коллектору источника тепловой энергии</v>
      </c>
      <c r="AB23" s="496"/>
      <c r="AC23" s="496"/>
    </row>
    <row customHeight="1" ht="84">
      <c r="A24" s="1380" t="s">
        <v>190</v>
      </c>
      <c r="B24" s="1380" t="s">
        <v>191</v>
      </c>
      <c r="C24" s="1380" t="s">
        <v>192</v>
      </c>
      <c r="D24" s="1380" t="s">
        <v>193</v>
      </c>
      <c r="E24" s="1380"/>
      <c r="F24" s="2417"/>
      <c r="G24" s="2064" t="str">
        <f>F23&amp;".1"</f>
        <v>1.1.1.1.1.1</v>
      </c>
      <c r="I24" s="2093"/>
      <c r="J24" s="2093">
        <v>1</v>
      </c>
      <c r="K24" s="345"/>
      <c r="L24" s="1310" t="str">
        <f>$G$24</f>
        <v>1.1.1.1.1.1</v>
      </c>
      <c r="M24" s="267" t="s">
        <v>421</v>
      </c>
      <c r="N24" s="280"/>
      <c r="O24" s="2419"/>
      <c r="P24" s="2420"/>
      <c r="Q24" s="2420"/>
      <c r="R24" s="2420"/>
      <c r="S24" s="2420"/>
      <c r="T24" s="2420"/>
      <c r="U24" s="2420"/>
      <c r="V24" s="2420"/>
      <c r="W24" s="2421"/>
      <c r="X24" s="1273" t="s">
        <v>422</v>
      </c>
      <c r="Z24" s="496"/>
      <c r="AA24" s="496" t="str">
        <f>IF(M24="","",M24)</f>
        <v>Группа потребителей</v>
      </c>
      <c r="AB24" s="496"/>
      <c r="AC24" s="496"/>
    </row>
    <row customHeight="1" ht="11.25">
      <c r="A25" s="1380" t="s">
        <v>190</v>
      </c>
      <c r="B25" s="1380" t="s">
        <v>191</v>
      </c>
      <c r="C25" s="1380" t="s">
        <v>192</v>
      </c>
      <c r="D25" s="1380" t="s">
        <v>193</v>
      </c>
      <c r="E25" s="1380"/>
      <c r="F25" s="2417"/>
      <c r="G25" s="2064"/>
      <c r="H25" s="2064" t="str">
        <f>G24&amp;".1"</f>
        <v>1.1.1.1.1.1.1</v>
      </c>
      <c r="I25" s="2093"/>
      <c r="J25" s="2093"/>
      <c r="K25" s="345">
        <v>1</v>
      </c>
      <c r="L25" s="1310" t="str">
        <f>$H$25</f>
        <v>1.1.1.1.1.1.1</v>
      </c>
      <c r="M25" s="1274"/>
      <c r="N25" s="280"/>
      <c r="O25" s="746"/>
      <c r="P25" s="312"/>
      <c r="Q25" s="746"/>
      <c r="R25" s="1272"/>
      <c r="S25" s="2425"/>
      <c r="T25" s="1963" t="s">
        <v>61</v>
      </c>
      <c r="U25" s="2425"/>
      <c r="V25" s="1963" t="s">
        <v>56</v>
      </c>
      <c r="W25" s="312"/>
      <c r="X25" s="2119" t="s">
        <v>424</v>
      </c>
      <c r="Y25" s="507">
        <f>STRCHECKDATE(O26:W26)</f>
      </c>
      <c r="Z25" s="496"/>
      <c r="AA25" s="496" t="str">
        <f>IF(M25="","",M25)</f>
        <v/>
      </c>
      <c r="AB25" s="496"/>
      <c r="AC25" s="496"/>
    </row>
    <row customHeight="1" ht="11.25">
      <c r="A26" s="1380" t="s">
        <v>190</v>
      </c>
      <c r="B26" s="1380" t="s">
        <v>191</v>
      </c>
      <c r="C26" s="1380" t="s">
        <v>192</v>
      </c>
      <c r="D26" s="1380" t="s">
        <v>193</v>
      </c>
      <c r="E26" s="1380"/>
      <c r="F26" s="2417"/>
      <c r="G26" s="2064"/>
      <c r="H26" s="2064"/>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380" t="s">
        <v>190</v>
      </c>
      <c r="B27" s="1380" t="s">
        <v>191</v>
      </c>
      <c r="C27" s="1380" t="s">
        <v>192</v>
      </c>
      <c r="D27" s="1380" t="s">
        <v>193</v>
      </c>
      <c r="E27" s="1380"/>
      <c r="F27" s="2417"/>
      <c r="G27" s="2064"/>
      <c r="I27" s="2093"/>
      <c r="J27" s="2093"/>
      <c r="K27" s="344"/>
      <c r="L27" s="1295"/>
      <c r="M27" s="269" t="s">
        <v>425</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380" t="s">
        <v>190</v>
      </c>
      <c r="B28" s="1380" t="s">
        <v>191</v>
      </c>
      <c r="C28" s="1380" t="s">
        <v>192</v>
      </c>
      <c r="D28" s="1380" t="s">
        <v>193</v>
      </c>
      <c r="E28" s="1380"/>
      <c r="F28" s="2417"/>
      <c r="I28" s="2093"/>
      <c r="J28" s="1308"/>
      <c r="K28" s="344"/>
      <c r="L28" s="1295"/>
      <c r="M28" s="268" t="s">
        <v>426</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380" t="s">
        <v>190</v>
      </c>
      <c r="B29" s="1380" t="s">
        <v>191</v>
      </c>
      <c r="C29" s="1380" t="s">
        <v>192</v>
      </c>
      <c r="D29" s="1380" t="s">
        <v>193</v>
      </c>
      <c r="E29" s="1380"/>
      <c r="F29" s="1382"/>
      <c r="G29" s="1382"/>
      <c r="H29" s="533"/>
      <c r="I29" s="348"/>
      <c r="J29" s="367"/>
      <c r="K29" s="343"/>
      <c r="L29" s="1295"/>
      <c r="M29" s="356" t="s">
        <v>427</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380" t="s">
        <v>190</v>
      </c>
      <c r="B30" s="1380" t="s">
        <v>191</v>
      </c>
      <c r="C30" s="1380" t="s">
        <v>192</v>
      </c>
      <c r="D30" s="1380"/>
      <c r="E30" s="1380" t="s">
        <v>597</v>
      </c>
      <c r="F30" s="1382"/>
      <c r="G30" s="1382"/>
      <c r="H30" s="533"/>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380" t="s">
        <v>190</v>
      </c>
      <c r="B31" s="1380" t="s">
        <v>191</v>
      </c>
      <c r="C31" s="1380"/>
      <c r="D31" s="1380"/>
      <c r="E31" s="1380" t="s">
        <v>2159</v>
      </c>
      <c r="F31" s="1534"/>
      <c r="G31" s="1534"/>
      <c r="H31" s="533"/>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380" t="s">
        <v>2160</v>
      </c>
      <c r="B32" s="1380"/>
      <c r="C32" s="1380"/>
      <c r="D32" s="1380"/>
      <c r="E32" s="1380" t="s">
        <v>103</v>
      </c>
      <c r="F32" s="1534"/>
      <c r="G32" s="1534"/>
      <c r="H32" s="533"/>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380"/>
      <c r="B33" s="1380"/>
      <c r="C33" s="1380"/>
      <c r="D33" s="1380"/>
      <c r="E33" s="1380" t="s">
        <v>179</v>
      </c>
      <c r="F33" s="1535"/>
      <c r="G33" s="1536"/>
      <c r="H33" s="533"/>
      <c r="L33" s="1297"/>
      <c r="M33" s="1291"/>
      <c r="N33" s="1286"/>
      <c r="O33" s="1286"/>
      <c r="P33" s="1286"/>
      <c r="Q33" s="1286"/>
      <c r="R33" s="1286"/>
      <c r="S33" s="1286"/>
      <c r="T33" s="1286"/>
      <c r="U33" s="1286"/>
      <c r="V33" s="1287"/>
      <c r="W33" s="1286"/>
      <c r="X33" s="1288"/>
      <c r="Y33" s="374"/>
      <c r="Z33" s="374"/>
      <c r="AA33" s="374"/>
      <c r="AB33" s="374"/>
      <c r="AC33" s="374"/>
    </row>
    <row customHeight="1" ht="11.25">
      <c r="F34" s="1155"/>
      <c r="G34" s="1155"/>
      <c r="H34" s="533"/>
      <c r="I34" s="1150"/>
      <c r="J34" s="1150"/>
      <c r="K34" s="1150"/>
      <c r="Y34" s="1150"/>
      <c r="Z34" s="1150"/>
      <c r="AA34" s="1150"/>
      <c r="AB34" s="1150"/>
      <c r="AC34" s="1150"/>
    </row>
    <row customHeight="1" ht="27">
      <c r="H35" s="533"/>
      <c r="L35" s="1305" t="s">
        <v>729</v>
      </c>
      <c r="M35" s="2088" t="s">
        <v>2161</v>
      </c>
      <c r="N35" s="2088"/>
      <c r="O35" s="2088"/>
      <c r="P35" s="2088"/>
      <c r="Q35" s="2088"/>
      <c r="R35" s="2088"/>
      <c r="S35" s="2088"/>
      <c r="T35" s="2088"/>
      <c r="U35" s="2088"/>
      <c r="V35" s="2088"/>
      <c r="W35" s="2088"/>
      <c r="X35" s="2088"/>
    </row>
    <row customHeight="1" ht="104.25">
      <c r="H36" s="533"/>
      <c r="I36" s="1320"/>
      <c r="M36" s="2088" t="s">
        <v>2162</v>
      </c>
      <c r="N36" s="2088"/>
      <c r="O36" s="2088"/>
      <c r="P36" s="2088"/>
      <c r="Q36" s="2088"/>
      <c r="R36" s="2088"/>
      <c r="S36" s="2088"/>
      <c r="T36" s="2088"/>
      <c r="U36" s="2088"/>
      <c r="V36" s="2088"/>
      <c r="W36" s="2088"/>
      <c r="X36" s="2088"/>
    </row>
    <row customHeight="1" ht="14.25">
      <c r="H37" s="533"/>
    </row>
    <row customHeight="1" ht="14.25">
      <c r="H38" s="533"/>
    </row>
    <row customHeight="1" ht="14.25">
      <c r="H39" s="533"/>
    </row>
    <row customHeight="1" ht="14.25">
      <c r="H40" s="53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9FC6D4-68C9-1BC8-54DF-2A79158A282A}"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1.57421875" customWidth="1"/>
    <col min="2" max="2" style="1660" width="10.7109375" customWidth="1"/>
    <col min="3" max="3" style="1660" width="10.00390625" customWidth="1"/>
    <col min="4" max="4" style="1660" width="12.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2157</v>
      </c>
      <c r="M5" s="2423"/>
      <c r="N5" s="2423"/>
      <c r="O5" s="2423"/>
      <c r="P5" s="2423"/>
      <c r="Q5" s="2423"/>
      <c r="R5" s="2423"/>
      <c r="S5" s="2423"/>
      <c r="T5" s="2423"/>
      <c r="U5" s="2423"/>
      <c r="V5" s="1248"/>
    </row>
    <row customHeight="1" ht="14.25">
      <c r="J6" s="368"/>
      <c r="K6" s="368"/>
      <c r="L6" s="2424" t="str">
        <f>IF(org=0,"Не определено",org)</f>
        <v>ПАО "ТГК-1" филиал "Невский"</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Комитет по тарифам Санкт-Петербурга</v>
      </c>
      <c r="P8" s="2082"/>
      <c r="Q8" s="2082"/>
      <c r="R8" s="2082"/>
      <c r="S8" s="2082"/>
      <c r="T8" s="2082"/>
      <c r="U8" s="2082"/>
      <c r="V8" s="314"/>
      <c r="W8" s="314"/>
      <c r="X8" s="261"/>
      <c r="Y8" s="360"/>
      <c r="Z8" s="360"/>
      <c r="AA8" s="360"/>
      <c r="AB8" s="360"/>
      <c r="AC8" s="360"/>
    </row>
    <row s="1877" customFormat="1" customHeight="1" ht="22.5">
      <c r="F9" s="1254"/>
      <c r="G9" s="1254"/>
      <c r="H9" s="1254"/>
      <c r="L9" s="1293"/>
      <c r="M9" s="275" t="s">
        <v>434</v>
      </c>
      <c r="N9" s="284"/>
      <c r="O9" s="2082" t="str">
        <f>IF(TITLE_DATE_CHANGE_PERIOD="",IF(TITLE_DATE_PR="","",TITLE_DATE_PR),TITLE_DATE_CHANGE_PERIOD)</f>
        <v>45280.49324074074</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435</v>
      </c>
      <c r="N10" s="284"/>
      <c r="O10" s="2082" t="str">
        <f>IF(TITLE_NUMBER_PR_CHANGE="",IF(TITLE_NUMBER_PR="","",TITLE_NUMBER_PR),TITLE_NUMBER_PR_CHANGE)</f>
        <v>262-р</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https://www.gov.spb.ru/static/writable/documents/2023/12/22/%D0%BE%D1%82_20.12.2023__262-%D1%80.pdf</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438</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312</v>
      </c>
      <c r="M14" s="1953"/>
      <c r="N14" s="1953"/>
      <c r="O14" s="1953"/>
      <c r="P14" s="1953"/>
      <c r="Q14" s="1953"/>
      <c r="R14" s="1953"/>
      <c r="S14" s="1953"/>
      <c r="T14" s="1953"/>
      <c r="U14" s="1953"/>
      <c r="V14" s="1953"/>
      <c r="W14" s="1953"/>
      <c r="X14" s="1953" t="s">
        <v>313</v>
      </c>
    </row>
    <row customHeight="1" ht="14.25">
      <c r="J15" s="368"/>
      <c r="K15" s="368"/>
      <c r="L15" s="2107" t="s">
        <v>87</v>
      </c>
      <c r="M15" s="2044" t="s">
        <v>439</v>
      </c>
      <c r="N15" s="281"/>
      <c r="O15" s="2108" t="s">
        <v>2158</v>
      </c>
      <c r="P15" s="2109"/>
      <c r="Q15" s="2109"/>
      <c r="R15" s="2109"/>
      <c r="S15" s="2109"/>
      <c r="T15" s="2109"/>
      <c r="U15" s="2110"/>
      <c r="V15" s="2111" t="s">
        <v>441</v>
      </c>
      <c r="W15" s="2114" t="s">
        <v>1081</v>
      </c>
      <c r="X15" s="1953"/>
    </row>
    <row customHeight="1" ht="33.75">
      <c r="J16" s="368"/>
      <c r="K16" s="368"/>
      <c r="L16" s="2107"/>
      <c r="M16" s="2044"/>
      <c r="N16" s="1026"/>
      <c r="O16" s="2117" t="s">
        <v>444</v>
      </c>
      <c r="P16" s="2117" t="s">
        <v>445</v>
      </c>
      <c r="Q16" s="2100" t="s">
        <v>446</v>
      </c>
      <c r="R16" s="2102"/>
      <c r="S16" s="2100" t="s">
        <v>464</v>
      </c>
      <c r="T16" s="2101"/>
      <c r="U16" s="2102"/>
      <c r="V16" s="2112"/>
      <c r="W16" s="2115"/>
      <c r="X16" s="1953"/>
    </row>
    <row customHeight="1" ht="33.75">
      <c r="A17" s="1275" t="s">
        <v>133</v>
      </c>
      <c r="B17" s="1275" t="s">
        <v>134</v>
      </c>
      <c r="C17" s="1275" t="s">
        <v>135</v>
      </c>
      <c r="D17" s="1275" t="s">
        <v>136</v>
      </c>
      <c r="E17" s="1275"/>
      <c r="J17" s="368"/>
      <c r="K17" s="368"/>
      <c r="L17" s="2107"/>
      <c r="M17" s="2044"/>
      <c r="N17" s="282"/>
      <c r="O17" s="2118"/>
      <c r="P17" s="2118"/>
      <c r="Q17" s="1224" t="s">
        <v>455</v>
      </c>
      <c r="R17" s="1224" t="s">
        <v>456</v>
      </c>
      <c r="S17" s="1309" t="s">
        <v>457</v>
      </c>
      <c r="T17" s="2103" t="s">
        <v>458</v>
      </c>
      <c r="U17" s="2104"/>
      <c r="V17" s="2113"/>
      <c r="W17" s="2116"/>
      <c r="X17" s="1953"/>
    </row>
    <row s="1666" customFormat="1" customHeight="1" ht="11.25">
      <c r="A18" s="1275"/>
      <c r="B18" s="1275"/>
      <c r="C18" s="1275"/>
      <c r="D18" s="1275"/>
      <c r="E18" s="1275"/>
      <c r="F18" s="1303"/>
      <c r="G18" s="1303"/>
      <c r="H18" s="1303"/>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2163</v>
      </c>
      <c r="B19" s="1283" t="s">
        <v>2164</v>
      </c>
      <c r="C19" s="1283" t="s">
        <v>2165</v>
      </c>
      <c r="D19" s="1283" t="s">
        <v>2166</v>
      </c>
      <c r="E19" s="1283"/>
      <c r="F19" s="683"/>
      <c r="G19" s="683"/>
      <c r="H19" s="683"/>
      <c r="I19" s="349"/>
      <c r="J19" s="348"/>
      <c r="K19" s="343"/>
      <c r="L19" s="1310">
        <f>INDEX(PT_DIFFERENTIATION_NUM_NTAR,MATCH(A19,PT_DIFFERENTIATION_NTAR_ID,0))</f>
      </c>
      <c r="M19" s="278" t="s">
        <v>122</v>
      </c>
      <c r="N19" s="280"/>
      <c r="O19" s="2416">
        <f>INDEX(PT_DIFFERENTIATION_NTAR,MATCH(A19,PT_DIFFERENTIATION_NTAR_ID,0))</f>
      </c>
      <c r="P19" s="2416"/>
      <c r="Q19" s="2416"/>
      <c r="R19" s="2416"/>
      <c r="S19" s="2416"/>
      <c r="T19" s="2416"/>
      <c r="U19" s="2416"/>
      <c r="V19" s="2416"/>
      <c r="W19" s="2416"/>
      <c r="X19" s="1273" t="s">
        <v>410</v>
      </c>
      <c r="Z19" s="496"/>
      <c r="AA19" s="496" t="str">
        <f>IF(M19="","",M19)</f>
        <v>Наименование тарифа</v>
      </c>
      <c r="AB19" s="496"/>
      <c r="AC19" s="496"/>
    </row>
    <row customHeight="1" ht="21">
      <c r="A20" s="1283" t="s">
        <v>2163</v>
      </c>
      <c r="B20" s="1283" t="s">
        <v>2164</v>
      </c>
      <c r="C20" s="1283" t="s">
        <v>2165</v>
      </c>
      <c r="D20" s="1283" t="s">
        <v>2166</v>
      </c>
      <c r="E20" s="1283"/>
      <c r="F20" s="683"/>
      <c r="G20" s="683"/>
      <c r="H20" s="683"/>
      <c r="I20" s="1307"/>
      <c r="J20" s="340"/>
      <c r="K20" s="341"/>
      <c r="L20" s="1310">
        <f>INDEX(PT_DIFFERENTIATION_NUM_TER,MATCH(B19,PT_DIFFERENTIATION_TER_ID,0))</f>
      </c>
      <c r="M20" s="290" t="s">
        <v>411</v>
      </c>
      <c r="N20" s="280"/>
      <c r="O20" s="2416">
        <f>INDEX(PT_DIFFERENTIATION_TER,MATCH(B19,PT_DIFFERENTIATION_TER_ID,0))</f>
      </c>
      <c r="P20" s="2416"/>
      <c r="Q20" s="2416"/>
      <c r="R20" s="2416"/>
      <c r="S20" s="2416"/>
      <c r="T20" s="2416"/>
      <c r="U20" s="2416"/>
      <c r="V20" s="2416"/>
      <c r="W20" s="2416"/>
      <c r="X20" s="1273" t="s">
        <v>412</v>
      </c>
      <c r="Z20" s="496"/>
      <c r="AA20" s="496" t="str">
        <f>IF(M20="","",M20)</f>
        <v>Территория действия тарифа</v>
      </c>
      <c r="AB20" s="496"/>
      <c r="AC20" s="496"/>
    </row>
    <row customHeight="1" ht="22.5">
      <c r="A21" s="1283" t="s">
        <v>2163</v>
      </c>
      <c r="B21" s="1283" t="s">
        <v>2164</v>
      </c>
      <c r="C21" s="1283" t="s">
        <v>2165</v>
      </c>
      <c r="D21" s="1283" t="s">
        <v>2166</v>
      </c>
      <c r="E21" s="1283"/>
      <c r="F21" s="683"/>
      <c r="G21" s="683"/>
      <c r="H21" s="683"/>
      <c r="I21" s="342"/>
      <c r="J21" s="340"/>
      <c r="K21" s="341"/>
      <c r="L21" s="1310">
        <f>INDEX(PT_DIFFERENTIATION_NUM_CS,MATCH(C19,PT_DIFFERENTIATION_CS_ID,0))</f>
      </c>
      <c r="M21" s="291" t="s">
        <v>413</v>
      </c>
      <c r="N21" s="280"/>
      <c r="O21" s="2416">
        <f>INDEX(PT_DIFFERENTIATION_CS,MATCH(C19,PT_DIFFERENTIATION_CS_ID,0))</f>
      </c>
      <c r="P21" s="2416"/>
      <c r="Q21" s="2416"/>
      <c r="R21" s="2416"/>
      <c r="S21" s="2416"/>
      <c r="T21" s="2416"/>
      <c r="U21" s="2416"/>
      <c r="V21" s="2416"/>
      <c r="W21" s="2416"/>
      <c r="X21" s="1273" t="s">
        <v>414</v>
      </c>
      <c r="Z21" s="496"/>
      <c r="AA21" s="496" t="str">
        <f>IF(M21="","",M21)</f>
        <v>Наименование системы теплоснабжения </v>
      </c>
      <c r="AB21" s="496"/>
      <c r="AC21" s="496"/>
    </row>
    <row customHeight="1" ht="21">
      <c r="A22" s="1283" t="s">
        <v>2163</v>
      </c>
      <c r="B22" s="1283" t="s">
        <v>2164</v>
      </c>
      <c r="C22" s="1283" t="s">
        <v>2165</v>
      </c>
      <c r="D22" s="1283" t="s">
        <v>2166</v>
      </c>
      <c r="E22" s="1283"/>
      <c r="F22" s="683"/>
      <c r="G22" s="683"/>
      <c r="H22" s="683"/>
      <c r="I22" s="342"/>
      <c r="J22" s="340"/>
      <c r="K22" s="341"/>
      <c r="L22" s="1310">
        <f>INDEX(PT_DIFFERENTIATION_NUM_IST_TE,MATCH(D19,PT_DIFFERENTIATION_IST_TE_ID,0))</f>
      </c>
      <c r="M22" s="292" t="s">
        <v>415</v>
      </c>
      <c r="N22" s="280"/>
      <c r="O22" s="2416">
        <f>INDEX(PT_DIFFERENTIATION_IST_TE,MATCH(D19,PT_DIFFERENTIATION_IST_TE_ID,0))</f>
      </c>
      <c r="P22" s="2416"/>
      <c r="Q22" s="2416"/>
      <c r="R22" s="2416"/>
      <c r="S22" s="2416"/>
      <c r="T22" s="2416"/>
      <c r="U22" s="2416"/>
      <c r="V22" s="2416"/>
      <c r="W22" s="2416"/>
      <c r="X22" s="1273" t="s">
        <v>416</v>
      </c>
      <c r="Z22" s="496"/>
      <c r="AA22" s="496" t="str">
        <f>IF(M22="","",M22)</f>
        <v>Источник тепловой энергии  </v>
      </c>
      <c r="AB22" s="496"/>
      <c r="AC22" s="496"/>
    </row>
    <row customHeight="1" ht="94.5">
      <c r="A23" s="1283" t="s">
        <v>2163</v>
      </c>
      <c r="B23" s="1283" t="s">
        <v>2164</v>
      </c>
      <c r="C23" s="1283" t="s">
        <v>2165</v>
      </c>
      <c r="D23" s="1283" t="s">
        <v>2166</v>
      </c>
      <c r="E23" s="1283"/>
      <c r="F23" s="1951">
        <f>L22&amp;".1"</f>
      </c>
      <c r="I23" s="2093">
        <v>1</v>
      </c>
      <c r="J23" s="1308"/>
      <c r="K23" s="344"/>
      <c r="L23" s="1310">
        <f>$F$23</f>
      </c>
      <c r="M23" s="266" t="s">
        <v>418</v>
      </c>
      <c r="N23" s="280"/>
      <c r="O23" s="2418"/>
      <c r="P23" s="2418"/>
      <c r="Q23" s="2418"/>
      <c r="R23" s="2418"/>
      <c r="S23" s="2418"/>
      <c r="T23" s="2418"/>
      <c r="U23" s="2418"/>
      <c r="V23" s="2418"/>
      <c r="W23" s="2418"/>
      <c r="X23" s="1273" t="s">
        <v>419</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2163</v>
      </c>
      <c r="B24" s="1283" t="s">
        <v>2164</v>
      </c>
      <c r="C24" s="1283" t="s">
        <v>2165</v>
      </c>
      <c r="D24" s="1283" t="s">
        <v>2166</v>
      </c>
      <c r="E24" s="1283"/>
      <c r="F24" s="1951"/>
      <c r="G24" s="1935">
        <f>F23&amp;".1"</f>
      </c>
      <c r="I24" s="2093"/>
      <c r="J24" s="2093">
        <v>1</v>
      </c>
      <c r="K24" s="345"/>
      <c r="L24" s="1310">
        <f>$G$24</f>
      </c>
      <c r="M24" s="267" t="s">
        <v>421</v>
      </c>
      <c r="N24" s="280"/>
      <c r="O24" s="2419"/>
      <c r="P24" s="2420"/>
      <c r="Q24" s="2420"/>
      <c r="R24" s="2420"/>
      <c r="S24" s="2420"/>
      <c r="T24" s="2420"/>
      <c r="U24" s="2420"/>
      <c r="V24" s="2420"/>
      <c r="W24" s="2421"/>
      <c r="X24" s="1273" t="s">
        <v>422</v>
      </c>
      <c r="Z24" s="496"/>
      <c r="AA24" s="496" t="str">
        <f>IF(M24="","",M24)</f>
        <v>Группа потребителей</v>
      </c>
      <c r="AB24" s="496"/>
      <c r="AC24" s="496"/>
    </row>
    <row customHeight="1" ht="11.25">
      <c r="A25" s="1283" t="s">
        <v>2163</v>
      </c>
      <c r="B25" s="1283" t="s">
        <v>2164</v>
      </c>
      <c r="C25" s="1283" t="s">
        <v>2165</v>
      </c>
      <c r="D25" s="1283" t="s">
        <v>2166</v>
      </c>
      <c r="E25" s="1283"/>
      <c r="F25" s="1951"/>
      <c r="G25" s="1935"/>
      <c r="H25" s="1935">
        <f>G24&amp;".1"</f>
      </c>
      <c r="I25" s="2093"/>
      <c r="J25" s="2093"/>
      <c r="K25" s="345">
        <v>1</v>
      </c>
      <c r="L25" s="1310">
        <f>$H$25</f>
      </c>
      <c r="M25" s="1274"/>
      <c r="N25" s="280"/>
      <c r="O25" s="746"/>
      <c r="P25" s="312"/>
      <c r="Q25" s="746"/>
      <c r="R25" s="1272"/>
      <c r="S25" s="2425"/>
      <c r="T25" s="1963" t="s">
        <v>61</v>
      </c>
      <c r="U25" s="2425"/>
      <c r="V25" s="1963" t="s">
        <v>56</v>
      </c>
      <c r="W25" s="312"/>
      <c r="X25" s="2119" t="s">
        <v>424</v>
      </c>
      <c r="Y25" s="507">
        <f>STRCHECKDATE(O26:W26)</f>
      </c>
      <c r="Z25" s="496"/>
      <c r="AA25" s="496" t="str">
        <f>IF(M25="","",M25)</f>
        <v/>
      </c>
      <c r="AB25" s="496"/>
      <c r="AC25" s="496"/>
    </row>
    <row customHeight="1" ht="11.25">
      <c r="A26" s="1283" t="s">
        <v>2163</v>
      </c>
      <c r="B26" s="1283" t="s">
        <v>2164</v>
      </c>
      <c r="C26" s="1283" t="s">
        <v>2165</v>
      </c>
      <c r="D26" s="1283" t="s">
        <v>2166</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2163</v>
      </c>
      <c r="B27" s="1283" t="s">
        <v>2164</v>
      </c>
      <c r="C27" s="1283" t="s">
        <v>2165</v>
      </c>
      <c r="D27" s="1283" t="s">
        <v>2166</v>
      </c>
      <c r="E27" s="1283"/>
      <c r="F27" s="1951"/>
      <c r="G27" s="1935"/>
      <c r="I27" s="2093"/>
      <c r="J27" s="2093"/>
      <c r="K27" s="344"/>
      <c r="L27" s="1295"/>
      <c r="M27" s="269" t="s">
        <v>425</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2163</v>
      </c>
      <c r="B28" s="1283" t="s">
        <v>2164</v>
      </c>
      <c r="C28" s="1283" t="s">
        <v>2165</v>
      </c>
      <c r="D28" s="1283" t="s">
        <v>2166</v>
      </c>
      <c r="E28" s="1283"/>
      <c r="F28" s="1951"/>
      <c r="I28" s="2093"/>
      <c r="J28" s="1308"/>
      <c r="K28" s="344"/>
      <c r="L28" s="1295"/>
      <c r="M28" s="268" t="s">
        <v>426</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2163</v>
      </c>
      <c r="B29" s="1283" t="s">
        <v>2164</v>
      </c>
      <c r="C29" s="1283" t="s">
        <v>2165</v>
      </c>
      <c r="D29" s="1283" t="s">
        <v>2166</v>
      </c>
      <c r="E29" s="1283"/>
      <c r="F29" s="683"/>
      <c r="G29" s="683"/>
      <c r="H29" s="505"/>
      <c r="I29" s="348"/>
      <c r="J29" s="367"/>
      <c r="K29" s="343"/>
      <c r="L29" s="1295"/>
      <c r="M29" s="356" t="s">
        <v>427</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2163</v>
      </c>
      <c r="B30" s="1283" t="s">
        <v>2164</v>
      </c>
      <c r="C30" s="1283" t="s">
        <v>2165</v>
      </c>
      <c r="D30" s="1283"/>
      <c r="E30" s="1283" t="s">
        <v>597</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2163</v>
      </c>
      <c r="B31" s="1283" t="s">
        <v>2164</v>
      </c>
      <c r="C31" s="1283"/>
      <c r="D31" s="1283"/>
      <c r="E31" s="1283" t="s">
        <v>2159</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2167</v>
      </c>
      <c r="B32" s="1283"/>
      <c r="C32" s="1283"/>
      <c r="D32" s="1283"/>
      <c r="E32" s="1283" t="s">
        <v>103</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179</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729</v>
      </c>
      <c r="M35" s="2088" t="s">
        <v>2161</v>
      </c>
      <c r="N35" s="2088"/>
      <c r="O35" s="2088"/>
      <c r="P35" s="2088"/>
      <c r="Q35" s="2088"/>
      <c r="R35" s="2088"/>
      <c r="S35" s="2088"/>
      <c r="T35" s="2088"/>
      <c r="U35" s="2088"/>
      <c r="V35" s="2088"/>
      <c r="W35" s="2088"/>
      <c r="X35" s="2088"/>
    </row>
    <row customHeight="1" ht="104.25">
      <c r="F36" s="1320"/>
      <c r="G36" s="1320"/>
      <c r="H36" s="505"/>
      <c r="I36" s="1320"/>
      <c r="M36" s="2088" t="s">
        <v>2162</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0F1F1CC-5C07-57DF-F07D-206D3DDFFB07}"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1660" width="10.57421875"/>
    <col min="2" max="2" style="1660" width="11.00390625" customWidth="1"/>
    <col min="3" max="3" style="1660" width="10.57421875"/>
    <col min="4" max="4" style="1660" width="11.8515625" customWidth="1"/>
    <col min="5" max="5" style="1660" width="12.28125" customWidth="1"/>
    <col min="6" max="8" style="2216" width="12.28125" customWidth="1"/>
    <col min="9" max="9" style="2216" width="3.7109375" customWidth="1"/>
    <col min="10" max="11" style="332" width="3.7109375" customWidth="1"/>
    <col min="12" max="12" style="2229" width="12.7109375" customWidth="1"/>
    <col min="13" max="13" style="1660" width="32.00390625" customWidth="1"/>
    <col min="14" max="14" style="1660" width="1.7109375" customWidth="1"/>
    <col min="15" max="18" style="1660" width="24.7109375" customWidth="1"/>
    <col min="19" max="19" style="1660" width="11.7109375" customWidth="1"/>
    <col min="20" max="20" style="1660" width="3.7109375" customWidth="1"/>
    <col min="21" max="21" style="1660" width="11.7109375" customWidth="1"/>
    <col min="22" max="22" style="1660" width="8.57421875" customWidth="1"/>
    <col min="23" max="23" style="1660" width="4.7109375" customWidth="1"/>
    <col min="24" max="24" style="1660" width="115.7109375" customWidth="1"/>
    <col min="25" max="26" style="1667" width="10.57421875"/>
    <col min="27" max="27" style="1667" width="11.140625" customWidth="1"/>
    <col min="28" max="29" style="1667" width="10.57421875"/>
  </cols>
  <sheetData>
    <row customHeight="1" ht="14.25" hidden="1">
      <c r="R1" s="315"/>
      <c r="S1" s="315"/>
    </row>
    <row customHeight="1" ht="14.25" hidden="1">
      <c r="V2" s="315"/>
    </row>
    <row customHeight="1" ht="14.25" hidden="1"/>
    <row customHeight="1" ht="14.25">
      <c r="J4" s="368"/>
      <c r="K4" s="368"/>
      <c r="L4" s="1292"/>
      <c r="M4" s="353"/>
      <c r="N4" s="353"/>
      <c r="O4" s="505"/>
      <c r="P4" s="505"/>
      <c r="Q4" s="505"/>
      <c r="R4" s="505"/>
      <c r="S4" s="505"/>
      <c r="T4" s="505"/>
      <c r="U4" s="505"/>
      <c r="V4" s="505"/>
    </row>
    <row customHeight="1" ht="64.5">
      <c r="J5" s="368"/>
      <c r="K5" s="368"/>
      <c r="L5" s="2423" t="s">
        <v>2157</v>
      </c>
      <c r="M5" s="2423"/>
      <c r="N5" s="2423"/>
      <c r="O5" s="2423"/>
      <c r="P5" s="2423"/>
      <c r="Q5" s="2423"/>
      <c r="R5" s="2423"/>
      <c r="S5" s="2423"/>
      <c r="T5" s="2423"/>
      <c r="U5" s="2423"/>
      <c r="V5" s="1248"/>
    </row>
    <row customHeight="1" ht="14.25">
      <c r="J6" s="368"/>
      <c r="K6" s="368"/>
      <c r="L6" s="2424" t="str">
        <f>IF(org=0,"Не определено",org)</f>
        <v>ПАО "ТГК-1" филиал "Невский"</v>
      </c>
      <c r="M6" s="2424"/>
      <c r="N6" s="2424"/>
      <c r="O6" s="2424"/>
      <c r="P6" s="2424"/>
      <c r="Q6" s="2424"/>
      <c r="R6" s="2424"/>
      <c r="S6" s="2424"/>
      <c r="T6" s="2424"/>
      <c r="U6" s="2424"/>
      <c r="V6" s="1248"/>
    </row>
    <row customHeight="1" ht="14.25">
      <c r="J7" s="368"/>
      <c r="K7" s="368"/>
      <c r="L7" s="1292"/>
      <c r="M7" s="353"/>
      <c r="N7" s="353"/>
      <c r="O7" s="308"/>
      <c r="P7" s="308"/>
      <c r="Q7" s="308"/>
      <c r="R7" s="308"/>
      <c r="S7" s="308"/>
      <c r="T7" s="308"/>
      <c r="U7" s="308"/>
      <c r="V7" s="308"/>
      <c r="W7" s="505"/>
    </row>
    <row s="1877" customFormat="1" customHeight="1" ht="45">
      <c r="F8" s="1254"/>
      <c r="G8" s="1254"/>
      <c r="H8" s="1254"/>
      <c r="L8" s="1293"/>
      <c r="M8" s="275" t="s">
        <v>38</v>
      </c>
      <c r="N8" s="284"/>
      <c r="O8" s="2082" t="str">
        <f>IF(TITLE_NAME_OR_PR_CHANGE="",IF(TITLE_NAME_OR_PR="","",TITLE_NAME_OR_PR),TITLE_NAME_OR_PR_CHANGE)</f>
        <v>Комитет по тарифам Санкт-Петербурга</v>
      </c>
      <c r="P8" s="2082"/>
      <c r="Q8" s="2082"/>
      <c r="R8" s="2082"/>
      <c r="S8" s="2082"/>
      <c r="T8" s="2082"/>
      <c r="U8" s="2082"/>
      <c r="V8" s="314"/>
      <c r="W8" s="314"/>
      <c r="X8" s="261"/>
      <c r="Y8" s="360"/>
      <c r="Z8" s="360"/>
      <c r="AA8" s="360"/>
      <c r="AB8" s="360"/>
      <c r="AC8" s="360"/>
    </row>
    <row s="1877" customFormat="1" customHeight="1" ht="22.5">
      <c r="F9" s="1254"/>
      <c r="G9" s="1254"/>
      <c r="H9" s="1254"/>
      <c r="L9" s="1293"/>
      <c r="M9" s="275" t="s">
        <v>434</v>
      </c>
      <c r="N9" s="284"/>
      <c r="O9" s="2082" t="str">
        <f>IF(TITLE_DATE_CHANGE_PERIOD="",IF(TITLE_DATE_PR="","",TITLE_DATE_PR),TITLE_DATE_CHANGE_PERIOD)</f>
        <v>45280.49324074074</v>
      </c>
      <c r="P9" s="2082"/>
      <c r="Q9" s="2082"/>
      <c r="R9" s="2082"/>
      <c r="S9" s="2082"/>
      <c r="T9" s="2082"/>
      <c r="U9" s="2082"/>
      <c r="V9" s="314"/>
      <c r="W9" s="314"/>
      <c r="X9" s="261"/>
      <c r="Y9" s="360"/>
      <c r="Z9" s="360"/>
      <c r="AA9" s="360"/>
      <c r="AB9" s="360"/>
      <c r="AC9" s="360"/>
    </row>
    <row s="1877" customFormat="1" customHeight="1" ht="22.5">
      <c r="F10" s="1254"/>
      <c r="G10" s="1254"/>
      <c r="H10" s="1254"/>
      <c r="L10" s="1256"/>
      <c r="M10" s="275" t="s">
        <v>435</v>
      </c>
      <c r="N10" s="284"/>
      <c r="O10" s="2082" t="str">
        <f>IF(TITLE_NUMBER_PR_CHANGE="",IF(TITLE_NUMBER_PR="","",TITLE_NUMBER_PR),TITLE_NUMBER_PR_CHANGE)</f>
        <v>262-р</v>
      </c>
      <c r="P10" s="2082"/>
      <c r="Q10" s="2082"/>
      <c r="R10" s="2082"/>
      <c r="S10" s="2082"/>
      <c r="T10" s="2082"/>
      <c r="U10" s="2082"/>
      <c r="V10" s="314"/>
      <c r="W10" s="314"/>
      <c r="X10" s="261"/>
      <c r="Y10" s="360"/>
      <c r="Z10" s="360"/>
      <c r="AA10" s="360"/>
      <c r="AB10" s="360"/>
      <c r="AC10" s="360"/>
    </row>
    <row s="1877" customFormat="1" customHeight="1" ht="22.5">
      <c r="F11" s="1254"/>
      <c r="G11" s="1254"/>
      <c r="H11" s="1254"/>
      <c r="L11" s="1256"/>
      <c r="M11" s="275" t="s">
        <v>40</v>
      </c>
      <c r="N11" s="284"/>
      <c r="O11" s="2082" t="str">
        <f>IF(TITLE_IST_PUB_CHANGE="",IF(TITLE_IST_PUB="","",TITLE_IST_PUB),TITLE_IST_PUB_CHANGE)</f>
        <v>https://www.gov.spb.ru/static/writable/documents/2023/12/22/%D0%BE%D1%82_20.12.2023__262-%D1%80.pdf</v>
      </c>
      <c r="P11" s="2082"/>
      <c r="Q11" s="2082"/>
      <c r="R11" s="2082"/>
      <c r="S11" s="2082"/>
      <c r="T11" s="2082"/>
      <c r="U11" s="2082"/>
      <c r="V11" s="314"/>
      <c r="W11" s="314"/>
      <c r="X11" s="261"/>
      <c r="Y11" s="360"/>
      <c r="Z11" s="360"/>
      <c r="AA11" s="360"/>
      <c r="AB11" s="360"/>
      <c r="AC11" s="360"/>
    </row>
    <row s="1877" customFormat="1" customHeight="1" ht="11.25" hidden="1">
      <c r="F12" s="1254"/>
      <c r="G12" s="1254"/>
      <c r="H12" s="1254"/>
      <c r="L12" s="2422"/>
      <c r="M12" s="2422"/>
      <c r="N12" s="1304"/>
      <c r="O12" s="314"/>
      <c r="P12" s="314"/>
      <c r="Q12" s="314"/>
      <c r="R12" s="314"/>
      <c r="S12" s="314"/>
      <c r="T12" s="314"/>
      <c r="U12" s="314"/>
      <c r="V12" s="259" t="s">
        <v>438</v>
      </c>
      <c r="Y12" s="360"/>
      <c r="Z12" s="360"/>
      <c r="AA12" s="360"/>
      <c r="AB12" s="360"/>
      <c r="AC12" s="360"/>
    </row>
    <row customHeight="1" ht="14.25">
      <c r="J13" s="368"/>
      <c r="K13" s="368"/>
      <c r="L13" s="1292"/>
      <c r="M13" s="353"/>
      <c r="N13" s="1249"/>
      <c r="O13" s="2106"/>
      <c r="P13" s="2106"/>
      <c r="Q13" s="2106"/>
      <c r="R13" s="2106"/>
      <c r="S13" s="2106"/>
      <c r="T13" s="2106"/>
      <c r="U13" s="2106"/>
      <c r="V13" s="2106"/>
    </row>
    <row customHeight="1" ht="14.25">
      <c r="J14" s="368"/>
      <c r="K14" s="368"/>
      <c r="L14" s="1953" t="s">
        <v>312</v>
      </c>
      <c r="M14" s="1953"/>
      <c r="N14" s="1953"/>
      <c r="O14" s="1953"/>
      <c r="P14" s="1953"/>
      <c r="Q14" s="1953"/>
      <c r="R14" s="1953"/>
      <c r="S14" s="1953"/>
      <c r="T14" s="1953"/>
      <c r="U14" s="1953"/>
      <c r="V14" s="1953"/>
      <c r="W14" s="1953"/>
      <c r="X14" s="1953" t="s">
        <v>313</v>
      </c>
    </row>
    <row customHeight="1" ht="14.25">
      <c r="J15" s="368"/>
      <c r="K15" s="368"/>
      <c r="L15" s="2107" t="s">
        <v>87</v>
      </c>
      <c r="M15" s="2044" t="s">
        <v>439</v>
      </c>
      <c r="N15" s="281"/>
      <c r="O15" s="2108" t="s">
        <v>2158</v>
      </c>
      <c r="P15" s="2109"/>
      <c r="Q15" s="2109"/>
      <c r="R15" s="2109"/>
      <c r="S15" s="2109"/>
      <c r="T15" s="2109"/>
      <c r="U15" s="2110"/>
      <c r="V15" s="2111" t="s">
        <v>441</v>
      </c>
      <c r="W15" s="2114" t="s">
        <v>1081</v>
      </c>
      <c r="X15" s="1953"/>
    </row>
    <row customHeight="1" ht="33.75">
      <c r="J16" s="368"/>
      <c r="K16" s="368"/>
      <c r="L16" s="2107"/>
      <c r="M16" s="2044"/>
      <c r="N16" s="1026"/>
      <c r="O16" s="2117" t="s">
        <v>444</v>
      </c>
      <c r="P16" s="2117" t="s">
        <v>445</v>
      </c>
      <c r="Q16" s="2100" t="s">
        <v>446</v>
      </c>
      <c r="R16" s="2102"/>
      <c r="S16" s="2100" t="s">
        <v>464</v>
      </c>
      <c r="T16" s="2101"/>
      <c r="U16" s="2102"/>
      <c r="V16" s="2112"/>
      <c r="W16" s="2115"/>
      <c r="X16" s="1953"/>
    </row>
    <row customHeight="1" ht="33.75">
      <c r="A17" s="1275" t="s">
        <v>133</v>
      </c>
      <c r="B17" s="1275" t="s">
        <v>134</v>
      </c>
      <c r="C17" s="1275" t="s">
        <v>135</v>
      </c>
      <c r="D17" s="1275" t="s">
        <v>136</v>
      </c>
      <c r="E17" s="1275"/>
      <c r="J17" s="368"/>
      <c r="K17" s="368"/>
      <c r="L17" s="2107"/>
      <c r="M17" s="2044"/>
      <c r="N17" s="282"/>
      <c r="O17" s="2118"/>
      <c r="P17" s="2118"/>
      <c r="Q17" s="1224" t="s">
        <v>455</v>
      </c>
      <c r="R17" s="1224" t="s">
        <v>456</v>
      </c>
      <c r="S17" s="1309" t="s">
        <v>457</v>
      </c>
      <c r="T17" s="2103" t="s">
        <v>458</v>
      </c>
      <c r="U17" s="2104"/>
      <c r="V17" s="2113"/>
      <c r="W17" s="2116"/>
      <c r="X17" s="1953"/>
    </row>
    <row s="1666" customFormat="1" customHeight="1" ht="11.25">
      <c r="A18" s="1275"/>
      <c r="B18" s="1275"/>
      <c r="C18" s="1275"/>
      <c r="D18" s="1275"/>
      <c r="E18" s="1275"/>
      <c r="F18" s="1303"/>
      <c r="G18" s="1303"/>
      <c r="H18" s="1303"/>
      <c r="I18" s="1251"/>
      <c r="J18" s="1252"/>
      <c r="K18" s="1267">
        <v>1</v>
      </c>
      <c r="L18" s="1294" t="s">
        <v>108</v>
      </c>
      <c r="M18" s="1268" t="s">
        <v>109</v>
      </c>
      <c r="N18" s="1250" t="str">
        <f>OFFSET(N18,0,-1)</f>
        <v>2</v>
      </c>
      <c r="O18" s="1306">
        <f>OFFSET(O18,0,-1)+1</f>
        <v>3</v>
      </c>
      <c r="P18" s="1306"/>
      <c r="Q18" s="1306">
        <f>OFFSET(Q18,0,-1)+1</f>
        <v>1</v>
      </c>
      <c r="R18" s="1306">
        <f>OFFSET(R18,0,-1)+1</f>
        <v>2</v>
      </c>
      <c r="S18" s="1306">
        <f>OFFSET(S18,0,-1)+1</f>
        <v>3</v>
      </c>
      <c r="T18" s="2105">
        <f>OFFSET(T18,0,-1)+1</f>
        <v>4</v>
      </c>
      <c r="U18" s="2105"/>
      <c r="V18" s="1306">
        <f>OFFSET(V18,0,-2)+1</f>
        <v>5</v>
      </c>
      <c r="W18" s="1250">
        <f>OFFSET(W18,0,-1)</f>
        <v>5</v>
      </c>
      <c r="X18" s="1306">
        <f>OFFSET(X18,0,-1)+1</f>
        <v>6</v>
      </c>
      <c r="Y18" s="507"/>
      <c r="Z18" s="507"/>
      <c r="AA18" s="507"/>
      <c r="AB18" s="507"/>
      <c r="AC18" s="507"/>
    </row>
    <row customHeight="1" ht="21">
      <c r="A19" s="1283" t="s">
        <v>2168</v>
      </c>
      <c r="B19" s="1283" t="s">
        <v>2169</v>
      </c>
      <c r="C19" s="1283" t="s">
        <v>2170</v>
      </c>
      <c r="D19" s="1283" t="s">
        <v>2171</v>
      </c>
      <c r="E19" s="1283"/>
      <c r="F19" s="683"/>
      <c r="G19" s="683"/>
      <c r="H19" s="683"/>
      <c r="I19" s="349"/>
      <c r="J19" s="348"/>
      <c r="K19" s="343"/>
      <c r="L19" s="1310">
        <f>INDEX(PT_DIFFERENTIATION_NUM_NTAR,MATCH(A19,PT_DIFFERENTIATION_NTAR_ID,0))</f>
      </c>
      <c r="M19" s="278" t="s">
        <v>122</v>
      </c>
      <c r="N19" s="280"/>
      <c r="O19" s="2416">
        <f>INDEX(PT_DIFFERENTIATION_NTAR,MATCH(A19,PT_DIFFERENTIATION_NTAR_ID,0))</f>
      </c>
      <c r="P19" s="2416"/>
      <c r="Q19" s="2416"/>
      <c r="R19" s="2416"/>
      <c r="S19" s="2416"/>
      <c r="T19" s="2416"/>
      <c r="U19" s="2416"/>
      <c r="V19" s="2416"/>
      <c r="W19" s="2416"/>
      <c r="X19" s="1273" t="s">
        <v>410</v>
      </c>
      <c r="Z19" s="496"/>
      <c r="AA19" s="496" t="str">
        <f>IF(M19="","",M19)</f>
        <v>Наименование тарифа</v>
      </c>
      <c r="AB19" s="496"/>
      <c r="AC19" s="496"/>
    </row>
    <row customHeight="1" ht="21">
      <c r="A20" s="1283" t="s">
        <v>2168</v>
      </c>
      <c r="B20" s="1283" t="s">
        <v>2169</v>
      </c>
      <c r="C20" s="1283" t="s">
        <v>2170</v>
      </c>
      <c r="D20" s="1283" t="s">
        <v>2171</v>
      </c>
      <c r="E20" s="1283"/>
      <c r="F20" s="683"/>
      <c r="G20" s="683"/>
      <c r="H20" s="683"/>
      <c r="I20" s="1307"/>
      <c r="J20" s="340"/>
      <c r="K20" s="341"/>
      <c r="L20" s="1310">
        <f>INDEX(PT_DIFFERENTIATION_NUM_TER,MATCH(B19,PT_DIFFERENTIATION_TER_ID,0))</f>
      </c>
      <c r="M20" s="290" t="s">
        <v>411</v>
      </c>
      <c r="N20" s="280"/>
      <c r="O20" s="2416">
        <f>INDEX(PT_DIFFERENTIATION_TER,MATCH(B19,PT_DIFFERENTIATION_TER_ID,0))</f>
      </c>
      <c r="P20" s="2416"/>
      <c r="Q20" s="2416"/>
      <c r="R20" s="2416"/>
      <c r="S20" s="2416"/>
      <c r="T20" s="2416"/>
      <c r="U20" s="2416"/>
      <c r="V20" s="2416"/>
      <c r="W20" s="2416"/>
      <c r="X20" s="1273" t="s">
        <v>412</v>
      </c>
      <c r="Z20" s="496"/>
      <c r="AA20" s="496" t="str">
        <f>IF(M20="","",M20)</f>
        <v>Территория действия тарифа</v>
      </c>
      <c r="AB20" s="496"/>
      <c r="AC20" s="496"/>
    </row>
    <row customHeight="1" ht="22.5">
      <c r="A21" s="1283" t="s">
        <v>2168</v>
      </c>
      <c r="B21" s="1283" t="s">
        <v>2169</v>
      </c>
      <c r="C21" s="1283" t="s">
        <v>2170</v>
      </c>
      <c r="D21" s="1283" t="s">
        <v>2171</v>
      </c>
      <c r="E21" s="1283"/>
      <c r="F21" s="683"/>
      <c r="G21" s="683"/>
      <c r="H21" s="683"/>
      <c r="I21" s="342"/>
      <c r="J21" s="340"/>
      <c r="K21" s="341"/>
      <c r="L21" s="1310">
        <f>INDEX(PT_DIFFERENTIATION_NUM_CS,MATCH(C19,PT_DIFFERENTIATION_CS_ID,0))</f>
      </c>
      <c r="M21" s="291" t="s">
        <v>413</v>
      </c>
      <c r="N21" s="280"/>
      <c r="O21" s="2416">
        <f>INDEX(PT_DIFFERENTIATION_CS,MATCH(C19,PT_DIFFERENTIATION_CS_ID,0))</f>
      </c>
      <c r="P21" s="2416"/>
      <c r="Q21" s="2416"/>
      <c r="R21" s="2416"/>
      <c r="S21" s="2416"/>
      <c r="T21" s="2416"/>
      <c r="U21" s="2416"/>
      <c r="V21" s="2416"/>
      <c r="W21" s="2416"/>
      <c r="X21" s="1273" t="s">
        <v>414</v>
      </c>
      <c r="Z21" s="496"/>
      <c r="AA21" s="496" t="str">
        <f>IF(M21="","",M21)</f>
        <v>Наименование системы теплоснабжения </v>
      </c>
      <c r="AB21" s="496"/>
      <c r="AC21" s="496"/>
    </row>
    <row customHeight="1" ht="21">
      <c r="A22" s="1283" t="s">
        <v>2168</v>
      </c>
      <c r="B22" s="1283" t="s">
        <v>2169</v>
      </c>
      <c r="C22" s="1283" t="s">
        <v>2170</v>
      </c>
      <c r="D22" s="1283" t="s">
        <v>2171</v>
      </c>
      <c r="E22" s="1283"/>
      <c r="F22" s="683"/>
      <c r="G22" s="683"/>
      <c r="H22" s="683"/>
      <c r="I22" s="342"/>
      <c r="J22" s="340"/>
      <c r="K22" s="341"/>
      <c r="L22" s="1310">
        <f>INDEX(PT_DIFFERENTIATION_NUM_IST_TE,MATCH(D19,PT_DIFFERENTIATION_IST_TE_ID,0))</f>
      </c>
      <c r="M22" s="292" t="s">
        <v>415</v>
      </c>
      <c r="N22" s="280"/>
      <c r="O22" s="2416">
        <f>INDEX(PT_DIFFERENTIATION_IST_TE,MATCH(D19,PT_DIFFERENTIATION_IST_TE_ID,0))</f>
      </c>
      <c r="P22" s="2416"/>
      <c r="Q22" s="2416"/>
      <c r="R22" s="2416"/>
      <c r="S22" s="2416"/>
      <c r="T22" s="2416"/>
      <c r="U22" s="2416"/>
      <c r="V22" s="2416"/>
      <c r="W22" s="2416"/>
      <c r="X22" s="1273" t="s">
        <v>416</v>
      </c>
      <c r="Z22" s="496"/>
      <c r="AA22" s="496" t="str">
        <f>IF(M22="","",M22)</f>
        <v>Источник тепловой энергии  </v>
      </c>
      <c r="AB22" s="496"/>
      <c r="AC22" s="496"/>
    </row>
    <row customHeight="1" ht="94.5">
      <c r="A23" s="1283" t="s">
        <v>2168</v>
      </c>
      <c r="B23" s="1283" t="s">
        <v>2169</v>
      </c>
      <c r="C23" s="1283" t="s">
        <v>2170</v>
      </c>
      <c r="D23" s="1283" t="s">
        <v>2171</v>
      </c>
      <c r="E23" s="1283"/>
      <c r="F23" s="1951">
        <f>L22&amp;".1"</f>
      </c>
      <c r="I23" s="2093">
        <v>1</v>
      </c>
      <c r="J23" s="1308"/>
      <c r="K23" s="344"/>
      <c r="L23" s="1310">
        <f>$F$23</f>
      </c>
      <c r="M23" s="266" t="s">
        <v>418</v>
      </c>
      <c r="N23" s="280"/>
      <c r="O23" s="2418"/>
      <c r="P23" s="2418"/>
      <c r="Q23" s="2418"/>
      <c r="R23" s="2418"/>
      <c r="S23" s="2418"/>
      <c r="T23" s="2418"/>
      <c r="U23" s="2418"/>
      <c r="V23" s="2418"/>
      <c r="W23" s="2418"/>
      <c r="X23" s="1273" t="s">
        <v>419</v>
      </c>
      <c r="Z23" s="496"/>
      <c r="AA23" s="496" t="str">
        <f>IF(M23="","",M23)</f>
        <v>Схема подключения теплопотребляющей установки к коллектору источника тепловой энергии</v>
      </c>
      <c r="AB23" s="496"/>
      <c r="AC23" s="496"/>
    </row>
    <row customHeight="1" ht="84">
      <c r="A24" s="1283" t="s">
        <v>2168</v>
      </c>
      <c r="B24" s="1283" t="s">
        <v>2169</v>
      </c>
      <c r="C24" s="1283" t="s">
        <v>2170</v>
      </c>
      <c r="D24" s="1283" t="s">
        <v>2171</v>
      </c>
      <c r="E24" s="1283"/>
      <c r="F24" s="1951"/>
      <c r="G24" s="1935">
        <f>F23&amp;".1"</f>
      </c>
      <c r="I24" s="2093"/>
      <c r="J24" s="2093">
        <v>1</v>
      </c>
      <c r="K24" s="345"/>
      <c r="L24" s="1310">
        <f>$G$24</f>
      </c>
      <c r="M24" s="267" t="s">
        <v>421</v>
      </c>
      <c r="N24" s="280"/>
      <c r="O24" s="2419"/>
      <c r="P24" s="2420"/>
      <c r="Q24" s="2420"/>
      <c r="R24" s="2420"/>
      <c r="S24" s="2420"/>
      <c r="T24" s="2420"/>
      <c r="U24" s="2420"/>
      <c r="V24" s="2420"/>
      <c r="W24" s="2421"/>
      <c r="X24" s="1273" t="s">
        <v>422</v>
      </c>
      <c r="Z24" s="496"/>
      <c r="AA24" s="496" t="str">
        <f>IF(M24="","",M24)</f>
        <v>Группа потребителей</v>
      </c>
      <c r="AB24" s="496"/>
      <c r="AC24" s="496"/>
    </row>
    <row customHeight="1" ht="11.25">
      <c r="A25" s="1283" t="s">
        <v>2168</v>
      </c>
      <c r="B25" s="1283" t="s">
        <v>2169</v>
      </c>
      <c r="C25" s="1283" t="s">
        <v>2170</v>
      </c>
      <c r="D25" s="1283" t="s">
        <v>2171</v>
      </c>
      <c r="E25" s="1283"/>
      <c r="F25" s="1951"/>
      <c r="G25" s="1935"/>
      <c r="H25" s="1935">
        <f>G24&amp;".1"</f>
      </c>
      <c r="I25" s="2093"/>
      <c r="J25" s="2093"/>
      <c r="K25" s="345">
        <v>1</v>
      </c>
      <c r="L25" s="1310">
        <f>$H$25</f>
      </c>
      <c r="M25" s="1274"/>
      <c r="N25" s="280"/>
      <c r="O25" s="746"/>
      <c r="P25" s="312"/>
      <c r="Q25" s="746"/>
      <c r="R25" s="1272"/>
      <c r="S25" s="2425"/>
      <c r="T25" s="1963" t="s">
        <v>61</v>
      </c>
      <c r="U25" s="2425"/>
      <c r="V25" s="1963" t="s">
        <v>56</v>
      </c>
      <c r="W25" s="312"/>
      <c r="X25" s="2119" t="s">
        <v>424</v>
      </c>
      <c r="Y25" s="507">
        <f>STRCHECKDATE(O26:W26)</f>
      </c>
      <c r="Z25" s="496"/>
      <c r="AA25" s="496" t="str">
        <f>IF(M25="","",M25)</f>
        <v/>
      </c>
      <c r="AB25" s="496"/>
      <c r="AC25" s="496"/>
    </row>
    <row customHeight="1" ht="11.25">
      <c r="A26" s="1283" t="s">
        <v>2168</v>
      </c>
      <c r="B26" s="1283" t="s">
        <v>2169</v>
      </c>
      <c r="C26" s="1283" t="s">
        <v>2170</v>
      </c>
      <c r="D26" s="1283" t="s">
        <v>2171</v>
      </c>
      <c r="E26" s="1283"/>
      <c r="F26" s="1951"/>
      <c r="G26" s="1935"/>
      <c r="H26" s="1935"/>
      <c r="I26" s="2093"/>
      <c r="J26" s="2093"/>
      <c r="K26" s="345"/>
      <c r="L26" s="1311"/>
      <c r="M26" s="280"/>
      <c r="N26" s="280"/>
      <c r="O26" s="312"/>
      <c r="P26" s="312"/>
      <c r="Q26" s="312"/>
      <c r="R26" s="316" t="str">
        <f>S25&amp;"-"&amp;U25</f>
        <v>-</v>
      </c>
      <c r="S26" s="2095"/>
      <c r="T26" s="1963"/>
      <c r="U26" s="2095"/>
      <c r="V26" s="1963"/>
      <c r="W26" s="312"/>
      <c r="X26" s="2120"/>
      <c r="Z26" s="496"/>
      <c r="AA26" s="496" t="str">
        <f>IF(M26="","",M26)</f>
        <v/>
      </c>
      <c r="AB26" s="496"/>
      <c r="AC26" s="496"/>
    </row>
    <row customHeight="1" ht="15">
      <c r="A27" s="1283" t="s">
        <v>2168</v>
      </c>
      <c r="B27" s="1283" t="s">
        <v>2169</v>
      </c>
      <c r="C27" s="1283" t="s">
        <v>2170</v>
      </c>
      <c r="D27" s="1283" t="s">
        <v>2171</v>
      </c>
      <c r="E27" s="1283"/>
      <c r="F27" s="1951"/>
      <c r="G27" s="1935"/>
      <c r="I27" s="2093"/>
      <c r="J27" s="2093"/>
      <c r="K27" s="344"/>
      <c r="L27" s="1295"/>
      <c r="M27" s="269" t="s">
        <v>425</v>
      </c>
      <c r="N27" s="359"/>
      <c r="O27" s="359"/>
      <c r="P27" s="359"/>
      <c r="Q27" s="359"/>
      <c r="R27" s="359"/>
      <c r="S27" s="359"/>
      <c r="T27" s="359"/>
      <c r="U27" s="359"/>
      <c r="V27" s="359"/>
      <c r="W27" s="311"/>
      <c r="X27" s="2121"/>
      <c r="Z27" s="496"/>
      <c r="AA27" s="496" t="str">
        <f>IF(M27="","",M27)</f>
        <v>Добавить вид теплоносителя (параметры теплоносителя)</v>
      </c>
      <c r="AB27" s="496"/>
      <c r="AC27" s="496"/>
    </row>
    <row customHeight="1" ht="15">
      <c r="A28" s="1283" t="s">
        <v>2168</v>
      </c>
      <c r="B28" s="1283" t="s">
        <v>2169</v>
      </c>
      <c r="C28" s="1283" t="s">
        <v>2170</v>
      </c>
      <c r="D28" s="1283" t="s">
        <v>2171</v>
      </c>
      <c r="E28" s="1283"/>
      <c r="F28" s="1951"/>
      <c r="I28" s="2093"/>
      <c r="J28" s="1308"/>
      <c r="K28" s="344"/>
      <c r="L28" s="1295"/>
      <c r="M28" s="268" t="s">
        <v>426</v>
      </c>
      <c r="N28" s="359"/>
      <c r="O28" s="359"/>
      <c r="P28" s="359"/>
      <c r="Q28" s="359"/>
      <c r="R28" s="359"/>
      <c r="S28" s="359"/>
      <c r="T28" s="359"/>
      <c r="U28" s="359"/>
      <c r="V28" s="358"/>
      <c r="W28" s="359"/>
      <c r="X28" s="283"/>
      <c r="Z28" s="496"/>
      <c r="AA28" s="496" t="str">
        <f>IF(M28="","",M28)</f>
        <v>Добавить группу потребителей</v>
      </c>
      <c r="AB28" s="496"/>
      <c r="AC28" s="496"/>
    </row>
    <row customHeight="1" ht="14.25">
      <c r="A29" s="1283" t="s">
        <v>2168</v>
      </c>
      <c r="B29" s="1283" t="s">
        <v>2169</v>
      </c>
      <c r="C29" s="1283" t="s">
        <v>2170</v>
      </c>
      <c r="D29" s="1283" t="s">
        <v>2171</v>
      </c>
      <c r="E29" s="1283"/>
      <c r="F29" s="683"/>
      <c r="G29" s="683"/>
      <c r="H29" s="505"/>
      <c r="I29" s="348"/>
      <c r="J29" s="367"/>
      <c r="K29" s="343"/>
      <c r="L29" s="1295"/>
      <c r="M29" s="356" t="s">
        <v>427</v>
      </c>
      <c r="N29" s="359"/>
      <c r="O29" s="359"/>
      <c r="P29" s="359"/>
      <c r="Q29" s="359"/>
      <c r="R29" s="359"/>
      <c r="S29" s="359"/>
      <c r="T29" s="359"/>
      <c r="U29" s="359"/>
      <c r="V29" s="358"/>
      <c r="W29" s="359"/>
      <c r="X29" s="283"/>
      <c r="Z29" s="496"/>
      <c r="AA29" s="496" t="str">
        <f>IF(M29="","",M29)</f>
        <v>Добавить схему подключения</v>
      </c>
      <c r="AB29" s="496"/>
      <c r="AC29" s="496"/>
    </row>
    <row customHeight="1" ht="14.25">
      <c r="A30" s="1283" t="s">
        <v>2168</v>
      </c>
      <c r="B30" s="1283" t="s">
        <v>2169</v>
      </c>
      <c r="C30" s="1283" t="s">
        <v>2170</v>
      </c>
      <c r="D30" s="1283"/>
      <c r="E30" s="1283" t="s">
        <v>597</v>
      </c>
      <c r="F30" s="683"/>
      <c r="G30" s="683"/>
      <c r="H30" s="505"/>
      <c r="I30" s="348"/>
      <c r="J30" s="367"/>
      <c r="K30" s="343"/>
      <c r="L30" s="1296"/>
      <c r="M30" s="1285"/>
      <c r="N30" s="1286"/>
      <c r="O30" s="1286"/>
      <c r="P30" s="1286"/>
      <c r="Q30" s="1286"/>
      <c r="R30" s="1286"/>
      <c r="S30" s="1286"/>
      <c r="T30" s="1286"/>
      <c r="U30" s="1286"/>
      <c r="V30" s="1287"/>
      <c r="W30" s="1286"/>
      <c r="X30" s="1288"/>
      <c r="Z30" s="496"/>
      <c r="AA30" s="496" t="str">
        <f>IF(M30="","",M30)</f>
        <v/>
      </c>
      <c r="AB30" s="496"/>
      <c r="AC30" s="496"/>
    </row>
    <row customHeight="1" ht="14.25">
      <c r="A31" s="1283" t="s">
        <v>2168</v>
      </c>
      <c r="B31" s="1283" t="s">
        <v>2169</v>
      </c>
      <c r="C31" s="1283"/>
      <c r="D31" s="1283"/>
      <c r="E31" s="1283" t="s">
        <v>2159</v>
      </c>
      <c r="F31" s="1270"/>
      <c r="G31" s="1270"/>
      <c r="H31" s="505"/>
      <c r="I31" s="346"/>
      <c r="J31" s="367"/>
      <c r="K31" s="347"/>
      <c r="L31" s="1296"/>
      <c r="M31" s="1289"/>
      <c r="N31" s="1286"/>
      <c r="O31" s="1286"/>
      <c r="P31" s="1286"/>
      <c r="Q31" s="1286"/>
      <c r="R31" s="1286"/>
      <c r="S31" s="1286"/>
      <c r="T31" s="1286"/>
      <c r="U31" s="1286"/>
      <c r="V31" s="1287"/>
      <c r="W31" s="1286"/>
      <c r="X31" s="1288"/>
      <c r="Z31" s="496"/>
      <c r="AA31" s="496" t="str">
        <f>IF(M31="","",M31)</f>
        <v/>
      </c>
      <c r="AB31" s="496"/>
      <c r="AC31" s="496"/>
    </row>
    <row customHeight="1" ht="14.25">
      <c r="A32" s="1283" t="s">
        <v>2172</v>
      </c>
      <c r="B32" s="1283"/>
      <c r="C32" s="1283"/>
      <c r="D32" s="1283"/>
      <c r="E32" s="1283" t="s">
        <v>103</v>
      </c>
      <c r="F32" s="1270"/>
      <c r="G32" s="1270"/>
      <c r="H32" s="505"/>
      <c r="I32" s="348"/>
      <c r="J32" s="367"/>
      <c r="K32" s="343"/>
      <c r="L32" s="1296"/>
      <c r="M32" s="1290"/>
      <c r="N32" s="1286"/>
      <c r="O32" s="1286"/>
      <c r="P32" s="1286"/>
      <c r="Q32" s="1286"/>
      <c r="R32" s="1286"/>
      <c r="S32" s="1286"/>
      <c r="T32" s="1286"/>
      <c r="U32" s="1286"/>
      <c r="V32" s="1287"/>
      <c r="W32" s="1286"/>
      <c r="X32" s="1288"/>
      <c r="Z32" s="496"/>
      <c r="AA32" s="496" t="str">
        <f>IF(M32="","",M32)</f>
        <v/>
      </c>
      <c r="AB32" s="496"/>
      <c r="AC32" s="496"/>
    </row>
    <row s="2437" customFormat="1" customHeight="1" ht="11.25">
      <c r="A33" s="1283"/>
      <c r="B33" s="1283"/>
      <c r="C33" s="1283"/>
      <c r="D33" s="1283"/>
      <c r="E33" s="1283" t="s">
        <v>179</v>
      </c>
      <c r="F33" s="1284"/>
      <c r="G33" s="1271"/>
      <c r="H33" s="505"/>
      <c r="L33" s="1297"/>
      <c r="M33" s="1291"/>
      <c r="N33" s="1286"/>
      <c r="O33" s="1286"/>
      <c r="P33" s="1286"/>
      <c r="Q33" s="1286"/>
      <c r="R33" s="1286"/>
      <c r="S33" s="1286"/>
      <c r="T33" s="1286"/>
      <c r="U33" s="1286"/>
      <c r="V33" s="1287"/>
      <c r="W33" s="1286"/>
      <c r="X33" s="1288"/>
      <c r="Y33" s="374"/>
      <c r="Z33" s="374"/>
      <c r="AA33" s="374"/>
      <c r="AB33" s="374"/>
      <c r="AC33" s="374"/>
    </row>
    <row customHeight="1" ht="11.25">
      <c r="F34" s="1150"/>
      <c r="G34" s="1150"/>
      <c r="H34" s="505"/>
      <c r="I34" s="1150"/>
      <c r="J34" s="1150"/>
      <c r="K34" s="1150"/>
      <c r="Y34" s="1150"/>
      <c r="Z34" s="1150"/>
      <c r="AA34" s="1150"/>
      <c r="AB34" s="1150"/>
      <c r="AC34" s="1150"/>
    </row>
    <row customHeight="1" ht="27">
      <c r="H35" s="505"/>
      <c r="L35" s="1305" t="s">
        <v>729</v>
      </c>
      <c r="M35" s="2088" t="s">
        <v>2161</v>
      </c>
      <c r="N35" s="2088"/>
      <c r="O35" s="2088"/>
      <c r="P35" s="2088"/>
      <c r="Q35" s="2088"/>
      <c r="R35" s="2088"/>
      <c r="S35" s="2088"/>
      <c r="T35" s="2088"/>
      <c r="U35" s="2088"/>
      <c r="V35" s="2088"/>
      <c r="W35" s="2088"/>
      <c r="X35" s="2088"/>
    </row>
    <row customHeight="1" ht="104.25">
      <c r="F36" s="1320"/>
      <c r="G36" s="1320"/>
      <c r="H36" s="505"/>
      <c r="I36" s="1320"/>
      <c r="M36" s="2088" t="s">
        <v>2162</v>
      </c>
      <c r="N36" s="2088"/>
      <c r="O36" s="2088"/>
      <c r="P36" s="2088"/>
      <c r="Q36" s="2088"/>
      <c r="R36" s="2088"/>
      <c r="S36" s="2088"/>
      <c r="T36" s="2088"/>
      <c r="U36" s="2088"/>
      <c r="V36" s="2088"/>
      <c r="W36" s="2088"/>
      <c r="X36" s="2088"/>
    </row>
    <row customHeight="1" ht="14.25">
      <c r="H37" s="505"/>
    </row>
    <row customHeight="1" ht="14.25">
      <c r="H38" s="505"/>
    </row>
    <row customHeight="1" ht="14.25">
      <c r="H39" s="505"/>
    </row>
    <row customHeight="1" ht="14.25">
      <c r="H40" s="50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BCFED-73B5-7E2C-7ECD-0E27B88AF16F}"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1667" width="10.57421875"/>
    <col min="7" max="8" style="506" width="9.140625" customWidth="1"/>
    <col min="9" max="9" style="2216" width="3.7109375" customWidth="1"/>
    <col min="10" max="11" style="332" width="3.7109375" customWidth="1"/>
    <col min="12" max="12" style="1660" width="12.7109375" customWidth="1"/>
    <col min="13" max="13" style="1660" width="47.421875" customWidth="1"/>
    <col min="14" max="14" style="1660" width="2.7109375" hidden="1" customWidth="1"/>
    <col min="15" max="18" style="1660" width="23.7109375" customWidth="1"/>
    <col min="19" max="19" style="1660" width="11.7109375" customWidth="1"/>
    <col min="20" max="20" style="1660" width="3.7109375" customWidth="1"/>
    <col min="21" max="21" style="1660" width="11.7109375" customWidth="1"/>
    <col min="22" max="22" style="1660" width="8.57421875" hidden="1" customWidth="1"/>
    <col min="23" max="23" style="1660" width="4.7109375" customWidth="1"/>
    <col min="24" max="24" style="1660" width="115.7109375" customWidth="1"/>
    <col min="25" max="29" style="1667" width="10.57421875"/>
  </cols>
  <sheetData>
    <row customHeight="1" ht="14.25" hidden="1"/>
    <row customHeight="1" ht="14.25" hidden="1"/>
    <row customHeight="1" ht="14.25" hidden="1"/>
    <row customHeight="1" ht="14.25">
      <c r="J4" s="368"/>
      <c r="K4" s="368"/>
      <c r="L4" s="353"/>
      <c r="M4" s="353"/>
      <c r="N4" s="353"/>
      <c r="O4" s="505"/>
      <c r="P4" s="505"/>
      <c r="Q4" s="505"/>
      <c r="R4" s="505"/>
      <c r="S4" s="505"/>
      <c r="T4" s="505"/>
      <c r="U4" s="505"/>
      <c r="V4" s="353"/>
    </row>
    <row customHeight="1" ht="14.25">
      <c r="J5" s="368"/>
      <c r="K5" s="368"/>
      <c r="L5" s="2430" t="s">
        <v>2173</v>
      </c>
      <c r="M5" s="2430"/>
      <c r="N5" s="2430"/>
      <c r="O5" s="2430"/>
      <c r="P5" s="2430"/>
      <c r="Q5" s="2430"/>
      <c r="R5" s="2430"/>
      <c r="S5" s="2430"/>
      <c r="T5" s="2430"/>
      <c r="U5" s="257"/>
      <c r="V5" s="257"/>
    </row>
    <row customHeight="1" ht="14.25">
      <c r="J6" s="368"/>
      <c r="K6" s="368"/>
      <c r="L6" s="353"/>
      <c r="M6" s="353"/>
      <c r="N6" s="353"/>
      <c r="O6" s="308"/>
      <c r="P6" s="308"/>
      <c r="Q6" s="308"/>
      <c r="R6" s="308"/>
      <c r="S6" s="308"/>
      <c r="T6" s="308"/>
      <c r="U6" s="353"/>
    </row>
    <row s="1877" customFormat="1" customHeight="1" ht="22.5">
      <c r="A7" s="360"/>
      <c r="B7" s="360"/>
      <c r="C7" s="360"/>
      <c r="D7" s="360"/>
      <c r="E7" s="360"/>
      <c r="F7" s="360"/>
      <c r="G7" s="360"/>
      <c r="H7" s="360"/>
      <c r="L7" s="258"/>
      <c r="M7" s="275" t="s">
        <v>38</v>
      </c>
      <c r="N7" s="284"/>
      <c r="O7" s="2431">
        <f>IF(NameOrPr_ch="",IF(NameOrPr="","",NameOrPr),NameOrPr_ch)</f>
      </c>
      <c r="P7" s="2432"/>
      <c r="Q7" s="2432"/>
      <c r="R7" s="2432"/>
      <c r="S7" s="2432"/>
      <c r="T7" s="2433"/>
      <c r="U7" s="1253"/>
      <c r="Y7" s="360"/>
      <c r="Z7" s="360"/>
      <c r="AA7" s="360"/>
      <c r="AB7" s="360"/>
      <c r="AC7" s="360"/>
    </row>
    <row s="1877" customFormat="1" customHeight="1" ht="18.75">
      <c r="A8" s="360"/>
      <c r="B8" s="360"/>
      <c r="C8" s="360"/>
      <c r="D8" s="360"/>
      <c r="E8" s="360"/>
      <c r="F8" s="360"/>
      <c r="G8" s="360"/>
      <c r="H8" s="360"/>
      <c r="L8" s="258"/>
      <c r="M8" s="275" t="s">
        <v>434</v>
      </c>
      <c r="N8" s="284"/>
      <c r="O8" s="2431">
        <f>IF(datePr_ch="",IF(datePr="","",datePr),datePr_ch)</f>
      </c>
      <c r="P8" s="2432"/>
      <c r="Q8" s="2432"/>
      <c r="R8" s="2432"/>
      <c r="S8" s="2432"/>
      <c r="T8" s="2433"/>
      <c r="U8" s="1253"/>
      <c r="Y8" s="360"/>
      <c r="Z8" s="360"/>
      <c r="AA8" s="360"/>
      <c r="AB8" s="360"/>
      <c r="AC8" s="360"/>
    </row>
    <row s="1877" customFormat="1" customHeight="1" ht="18.75">
      <c r="A9" s="360"/>
      <c r="B9" s="360"/>
      <c r="C9" s="360"/>
      <c r="D9" s="360"/>
      <c r="E9" s="360"/>
      <c r="F9" s="360"/>
      <c r="G9" s="360"/>
      <c r="H9" s="360"/>
      <c r="L9" s="310"/>
      <c r="M9" s="275" t="s">
        <v>435</v>
      </c>
      <c r="N9" s="284"/>
      <c r="O9" s="2431">
        <f>IF(numberPr_ch="",IF(numberPr="","",numberPr),numberPr_ch)</f>
      </c>
      <c r="P9" s="2432"/>
      <c r="Q9" s="2432"/>
      <c r="R9" s="2432"/>
      <c r="S9" s="2432"/>
      <c r="T9" s="2433"/>
      <c r="U9" s="1253"/>
      <c r="Y9" s="360"/>
      <c r="Z9" s="360"/>
      <c r="AA9" s="360"/>
      <c r="AB9" s="360"/>
      <c r="AC9" s="360"/>
    </row>
    <row s="1877" customFormat="1" customHeight="1" ht="18.75">
      <c r="A10" s="360"/>
      <c r="B10" s="360"/>
      <c r="C10" s="360"/>
      <c r="D10" s="360"/>
      <c r="E10" s="360"/>
      <c r="F10" s="360"/>
      <c r="G10" s="360"/>
      <c r="H10" s="360"/>
      <c r="L10" s="310"/>
      <c r="M10" s="275" t="s">
        <v>40</v>
      </c>
      <c r="N10" s="284"/>
      <c r="O10" s="2431">
        <f>IF(IstPub_ch="",IF(IstPub="","",IstPub),IstPub_ch)</f>
      </c>
      <c r="P10" s="2432"/>
      <c r="Q10" s="2432"/>
      <c r="R10" s="2432"/>
      <c r="S10" s="2432"/>
      <c r="T10" s="2433"/>
      <c r="U10" s="1253"/>
      <c r="Y10" s="360"/>
      <c r="Z10" s="360"/>
      <c r="AA10" s="360"/>
      <c r="AB10" s="360"/>
      <c r="AC10" s="360"/>
    </row>
    <row s="1877" customFormat="1" customHeight="1" ht="18.75" hidden="1">
      <c r="A11" s="1257"/>
      <c r="B11" s="1257"/>
      <c r="C11" s="1257"/>
      <c r="D11" s="1257"/>
      <c r="E11" s="1257"/>
      <c r="F11" s="1257"/>
      <c r="G11" s="1257"/>
      <c r="H11" s="1257"/>
      <c r="L11" s="310"/>
      <c r="M11" s="307"/>
      <c r="O11" s="1258"/>
      <c r="P11" s="1258"/>
      <c r="Q11" s="360" t="s">
        <v>2174</v>
      </c>
      <c r="R11" s="360" t="s">
        <v>2175</v>
      </c>
      <c r="S11" s="1258"/>
      <c r="T11" s="1258"/>
      <c r="U11" s="1253"/>
      <c r="Y11" s="1257"/>
      <c r="Z11" s="1257"/>
      <c r="AA11" s="1257"/>
      <c r="AB11" s="1257"/>
      <c r="AC11" s="1257"/>
    </row>
    <row s="1877" customFormat="1" customHeight="1" ht="11.25" hidden="1">
      <c r="A12" s="360"/>
      <c r="B12" s="360"/>
      <c r="C12" s="360"/>
      <c r="D12" s="360"/>
      <c r="E12" s="360"/>
      <c r="F12" s="360"/>
      <c r="G12" s="360"/>
      <c r="H12" s="360"/>
      <c r="L12" s="2422"/>
      <c r="M12" s="2422"/>
      <c r="N12" s="1220"/>
      <c r="O12" s="314"/>
      <c r="P12" s="314"/>
      <c r="Q12" s="314"/>
      <c r="R12" s="314"/>
      <c r="S12" s="314"/>
      <c r="T12" s="314"/>
      <c r="U12" s="1256"/>
      <c r="V12" s="259" t="s">
        <v>438</v>
      </c>
      <c r="Y12" s="360"/>
      <c r="Z12" s="360"/>
      <c r="AA12" s="360"/>
      <c r="AB12" s="360"/>
      <c r="AC12" s="360"/>
    </row>
    <row customHeight="1" ht="14.25">
      <c r="J13" s="368"/>
      <c r="K13" s="368"/>
      <c r="L13" s="353"/>
      <c r="M13" s="353"/>
      <c r="N13" s="353"/>
      <c r="O13" s="1259"/>
      <c r="P13" s="1259"/>
      <c r="Q13" s="2428"/>
      <c r="R13" s="2428"/>
      <c r="S13" s="2428"/>
      <c r="T13" s="2428"/>
      <c r="U13" s="2428"/>
      <c r="V13" s="2428"/>
    </row>
    <row customHeight="1" ht="14.25">
      <c r="J14" s="368"/>
      <c r="K14" s="368"/>
      <c r="L14" s="1953" t="s">
        <v>312</v>
      </c>
      <c r="M14" s="1953"/>
      <c r="N14" s="1953"/>
      <c r="O14" s="1953"/>
      <c r="P14" s="1953"/>
      <c r="Q14" s="1953"/>
      <c r="R14" s="1953"/>
      <c r="S14" s="1953"/>
      <c r="T14" s="1953"/>
      <c r="U14" s="1953"/>
      <c r="V14" s="1953"/>
      <c r="W14" s="1953"/>
      <c r="X14" s="1953" t="s">
        <v>313</v>
      </c>
    </row>
    <row customHeight="1" ht="14.25">
      <c r="J15" s="368"/>
      <c r="K15" s="368"/>
      <c r="L15" s="2044" t="s">
        <v>87</v>
      </c>
      <c r="M15" s="2044" t="s">
        <v>2176</v>
      </c>
      <c r="N15" s="1219"/>
      <c r="O15" s="2044" t="s">
        <v>2177</v>
      </c>
      <c r="P15" s="2043" t="s">
        <v>2178</v>
      </c>
      <c r="Q15" s="2043" t="s">
        <v>2158</v>
      </c>
      <c r="R15" s="2043"/>
      <c r="S15" s="2043"/>
      <c r="T15" s="2043"/>
      <c r="U15" s="2043"/>
      <c r="V15" s="2044" t="s">
        <v>441</v>
      </c>
      <c r="W15" s="2429" t="s">
        <v>1081</v>
      </c>
      <c r="X15" s="1953"/>
    </row>
    <row customHeight="1" ht="25.5">
      <c r="J16" s="368"/>
      <c r="K16" s="368"/>
      <c r="L16" s="2044"/>
      <c r="M16" s="2044"/>
      <c r="N16" s="1219"/>
      <c r="O16" s="2044"/>
      <c r="P16" s="2043"/>
      <c r="Q16" s="2043" t="s">
        <v>2179</v>
      </c>
      <c r="R16" s="2043"/>
      <c r="S16" s="2135" t="s">
        <v>464</v>
      </c>
      <c r="T16" s="2135"/>
      <c r="U16" s="2135"/>
      <c r="V16" s="2044"/>
      <c r="W16" s="2429"/>
      <c r="X16" s="1953"/>
    </row>
    <row customHeight="1" ht="14.25">
      <c r="J17" s="368"/>
      <c r="K17" s="368"/>
      <c r="L17" s="2044"/>
      <c r="M17" s="2044"/>
      <c r="N17" s="1219"/>
      <c r="O17" s="2044"/>
      <c r="P17" s="2043"/>
      <c r="Q17" s="1219" t="s">
        <v>497</v>
      </c>
      <c r="R17" s="1219" t="s">
        <v>498</v>
      </c>
      <c r="S17" s="1223" t="s">
        <v>457</v>
      </c>
      <c r="T17" s="2426" t="s">
        <v>458</v>
      </c>
      <c r="U17" s="2426"/>
      <c r="V17" s="2044"/>
      <c r="W17" s="2429"/>
      <c r="X17" s="1953"/>
    </row>
    <row customHeight="1" ht="14.25">
      <c r="J18" s="368"/>
      <c r="K18" s="272">
        <v>1</v>
      </c>
      <c r="L18" s="444" t="s">
        <v>108</v>
      </c>
      <c r="M18" s="444" t="s">
        <v>109</v>
      </c>
      <c r="N18" s="1255" t="s">
        <v>109</v>
      </c>
      <c r="O18" s="1221">
        <f>OFFSET(O18,0,-1)+1</f>
        <v>3</v>
      </c>
      <c r="P18" s="1221">
        <f>OFFSET(P18,0,-1)+1</f>
        <v>4</v>
      </c>
      <c r="Q18" s="1221">
        <f>OFFSET(Q18,0,-1)+1</f>
        <v>5</v>
      </c>
      <c r="R18" s="1221">
        <f>OFFSET(R18,0,-1)+1</f>
        <v>6</v>
      </c>
      <c r="S18" s="1221">
        <f>OFFSET(S18,0,-1)+1</f>
        <v>7</v>
      </c>
      <c r="T18" s="2427">
        <f>OFFSET(T18,0,-1)+1</f>
        <v>8</v>
      </c>
      <c r="U18" s="2427"/>
      <c r="V18" s="1221">
        <f>OFFSET(V18,0,-2)+1</f>
        <v>9</v>
      </c>
      <c r="X18" s="1221">
        <f>OFFSET(X18,0,-2)+1</f>
        <v>10</v>
      </c>
    </row>
    <row customHeight="1" ht="22.5">
      <c r="A19" s="2093">
        <v>1</v>
      </c>
      <c r="B19" s="514"/>
      <c r="C19" s="514"/>
      <c r="D19" s="514"/>
      <c r="E19" s="514"/>
      <c r="F19" s="514"/>
      <c r="G19" s="375"/>
      <c r="H19" s="375"/>
      <c r="I19" s="349"/>
      <c r="J19" s="368"/>
      <c r="K19" s="368"/>
      <c r="L19" s="1228">
        <f>MERGEVALUE(A19)</f>
      </c>
      <c r="M19" s="278" t="s">
        <v>122</v>
      </c>
      <c r="N19" s="297"/>
      <c r="O19" s="2313"/>
      <c r="P19" s="2313"/>
      <c r="Q19" s="2313"/>
      <c r="R19" s="2313"/>
      <c r="S19" s="2313"/>
      <c r="T19" s="2313"/>
      <c r="U19" s="2313"/>
      <c r="V19" s="2313"/>
      <c r="W19" s="2313"/>
      <c r="X19" s="333" t="s">
        <v>410</v>
      </c>
    </row>
    <row customHeight="1" ht="22.5">
      <c r="A20" s="2093"/>
      <c r="B20" s="2093">
        <v>1</v>
      </c>
      <c r="C20" s="514"/>
      <c r="D20" s="514"/>
      <c r="E20" s="514"/>
      <c r="F20" s="514"/>
      <c r="G20" s="377"/>
      <c r="H20" s="1222"/>
      <c r="I20" s="351"/>
      <c r="J20" s="1229"/>
      <c r="K20" s="1150"/>
      <c r="L20" s="1228">
        <f>MERGEVALUE(A20)&amp;"."&amp;MERGEVALUE(B20)</f>
      </c>
      <c r="M20" s="290" t="s">
        <v>411</v>
      </c>
      <c r="N20" s="297"/>
      <c r="O20" s="2313"/>
      <c r="P20" s="2313"/>
      <c r="Q20" s="2313"/>
      <c r="R20" s="2313"/>
      <c r="S20" s="2313"/>
      <c r="T20" s="2313"/>
      <c r="U20" s="2313"/>
      <c r="V20" s="2313"/>
      <c r="W20" s="2313"/>
      <c r="X20" s="333" t="s">
        <v>412</v>
      </c>
    </row>
    <row customHeight="1" ht="22.5">
      <c r="A21" s="2093"/>
      <c r="B21" s="2093"/>
      <c r="C21" s="2093">
        <v>1</v>
      </c>
      <c r="D21" s="514"/>
      <c r="E21" s="514"/>
      <c r="F21" s="514"/>
      <c r="G21" s="377"/>
      <c r="H21" s="1222"/>
      <c r="I21" s="352"/>
      <c r="J21" s="1229"/>
      <c r="K21" s="1150"/>
      <c r="L21" s="1228">
        <f>MERGEVALUE(A21)&amp;"."&amp;MERGEVALUE(B21)&amp;"."&amp;MERGEVALUE(C21)</f>
      </c>
      <c r="M21" s="291" t="s">
        <v>413</v>
      </c>
      <c r="N21" s="297"/>
      <c r="O21" s="2313"/>
      <c r="P21" s="2313"/>
      <c r="Q21" s="2313"/>
      <c r="R21" s="2313"/>
      <c r="S21" s="2313"/>
      <c r="T21" s="2313"/>
      <c r="U21" s="2313"/>
      <c r="V21" s="2313"/>
      <c r="W21" s="2313"/>
      <c r="X21" s="333" t="s">
        <v>414</v>
      </c>
    </row>
    <row customHeight="1" ht="14.25">
      <c r="A22" s="2093"/>
      <c r="B22" s="2093"/>
      <c r="C22" s="2093"/>
      <c r="D22" s="2093">
        <v>1</v>
      </c>
      <c r="E22" s="514"/>
      <c r="F22" s="514"/>
      <c r="G22" s="377"/>
      <c r="H22" s="1222"/>
      <c r="I22" s="352"/>
      <c r="J22" s="350"/>
      <c r="K22" s="1150"/>
      <c r="L22" s="1228">
        <f>MERGEVALUE(A22)&amp;"."&amp;MERGEVALUE(B22)&amp;"."&amp;MERGEVALUE(C22)&amp;"."&amp;MERGEVALUE(D22)</f>
      </c>
      <c r="M22" s="292" t="s">
        <v>415</v>
      </c>
      <c r="N22" s="297"/>
      <c r="O22" s="2313"/>
      <c r="P22" s="2313"/>
      <c r="Q22" s="2313"/>
      <c r="R22" s="2313"/>
      <c r="S22" s="2313"/>
      <c r="T22" s="2313"/>
      <c r="U22" s="2313"/>
      <c r="V22" s="2313"/>
      <c r="W22" s="2313"/>
      <c r="X22" s="325" t="s">
        <v>2180</v>
      </c>
    </row>
    <row customHeight="1" ht="22.5">
      <c r="A23" s="2093"/>
      <c r="B23" s="2093"/>
      <c r="C23" s="2093"/>
      <c r="D23" s="2093"/>
      <c r="E23" s="514">
        <v>1</v>
      </c>
      <c r="F23" s="514"/>
      <c r="G23" s="377"/>
      <c r="H23" s="1222"/>
      <c r="I23" s="352"/>
      <c r="J23" s="350"/>
      <c r="K23" s="447"/>
      <c r="L23" s="1228">
        <f>MERGEVALUE(A23)&amp;"."&amp;MERGEVALUE(B23)&amp;"."&amp;MERGEVALUE(C23)&amp;"."&amp;MERGEVALUE(D23)&amp;"."&amp;MERGEVALUE(E23)</f>
      </c>
      <c r="M23" s="370"/>
      <c r="N23" s="1225"/>
      <c r="O23" s="372"/>
      <c r="P23" s="373"/>
      <c r="Q23" s="285"/>
      <c r="R23" s="285"/>
      <c r="S23" s="1758"/>
      <c r="T23" s="1217" t="s">
        <v>56</v>
      </c>
      <c r="U23" s="1261"/>
      <c r="V23" s="1217" t="s">
        <v>56</v>
      </c>
      <c r="W23" s="1262"/>
      <c r="X23" s="1997" t="s">
        <v>2181</v>
      </c>
      <c r="Y23" s="507">
        <f>STRCHECKDATETWO(N23:W23)</f>
      </c>
    </row>
    <row customHeight="1" ht="14.25" hidden="1">
      <c r="A24" s="2093"/>
      <c r="B24" s="2093"/>
      <c r="C24" s="2093"/>
      <c r="D24" s="2093"/>
      <c r="E24" s="514"/>
      <c r="F24" s="514"/>
      <c r="G24" s="377"/>
      <c r="H24" s="1222"/>
      <c r="I24" s="352"/>
      <c r="J24" s="350"/>
      <c r="K24" s="447"/>
      <c r="L24" s="1227"/>
      <c r="M24" s="293"/>
      <c r="N24" s="280"/>
      <c r="O24" s="280"/>
      <c r="P24" s="280"/>
      <c r="Q24" s="280"/>
      <c r="R24" s="316" t="str">
        <f>S23&amp;"-"&amp;U23</f>
        <v>-</v>
      </c>
      <c r="S24" s="301"/>
      <c r="T24" s="298"/>
      <c r="U24" s="301"/>
      <c r="V24" s="280"/>
      <c r="W24" s="1263"/>
      <c r="X24" s="1998"/>
    </row>
    <row customHeight="1" ht="14.25">
      <c r="A25" s="2093"/>
      <c r="B25" s="2093"/>
      <c r="C25" s="2093"/>
      <c r="D25" s="2093"/>
      <c r="E25" s="514"/>
      <c r="F25" s="514"/>
      <c r="G25" s="377"/>
      <c r="H25" s="1222"/>
      <c r="I25" s="352"/>
      <c r="J25" s="350"/>
      <c r="K25" s="447"/>
      <c r="L25" s="289"/>
      <c r="M25" s="356" t="s">
        <v>486</v>
      </c>
      <c r="N25" s="355"/>
      <c r="O25" s="309"/>
      <c r="P25" s="309"/>
      <c r="Q25" s="309"/>
      <c r="R25" s="309"/>
      <c r="S25" s="313"/>
      <c r="T25" s="359"/>
      <c r="U25" s="358"/>
      <c r="V25" s="355"/>
      <c r="W25" s="355"/>
      <c r="X25" s="1999"/>
    </row>
    <row s="2437" customFormat="1" customHeight="1" ht="14.25">
      <c r="A26" s="2093"/>
      <c r="B26" s="2093"/>
      <c r="C26" s="2093"/>
      <c r="D26" s="376"/>
      <c r="E26" s="376"/>
      <c r="F26" s="376"/>
      <c r="G26" s="377"/>
      <c r="H26" s="376"/>
      <c r="I26" s="352"/>
      <c r="J26" s="367"/>
      <c r="K26" s="369"/>
      <c r="L26" s="289"/>
      <c r="M26" s="364" t="s">
        <v>597</v>
      </c>
      <c r="N26" s="355"/>
      <c r="O26" s="309"/>
      <c r="P26" s="309"/>
      <c r="Q26" s="309"/>
      <c r="R26" s="309"/>
      <c r="S26" s="313"/>
      <c r="T26" s="359"/>
      <c r="U26" s="358"/>
      <c r="V26" s="355"/>
      <c r="W26" s="359"/>
      <c r="X26" s="1264"/>
      <c r="Y26" s="374"/>
      <c r="Z26" s="374"/>
      <c r="AA26" s="374"/>
      <c r="AB26" s="374"/>
      <c r="AC26" s="374"/>
    </row>
    <row s="2437" customFormat="1" customHeight="1" ht="14.25">
      <c r="A27" s="2093"/>
      <c r="B27" s="2093"/>
      <c r="C27" s="376"/>
      <c r="D27" s="376"/>
      <c r="E27" s="376"/>
      <c r="F27" s="376"/>
      <c r="G27" s="377"/>
      <c r="H27" s="376"/>
      <c r="I27" s="348"/>
      <c r="J27" s="367"/>
      <c r="K27" s="369"/>
      <c r="L27" s="289"/>
      <c r="M27" s="355" t="s">
        <v>2159</v>
      </c>
      <c r="N27" s="355"/>
      <c r="O27" s="309"/>
      <c r="P27" s="309"/>
      <c r="Q27" s="309"/>
      <c r="R27" s="309"/>
      <c r="S27" s="313"/>
      <c r="T27" s="359"/>
      <c r="U27" s="358"/>
      <c r="V27" s="355"/>
      <c r="W27" s="359"/>
      <c r="X27" s="311"/>
      <c r="Y27" s="374"/>
      <c r="Z27" s="374"/>
      <c r="AA27" s="374"/>
      <c r="AB27" s="374"/>
      <c r="AC27" s="374"/>
    </row>
    <row s="2437" customFormat="1" customHeight="1" ht="14.25">
      <c r="A28" s="2093"/>
      <c r="B28" s="376"/>
      <c r="C28" s="376"/>
      <c r="D28" s="376"/>
      <c r="E28" s="376"/>
      <c r="F28" s="376"/>
      <c r="G28" s="377"/>
      <c r="H28" s="376"/>
      <c r="I28" s="348"/>
      <c r="J28" s="367"/>
      <c r="K28" s="369"/>
      <c r="L28" s="289"/>
      <c r="M28" s="412" t="s">
        <v>103</v>
      </c>
      <c r="N28" s="355"/>
      <c r="O28" s="309"/>
      <c r="P28" s="309"/>
      <c r="Q28" s="309"/>
      <c r="R28" s="309"/>
      <c r="S28" s="313"/>
      <c r="T28" s="359"/>
      <c r="U28" s="358"/>
      <c r="V28" s="355"/>
      <c r="W28" s="359"/>
      <c r="X28" s="311"/>
      <c r="Y28" s="374"/>
      <c r="Z28" s="374"/>
      <c r="AA28" s="374"/>
      <c r="AB28" s="374"/>
      <c r="AC28" s="374"/>
    </row>
    <row s="2437" customFormat="1" customHeight="1" ht="14.25">
      <c r="G29" s="357"/>
      <c r="H29" s="369"/>
      <c r="I29" s="366"/>
      <c r="J29" s="367"/>
      <c r="L29" s="289"/>
      <c r="M29" s="413" t="s">
        <v>179</v>
      </c>
      <c r="N29" s="355"/>
      <c r="O29" s="309"/>
      <c r="P29" s="309"/>
      <c r="Q29" s="309"/>
      <c r="R29" s="309"/>
      <c r="S29" s="313"/>
      <c r="T29" s="359"/>
      <c r="U29" s="358"/>
      <c r="V29" s="355"/>
      <c r="W29" s="359"/>
      <c r="X29" s="311"/>
      <c r="Y29" s="374"/>
      <c r="Z29" s="374"/>
      <c r="AA29" s="374"/>
      <c r="AB29" s="374"/>
      <c r="AC29" s="374"/>
    </row>
    <row r="31" customHeight="1" ht="14.25">
      <c r="L31" s="47">
        <v>1</v>
      </c>
      <c r="M31" s="2088" t="s">
        <v>2182</v>
      </c>
      <c r="N31" s="2088"/>
      <c r="O31" s="2088"/>
      <c r="P31" s="2088"/>
      <c r="Q31" s="2088"/>
      <c r="R31" s="2088"/>
      <c r="S31" s="2088"/>
      <c r="T31" s="2088"/>
      <c r="U31" s="2088"/>
      <c r="V31" s="2088"/>
      <c r="W31" s="2088"/>
      <c r="X31" s="2088"/>
      <c r="Y31" s="1265"/>
      <c r="Z31" s="361"/>
      <c r="AA31" s="361"/>
      <c r="AB31" s="361"/>
      <c r="AC31" s="361"/>
    </row>
    <row customHeight="1" ht="14.25">
      <c r="M32" s="1266"/>
      <c r="N32" s="1266"/>
      <c r="O32" s="1266"/>
      <c r="P32" s="1266"/>
      <c r="Q32" s="1266"/>
      <c r="R32" s="1266"/>
      <c r="S32" s="1266"/>
      <c r="T32" s="1266"/>
      <c r="U32" s="1266"/>
      <c r="V32" s="1266"/>
      <c r="W32" s="1266"/>
      <c r="X32" s="1266"/>
      <c r="Y32" s="506"/>
      <c r="Z32" s="506"/>
      <c r="AA32" s="506"/>
      <c r="AB32" s="506"/>
      <c r="AC32" s="50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EAC8D3-2144-1EEC-507B-3524FD9896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64DCC2-3478-CB4C-115A-E1BC1B2F3D9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AACFF3-E497-D6BA-7DE5-811B1E3B9FD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0E99CE-624F-6A63-DF24-8F782C5531F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116E9D-1DE6-B097-29E2-F990D93C867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DE5FC2-439D-9CA8-D04C-BB5432B59156}"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5E72B4-D2B3-29A4-7054-F5AFD9A341B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DFB2E6-34EA-A723-7DFA-51BE9759CB53}"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0"/>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136D1A-2389-BBDC-2623-2B8FCDE59DF1}"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48" t="s">
        <v>2183</v>
      </c>
      <c r="B1" s="759" t="s">
        <v>2184</v>
      </c>
      <c r="C1" s="2434" t="s">
        <v>2185</v>
      </c>
      <c r="D1" s="2435"/>
      <c r="E1" s="830" t="s">
        <v>2186</v>
      </c>
    </row>
    <row customHeight="1" ht="11.25">
      <c r="A2" s="752"/>
      <c r="B2" s="760" t="s">
        <v>22</v>
      </c>
      <c r="C2" s="748"/>
      <c r="D2" s="759"/>
      <c r="E2" s="830"/>
    </row>
    <row customHeight="1" ht="11.25">
      <c r="A3" s="763"/>
      <c r="B3" s="761" t="s">
        <v>29</v>
      </c>
      <c r="C3" s="748"/>
      <c r="D3" s="759"/>
      <c r="E3" s="830"/>
    </row>
    <row customHeight="1" ht="11.25">
      <c r="A4" s="764"/>
      <c r="B4" s="761" t="s">
        <v>1679</v>
      </c>
      <c r="C4" s="748"/>
      <c r="D4" s="759"/>
      <c r="E4" s="830"/>
    </row>
    <row customHeight="1" ht="11.25">
      <c r="A5" s="775"/>
      <c r="B5" s="761" t="s">
        <v>1673</v>
      </c>
      <c r="C5" s="751" t="s">
        <v>1922</v>
      </c>
      <c r="D5" s="874" t="s">
        <v>2187</v>
      </c>
      <c r="E5" s="830"/>
    </row>
    <row s="2437" customFormat="1" customHeight="1" ht="11.25">
      <c r="A6" s="762"/>
      <c r="B6" s="761" t="s">
        <v>1683</v>
      </c>
      <c r="C6" s="748"/>
      <c r="D6" s="759"/>
      <c r="E6" s="830"/>
    </row>
    <row customHeight="1" ht="11.25">
      <c r="A7" s="750"/>
      <c r="B7" s="761" t="s">
        <v>1691</v>
      </c>
      <c r="C7" s="748"/>
      <c r="D7" s="759"/>
      <c r="E7" s="830"/>
    </row>
    <row customHeight="1" ht="11.25">
      <c r="A8" s="751"/>
      <c r="B8" s="761" t="s">
        <v>1686</v>
      </c>
      <c r="C8" s="748"/>
      <c r="D8" s="759"/>
      <c r="E8" s="830"/>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9C0A56-DD73-4133-7E66-F61EA24B7D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22C996-759A-28BC-F3F7-37DAD344DD7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FB5B72-A07F-A629-B898-F6AA9BEE561A}" mc:Ignorable="x14ac xr xr2 xr3">
  <sheetPr>
    <tabColor rgb="FFFFCC99"/>
  </sheetPr>
  <dimension ref="A1:I299"/>
  <sheetViews>
    <sheetView topLeftCell="A1" showGridLines="0" workbookViewId="0">
      <selection activeCell="A1" sqref="A1"/>
    </sheetView>
  </sheetViews>
  <sheetFormatPr defaultColWidth="9.140625" customHeight="1" defaultRowHeight="11.25"/>
  <cols>
    <col min="1" max="2" style="2437" width="9.140625"/>
    <col min="3" max="3" style="2437" width="20.7109375" customWidth="1"/>
    <col min="4" max="4" style="2437" width="25.140625" customWidth="1"/>
    <col min="5" max="9" style="2437" width="9.140625"/>
  </cols>
  <sheetData>
    <row customHeight="1" ht="11.25">
      <c r="A1" s="0" t="s">
        <v>2188</v>
      </c>
      <c r="B1" s="0" t="s">
        <v>2189</v>
      </c>
      <c r="C1" s="0" t="s">
        <v>2190</v>
      </c>
      <c r="D1" s="0" t="s">
        <v>2191</v>
      </c>
      <c r="E1" s="0" t="s">
        <v>2192</v>
      </c>
      <c r="F1" s="0" t="s">
        <v>2193</v>
      </c>
      <c r="G1" s="0" t="s">
        <v>2194</v>
      </c>
      <c r="H1" s="0" t="s">
        <v>2195</v>
      </c>
      <c r="I1" s="0" t="s">
        <v>2196</v>
      </c>
    </row>
    <row customHeight="1" ht="11.25">
      <c r="A2" s="2437" t="s">
        <v>2197</v>
      </c>
      <c r="B2" s="2437" t="s">
        <v>14</v>
      </c>
      <c r="C2" s="2437" t="s">
        <v>2198</v>
      </c>
      <c r="D2" s="2437" t="s">
        <v>2199</v>
      </c>
      <c r="E2" s="2437" t="s">
        <v>2200</v>
      </c>
      <c r="F2" s="2437" t="s">
        <v>2201</v>
      </c>
      <c r="G2" s="2437" t="s">
        <v>24</v>
      </c>
      <c r="H2" s="2437" t="s">
        <v>24</v>
      </c>
      <c r="I2" s="2437" t="s">
        <v>733</v>
      </c>
    </row>
    <row customHeight="1" ht="11.25">
      <c r="A3" s="2437" t="s">
        <v>2197</v>
      </c>
      <c r="B3" s="2437" t="s">
        <v>14</v>
      </c>
      <c r="C3" s="2437" t="s">
        <v>2202</v>
      </c>
      <c r="D3" s="2437" t="s">
        <v>2203</v>
      </c>
      <c r="E3" s="2437" t="s">
        <v>2204</v>
      </c>
      <c r="F3" s="2437" t="s">
        <v>50</v>
      </c>
      <c r="G3" s="2437" t="s">
        <v>24</v>
      </c>
      <c r="H3" s="2437" t="s">
        <v>24</v>
      </c>
      <c r="I3" s="2437" t="s">
        <v>733</v>
      </c>
    </row>
    <row customHeight="1" ht="11.25">
      <c r="A4" s="2437" t="s">
        <v>2197</v>
      </c>
      <c r="B4" s="2437" t="s">
        <v>14</v>
      </c>
      <c r="C4" s="2437" t="s">
        <v>2205</v>
      </c>
      <c r="D4" s="2437" t="s">
        <v>2206</v>
      </c>
      <c r="E4" s="2437" t="s">
        <v>2207</v>
      </c>
      <c r="F4" s="2437" t="s">
        <v>2208</v>
      </c>
      <c r="G4" s="2437" t="s">
        <v>24</v>
      </c>
      <c r="H4" s="2437" t="s">
        <v>24</v>
      </c>
      <c r="I4" s="2437" t="s">
        <v>733</v>
      </c>
    </row>
    <row customHeight="1" ht="11.25">
      <c r="A5" s="2437" t="s">
        <v>2197</v>
      </c>
      <c r="B5" s="2437" t="s">
        <v>14</v>
      </c>
      <c r="C5" s="2437" t="s">
        <v>2209</v>
      </c>
      <c r="D5" s="2437" t="s">
        <v>2210</v>
      </c>
      <c r="E5" s="2437" t="s">
        <v>2211</v>
      </c>
      <c r="F5" s="2437" t="s">
        <v>2212</v>
      </c>
      <c r="G5" s="2437" t="s">
        <v>24</v>
      </c>
      <c r="H5" s="2437" t="s">
        <v>24</v>
      </c>
      <c r="I5" s="2437" t="s">
        <v>733</v>
      </c>
    </row>
    <row customHeight="1" ht="11.25">
      <c r="A6" s="2437" t="s">
        <v>2197</v>
      </c>
      <c r="B6" s="2437" t="s">
        <v>14</v>
      </c>
      <c r="C6" s="2437" t="s">
        <v>2213</v>
      </c>
      <c r="D6" s="2437" t="s">
        <v>2214</v>
      </c>
      <c r="E6" s="2437" t="s">
        <v>2215</v>
      </c>
      <c r="F6" s="2437" t="s">
        <v>2216</v>
      </c>
      <c r="G6" s="2437" t="s">
        <v>24</v>
      </c>
      <c r="H6" s="2437" t="s">
        <v>24</v>
      </c>
      <c r="I6" s="2437" t="s">
        <v>733</v>
      </c>
    </row>
    <row customHeight="1" ht="11.25">
      <c r="A7" s="2437" t="s">
        <v>2197</v>
      </c>
      <c r="B7" s="2437" t="s">
        <v>14</v>
      </c>
      <c r="C7" s="2437" t="s">
        <v>2217</v>
      </c>
      <c r="D7" s="2437" t="s">
        <v>2218</v>
      </c>
      <c r="E7" s="2437" t="s">
        <v>2219</v>
      </c>
      <c r="F7" s="2437" t="s">
        <v>2216</v>
      </c>
      <c r="G7" s="2437" t="s">
        <v>24</v>
      </c>
      <c r="H7" s="2437" t="s">
        <v>24</v>
      </c>
      <c r="I7" s="2437" t="s">
        <v>733</v>
      </c>
    </row>
    <row customHeight="1" ht="11.25">
      <c r="A8" s="2437" t="s">
        <v>2197</v>
      </c>
      <c r="B8" s="2437" t="s">
        <v>14</v>
      </c>
      <c r="C8" s="2437" t="s">
        <v>2220</v>
      </c>
      <c r="D8" s="2437" t="s">
        <v>2221</v>
      </c>
      <c r="E8" s="2437" t="s">
        <v>2222</v>
      </c>
      <c r="F8" s="2437" t="s">
        <v>2223</v>
      </c>
      <c r="G8" s="2437" t="s">
        <v>24</v>
      </c>
      <c r="H8" s="2437" t="s">
        <v>24</v>
      </c>
      <c r="I8" s="2437" t="s">
        <v>733</v>
      </c>
    </row>
    <row customHeight="1" ht="11.25">
      <c r="A9" s="2437" t="s">
        <v>2197</v>
      </c>
      <c r="B9" s="2437" t="s">
        <v>14</v>
      </c>
      <c r="C9" s="2437" t="s">
        <v>2224</v>
      </c>
      <c r="D9" s="2437" t="s">
        <v>2225</v>
      </c>
      <c r="E9" s="2437" t="s">
        <v>2226</v>
      </c>
      <c r="F9" s="2437" t="s">
        <v>2227</v>
      </c>
      <c r="G9" s="2437" t="s">
        <v>24</v>
      </c>
      <c r="H9" s="2437" t="s">
        <v>24</v>
      </c>
      <c r="I9" s="2437" t="s">
        <v>733</v>
      </c>
    </row>
    <row customHeight="1" ht="11.25">
      <c r="A10" s="2437" t="s">
        <v>2197</v>
      </c>
      <c r="B10" s="2437" t="s">
        <v>14</v>
      </c>
      <c r="C10" s="2437" t="s">
        <v>2228</v>
      </c>
      <c r="D10" s="2437" t="s">
        <v>2229</v>
      </c>
      <c r="E10" s="2437" t="s">
        <v>2230</v>
      </c>
      <c r="F10" s="2437" t="s">
        <v>2231</v>
      </c>
      <c r="G10" s="2437" t="s">
        <v>2232</v>
      </c>
      <c r="H10" s="2437" t="s">
        <v>24</v>
      </c>
      <c r="I10" s="2437" t="s">
        <v>733</v>
      </c>
    </row>
    <row customHeight="1" ht="11.25">
      <c r="A11" s="2437" t="s">
        <v>2197</v>
      </c>
      <c r="B11" s="2437" t="s">
        <v>14</v>
      </c>
      <c r="C11" s="2437" t="s">
        <v>2233</v>
      </c>
      <c r="D11" s="2437" t="s">
        <v>2229</v>
      </c>
      <c r="E11" s="2437" t="s">
        <v>2230</v>
      </c>
      <c r="F11" s="2437" t="s">
        <v>2234</v>
      </c>
      <c r="G11" s="2437" t="s">
        <v>24</v>
      </c>
      <c r="H11" s="2437" t="s">
        <v>24</v>
      </c>
      <c r="I11" s="2437" t="s">
        <v>733</v>
      </c>
    </row>
    <row customHeight="1" ht="11.25">
      <c r="A12" s="2437" t="s">
        <v>2197</v>
      </c>
      <c r="B12" s="2437" t="s">
        <v>14</v>
      </c>
      <c r="C12" s="2437" t="s">
        <v>2235</v>
      </c>
      <c r="D12" s="2437" t="s">
        <v>2236</v>
      </c>
      <c r="E12" s="2437" t="s">
        <v>2237</v>
      </c>
      <c r="F12" s="2437" t="s">
        <v>2238</v>
      </c>
      <c r="G12" s="2437" t="s">
        <v>24</v>
      </c>
      <c r="H12" s="2437" t="s">
        <v>24</v>
      </c>
      <c r="I12" s="2437" t="s">
        <v>733</v>
      </c>
    </row>
    <row customHeight="1" ht="11.25">
      <c r="A13" s="2437" t="s">
        <v>2197</v>
      </c>
      <c r="B13" s="2437" t="s">
        <v>14</v>
      </c>
      <c r="C13" s="2437" t="s">
        <v>2239</v>
      </c>
      <c r="D13" s="2437" t="s">
        <v>2240</v>
      </c>
      <c r="E13" s="2437" t="s">
        <v>2241</v>
      </c>
      <c r="F13" s="2437" t="s">
        <v>2212</v>
      </c>
      <c r="G13" s="2437" t="s">
        <v>24</v>
      </c>
      <c r="H13" s="2437" t="s">
        <v>24</v>
      </c>
      <c r="I13" s="2437" t="s">
        <v>733</v>
      </c>
    </row>
    <row customHeight="1" ht="11.25">
      <c r="A14" s="2437" t="s">
        <v>2197</v>
      </c>
      <c r="B14" s="2437" t="s">
        <v>14</v>
      </c>
      <c r="C14" s="2437" t="s">
        <v>2242</v>
      </c>
      <c r="D14" s="2437" t="s">
        <v>2243</v>
      </c>
      <c r="E14" s="2437" t="s">
        <v>2244</v>
      </c>
      <c r="F14" s="2437" t="s">
        <v>2212</v>
      </c>
      <c r="G14" s="2437" t="s">
        <v>2245</v>
      </c>
      <c r="H14" s="2437" t="s">
        <v>24</v>
      </c>
      <c r="I14" s="2437" t="s">
        <v>733</v>
      </c>
    </row>
    <row customHeight="1" ht="11.25">
      <c r="A15" s="2437" t="s">
        <v>2197</v>
      </c>
      <c r="B15" s="2437" t="s">
        <v>14</v>
      </c>
      <c r="C15" s="2437" t="s">
        <v>2246</v>
      </c>
      <c r="D15" s="2437" t="s">
        <v>2247</v>
      </c>
      <c r="E15" s="2437" t="s">
        <v>2248</v>
      </c>
      <c r="F15" s="2437" t="s">
        <v>50</v>
      </c>
      <c r="G15" s="2437" t="s">
        <v>24</v>
      </c>
      <c r="H15" s="2437" t="s">
        <v>24</v>
      </c>
      <c r="I15" s="2437" t="s">
        <v>733</v>
      </c>
    </row>
    <row customHeight="1" ht="11.25">
      <c r="A16" s="2437" t="s">
        <v>2197</v>
      </c>
      <c r="B16" s="2437" t="s">
        <v>14</v>
      </c>
      <c r="C16" s="2437" t="s">
        <v>2249</v>
      </c>
      <c r="D16" s="2437" t="s">
        <v>2250</v>
      </c>
      <c r="E16" s="2437" t="s">
        <v>2251</v>
      </c>
      <c r="F16" s="2437" t="s">
        <v>2216</v>
      </c>
      <c r="G16" s="2437" t="s">
        <v>24</v>
      </c>
      <c r="H16" s="2437" t="s">
        <v>24</v>
      </c>
      <c r="I16" s="2437" t="s">
        <v>733</v>
      </c>
    </row>
    <row customHeight="1" ht="11.25">
      <c r="A17" s="2437" t="s">
        <v>2197</v>
      </c>
      <c r="B17" s="2437" t="s">
        <v>14</v>
      </c>
      <c r="C17" s="2437" t="s">
        <v>2252</v>
      </c>
      <c r="D17" s="2437" t="s">
        <v>2253</v>
      </c>
      <c r="E17" s="2437" t="s">
        <v>2254</v>
      </c>
      <c r="F17" s="2437" t="s">
        <v>50</v>
      </c>
      <c r="G17" s="2437" t="s">
        <v>24</v>
      </c>
      <c r="H17" s="2437" t="s">
        <v>24</v>
      </c>
      <c r="I17" s="2437" t="s">
        <v>733</v>
      </c>
    </row>
    <row customHeight="1" ht="11.25">
      <c r="A18" s="2437" t="s">
        <v>2197</v>
      </c>
      <c r="B18" s="2437" t="s">
        <v>14</v>
      </c>
      <c r="C18" s="2437" t="s">
        <v>2255</v>
      </c>
      <c r="D18" s="2437" t="s">
        <v>2256</v>
      </c>
      <c r="E18" s="2437" t="s">
        <v>2257</v>
      </c>
      <c r="F18" s="2437" t="s">
        <v>2201</v>
      </c>
      <c r="G18" s="2437" t="s">
        <v>24</v>
      </c>
      <c r="H18" s="2437" t="s">
        <v>24</v>
      </c>
      <c r="I18" s="2437" t="s">
        <v>733</v>
      </c>
    </row>
    <row customHeight="1" ht="11.25">
      <c r="A19" s="2437" t="s">
        <v>2197</v>
      </c>
      <c r="B19" s="2437" t="s">
        <v>14</v>
      </c>
      <c r="C19" s="2437" t="s">
        <v>2258</v>
      </c>
      <c r="D19" s="2437" t="s">
        <v>2259</v>
      </c>
      <c r="E19" s="2437" t="s">
        <v>2260</v>
      </c>
      <c r="F19" s="2437" t="s">
        <v>2261</v>
      </c>
      <c r="G19" s="2437" t="s">
        <v>24</v>
      </c>
      <c r="H19" s="2437" t="s">
        <v>24</v>
      </c>
      <c r="I19" s="2437" t="s">
        <v>733</v>
      </c>
    </row>
    <row customHeight="1" ht="11.25">
      <c r="A20" s="2437" t="s">
        <v>2197</v>
      </c>
      <c r="B20" s="2437" t="s">
        <v>14</v>
      </c>
      <c r="C20" s="2437" t="s">
        <v>2262</v>
      </c>
      <c r="D20" s="2437" t="s">
        <v>2263</v>
      </c>
      <c r="E20" s="2437" t="s">
        <v>2264</v>
      </c>
      <c r="F20" s="2437" t="s">
        <v>2265</v>
      </c>
      <c r="G20" s="2437" t="s">
        <v>24</v>
      </c>
      <c r="H20" s="2437" t="s">
        <v>24</v>
      </c>
      <c r="I20" s="2437" t="s">
        <v>733</v>
      </c>
    </row>
    <row customHeight="1" ht="11.25">
      <c r="A21" s="2437" t="s">
        <v>2197</v>
      </c>
      <c r="B21" s="2437" t="s">
        <v>14</v>
      </c>
      <c r="C21" s="2437" t="s">
        <v>2266</v>
      </c>
      <c r="D21" s="2437" t="s">
        <v>2267</v>
      </c>
      <c r="E21" s="2437" t="s">
        <v>2268</v>
      </c>
      <c r="F21" s="2437" t="s">
        <v>2208</v>
      </c>
      <c r="G21" s="2437" t="s">
        <v>24</v>
      </c>
      <c r="H21" s="2437" t="s">
        <v>24</v>
      </c>
      <c r="I21" s="2437" t="s">
        <v>733</v>
      </c>
    </row>
    <row customHeight="1" ht="11.25">
      <c r="A22" s="2437" t="s">
        <v>2197</v>
      </c>
      <c r="B22" s="2437" t="s">
        <v>14</v>
      </c>
      <c r="C22" s="2437" t="s">
        <v>2269</v>
      </c>
      <c r="D22" s="2437" t="s">
        <v>2270</v>
      </c>
      <c r="E22" s="2437" t="s">
        <v>2271</v>
      </c>
      <c r="F22" s="2437" t="s">
        <v>2208</v>
      </c>
      <c r="G22" s="2437" t="s">
        <v>24</v>
      </c>
      <c r="H22" s="2437" t="s">
        <v>24</v>
      </c>
      <c r="I22" s="2437" t="s">
        <v>733</v>
      </c>
    </row>
    <row customHeight="1" ht="11.25">
      <c r="A23" s="2437" t="s">
        <v>2197</v>
      </c>
      <c r="B23" s="2437" t="s">
        <v>14</v>
      </c>
      <c r="C23" s="2437" t="s">
        <v>2272</v>
      </c>
      <c r="D23" s="2437" t="s">
        <v>2273</v>
      </c>
      <c r="E23" s="2437" t="s">
        <v>2274</v>
      </c>
      <c r="F23" s="2437" t="s">
        <v>2275</v>
      </c>
      <c r="G23" s="2437" t="s">
        <v>24</v>
      </c>
      <c r="H23" s="2437" t="s">
        <v>24</v>
      </c>
      <c r="I23" s="2437" t="s">
        <v>733</v>
      </c>
    </row>
    <row customHeight="1" ht="11.25">
      <c r="A24" s="2437" t="s">
        <v>2197</v>
      </c>
      <c r="B24" s="2437" t="s">
        <v>14</v>
      </c>
      <c r="C24" s="2437" t="s">
        <v>2276</v>
      </c>
      <c r="D24" s="2437" t="s">
        <v>2277</v>
      </c>
      <c r="E24" s="2437" t="s">
        <v>2278</v>
      </c>
      <c r="F24" s="2437" t="s">
        <v>2279</v>
      </c>
      <c r="G24" s="2437" t="s">
        <v>24</v>
      </c>
      <c r="H24" s="2437" t="s">
        <v>24</v>
      </c>
      <c r="I24" s="2437" t="s">
        <v>733</v>
      </c>
    </row>
    <row customHeight="1" ht="11.25">
      <c r="A25" s="2437" t="s">
        <v>2197</v>
      </c>
      <c r="B25" s="2437" t="s">
        <v>14</v>
      </c>
      <c r="C25" s="2437" t="s">
        <v>2280</v>
      </c>
      <c r="D25" s="2437" t="s">
        <v>2281</v>
      </c>
      <c r="E25" s="2437" t="s">
        <v>2282</v>
      </c>
      <c r="F25" s="2437" t="s">
        <v>2201</v>
      </c>
      <c r="G25" s="2437" t="s">
        <v>24</v>
      </c>
      <c r="H25" s="2437" t="s">
        <v>24</v>
      </c>
      <c r="I25" s="2437" t="s">
        <v>733</v>
      </c>
    </row>
    <row customHeight="1" ht="11.25">
      <c r="A26" s="2437" t="s">
        <v>2197</v>
      </c>
      <c r="B26" s="2437" t="s">
        <v>14</v>
      </c>
      <c r="C26" s="2437" t="s">
        <v>2283</v>
      </c>
      <c r="D26" s="2437" t="s">
        <v>2284</v>
      </c>
      <c r="E26" s="2437" t="s">
        <v>2285</v>
      </c>
      <c r="F26" s="2437" t="s">
        <v>50</v>
      </c>
      <c r="G26" s="2437" t="s">
        <v>24</v>
      </c>
      <c r="H26" s="2437" t="s">
        <v>24</v>
      </c>
      <c r="I26" s="2437" t="s">
        <v>733</v>
      </c>
    </row>
    <row customHeight="1" ht="11.25">
      <c r="A27" s="2437" t="s">
        <v>2197</v>
      </c>
      <c r="B27" s="2437" t="s">
        <v>14</v>
      </c>
      <c r="C27" s="2437" t="s">
        <v>2286</v>
      </c>
      <c r="D27" s="2437" t="s">
        <v>2287</v>
      </c>
      <c r="E27" s="2437" t="s">
        <v>2288</v>
      </c>
      <c r="F27" s="2437" t="s">
        <v>2201</v>
      </c>
      <c r="G27" s="2437" t="s">
        <v>24</v>
      </c>
      <c r="H27" s="2437" t="s">
        <v>24</v>
      </c>
      <c r="I27" s="2437" t="s">
        <v>733</v>
      </c>
    </row>
    <row customHeight="1" ht="11.25">
      <c r="A28" s="2437" t="s">
        <v>2197</v>
      </c>
      <c r="B28" s="2437" t="s">
        <v>14</v>
      </c>
      <c r="C28" s="2437" t="s">
        <v>2289</v>
      </c>
      <c r="D28" s="2437" t="s">
        <v>2290</v>
      </c>
      <c r="E28" s="2437" t="s">
        <v>2291</v>
      </c>
      <c r="F28" s="2437" t="s">
        <v>2208</v>
      </c>
      <c r="G28" s="2437" t="s">
        <v>2292</v>
      </c>
      <c r="H28" s="2437" t="s">
        <v>24</v>
      </c>
      <c r="I28" s="2437" t="s">
        <v>733</v>
      </c>
    </row>
    <row customHeight="1" ht="11.25">
      <c r="A29" s="2437" t="s">
        <v>2197</v>
      </c>
      <c r="B29" s="2437" t="s">
        <v>14</v>
      </c>
      <c r="C29" s="2437" t="s">
        <v>2293</v>
      </c>
      <c r="D29" s="2437" t="s">
        <v>2294</v>
      </c>
      <c r="E29" s="2437" t="s">
        <v>2295</v>
      </c>
      <c r="F29" s="2437" t="s">
        <v>2296</v>
      </c>
      <c r="G29" s="2437" t="s">
        <v>24</v>
      </c>
      <c r="H29" s="2437" t="s">
        <v>24</v>
      </c>
      <c r="I29" s="2437" t="s">
        <v>733</v>
      </c>
    </row>
    <row customHeight="1" ht="11.25">
      <c r="A30" s="2437" t="s">
        <v>2197</v>
      </c>
      <c r="B30" s="2437" t="s">
        <v>14</v>
      </c>
      <c r="C30" s="2437" t="s">
        <v>2297</v>
      </c>
      <c r="D30" s="2437" t="s">
        <v>2298</v>
      </c>
      <c r="E30" s="2437" t="s">
        <v>2299</v>
      </c>
      <c r="F30" s="2437" t="s">
        <v>2300</v>
      </c>
      <c r="G30" s="2437" t="s">
        <v>24</v>
      </c>
      <c r="H30" s="2437" t="s">
        <v>24</v>
      </c>
      <c r="I30" s="2437" t="s">
        <v>733</v>
      </c>
    </row>
    <row customHeight="1" ht="11.25">
      <c r="A31" s="2437" t="s">
        <v>2197</v>
      </c>
      <c r="B31" s="2437" t="s">
        <v>14</v>
      </c>
      <c r="C31" s="2437" t="s">
        <v>2301</v>
      </c>
      <c r="D31" s="2437" t="s">
        <v>2302</v>
      </c>
      <c r="E31" s="2437" t="s">
        <v>2303</v>
      </c>
      <c r="F31" s="2437" t="s">
        <v>2304</v>
      </c>
      <c r="G31" s="2437" t="s">
        <v>24</v>
      </c>
      <c r="H31" s="2437" t="s">
        <v>24</v>
      </c>
      <c r="I31" s="2437" t="s">
        <v>733</v>
      </c>
    </row>
    <row customHeight="1" ht="11.25">
      <c r="A32" s="2437" t="s">
        <v>2197</v>
      </c>
      <c r="B32" s="2437" t="s">
        <v>14</v>
      </c>
      <c r="C32" s="2437" t="s">
        <v>2305</v>
      </c>
      <c r="D32" s="2437" t="s">
        <v>2306</v>
      </c>
      <c r="E32" s="2437" t="s">
        <v>2307</v>
      </c>
      <c r="F32" s="2437" t="s">
        <v>2227</v>
      </c>
      <c r="G32" s="2437" t="s">
        <v>24</v>
      </c>
      <c r="H32" s="2437" t="s">
        <v>24</v>
      </c>
      <c r="I32" s="2437" t="s">
        <v>733</v>
      </c>
    </row>
    <row customHeight="1" ht="11.25">
      <c r="A33" s="2437" t="s">
        <v>2197</v>
      </c>
      <c r="B33" s="2437" t="s">
        <v>14</v>
      </c>
      <c r="C33" s="2437" t="s">
        <v>2308</v>
      </c>
      <c r="D33" s="2437" t="s">
        <v>2309</v>
      </c>
      <c r="E33" s="2437" t="s">
        <v>2310</v>
      </c>
      <c r="F33" s="2437" t="s">
        <v>2311</v>
      </c>
      <c r="G33" s="2437" t="s">
        <v>24</v>
      </c>
      <c r="H33" s="2437" t="s">
        <v>24</v>
      </c>
      <c r="I33" s="2437" t="s">
        <v>733</v>
      </c>
    </row>
    <row customHeight="1" ht="11.25">
      <c r="A34" s="2437" t="s">
        <v>2197</v>
      </c>
      <c r="B34" s="2437" t="s">
        <v>14</v>
      </c>
      <c r="C34" s="2437" t="s">
        <v>2312</v>
      </c>
      <c r="D34" s="2437" t="s">
        <v>2313</v>
      </c>
      <c r="E34" s="2437" t="s">
        <v>2314</v>
      </c>
      <c r="F34" s="2437" t="s">
        <v>2216</v>
      </c>
      <c r="G34" s="2437" t="s">
        <v>24</v>
      </c>
      <c r="H34" s="2437" t="s">
        <v>24</v>
      </c>
      <c r="I34" s="2437" t="s">
        <v>733</v>
      </c>
    </row>
    <row customHeight="1" ht="11.25">
      <c r="A35" s="2437" t="s">
        <v>2197</v>
      </c>
      <c r="B35" s="2437" t="s">
        <v>14</v>
      </c>
      <c r="C35" s="2437" t="s">
        <v>2315</v>
      </c>
      <c r="D35" s="2437" t="s">
        <v>2316</v>
      </c>
      <c r="E35" s="2437" t="s">
        <v>2317</v>
      </c>
      <c r="F35" s="2437" t="s">
        <v>2208</v>
      </c>
      <c r="G35" s="2437" t="s">
        <v>24</v>
      </c>
      <c r="H35" s="2437" t="s">
        <v>24</v>
      </c>
      <c r="I35" s="2437" t="s">
        <v>733</v>
      </c>
    </row>
    <row customHeight="1" ht="11.25">
      <c r="A36" s="2437" t="s">
        <v>2197</v>
      </c>
      <c r="B36" s="2437" t="s">
        <v>14</v>
      </c>
      <c r="C36" s="2437" t="s">
        <v>2318</v>
      </c>
      <c r="D36" s="2437" t="s">
        <v>2319</v>
      </c>
      <c r="E36" s="2437" t="s">
        <v>2320</v>
      </c>
      <c r="F36" s="2437" t="s">
        <v>2261</v>
      </c>
      <c r="G36" s="2437" t="s">
        <v>24</v>
      </c>
      <c r="H36" s="2437" t="s">
        <v>24</v>
      </c>
      <c r="I36" s="2437" t="s">
        <v>733</v>
      </c>
    </row>
    <row customHeight="1" ht="11.25">
      <c r="A37" s="2437" t="s">
        <v>2197</v>
      </c>
      <c r="B37" s="2437" t="s">
        <v>14</v>
      </c>
      <c r="C37" s="2437" t="s">
        <v>2321</v>
      </c>
      <c r="D37" s="2437" t="s">
        <v>2322</v>
      </c>
      <c r="E37" s="2437" t="s">
        <v>2323</v>
      </c>
      <c r="F37" s="2437" t="s">
        <v>2201</v>
      </c>
      <c r="G37" s="2437" t="s">
        <v>2324</v>
      </c>
      <c r="H37" s="2437" t="s">
        <v>24</v>
      </c>
      <c r="I37" s="2437" t="s">
        <v>733</v>
      </c>
    </row>
    <row customHeight="1" ht="11.25">
      <c r="A38" s="2437" t="s">
        <v>2197</v>
      </c>
      <c r="B38" s="2437" t="s">
        <v>14</v>
      </c>
      <c r="C38" s="2437" t="s">
        <v>2325</v>
      </c>
      <c r="D38" s="2437" t="s">
        <v>2326</v>
      </c>
      <c r="E38" s="2437" t="s">
        <v>2327</v>
      </c>
      <c r="F38" s="2437" t="s">
        <v>2238</v>
      </c>
      <c r="G38" s="2437" t="s">
        <v>24</v>
      </c>
      <c r="H38" s="2437" t="s">
        <v>24</v>
      </c>
      <c r="I38" s="2437" t="s">
        <v>733</v>
      </c>
    </row>
    <row customHeight="1" ht="11.25">
      <c r="A39" s="2437" t="s">
        <v>2197</v>
      </c>
      <c r="B39" s="2437" t="s">
        <v>14</v>
      </c>
      <c r="C39" s="2437" t="s">
        <v>2328</v>
      </c>
      <c r="D39" s="2437" t="s">
        <v>2329</v>
      </c>
      <c r="E39" s="2437" t="s">
        <v>2330</v>
      </c>
      <c r="F39" s="2437" t="s">
        <v>50</v>
      </c>
      <c r="G39" s="2437" t="s">
        <v>24</v>
      </c>
      <c r="H39" s="2437" t="s">
        <v>24</v>
      </c>
      <c r="I39" s="2437" t="s">
        <v>733</v>
      </c>
    </row>
    <row customHeight="1" ht="11.25">
      <c r="A40" s="2437" t="s">
        <v>2197</v>
      </c>
      <c r="B40" s="2437" t="s">
        <v>14</v>
      </c>
      <c r="C40" s="2437" t="s">
        <v>2331</v>
      </c>
      <c r="D40" s="2437" t="s">
        <v>2332</v>
      </c>
      <c r="E40" s="2437" t="s">
        <v>2333</v>
      </c>
      <c r="F40" s="2437" t="s">
        <v>2238</v>
      </c>
      <c r="G40" s="2437" t="s">
        <v>24</v>
      </c>
      <c r="H40" s="2437" t="s">
        <v>24</v>
      </c>
      <c r="I40" s="2437" t="s">
        <v>733</v>
      </c>
    </row>
    <row customHeight="1" ht="11.25">
      <c r="A41" s="2437" t="s">
        <v>2197</v>
      </c>
      <c r="B41" s="2437" t="s">
        <v>14</v>
      </c>
      <c r="C41" s="2437" t="s">
        <v>2334</v>
      </c>
      <c r="D41" s="2437" t="s">
        <v>2335</v>
      </c>
      <c r="E41" s="2437" t="s">
        <v>2336</v>
      </c>
      <c r="F41" s="2437" t="s">
        <v>2337</v>
      </c>
      <c r="G41" s="2437" t="s">
        <v>24</v>
      </c>
      <c r="H41" s="2437" t="s">
        <v>24</v>
      </c>
      <c r="I41" s="2437" t="s">
        <v>733</v>
      </c>
    </row>
    <row customHeight="1" ht="11.25">
      <c r="A42" s="2437" t="s">
        <v>2197</v>
      </c>
      <c r="B42" s="2437" t="s">
        <v>14</v>
      </c>
      <c r="C42" s="2437" t="s">
        <v>2338</v>
      </c>
      <c r="D42" s="2437" t="s">
        <v>2339</v>
      </c>
      <c r="E42" s="2437" t="s">
        <v>2340</v>
      </c>
      <c r="F42" s="2437" t="s">
        <v>2201</v>
      </c>
      <c r="G42" s="2437" t="s">
        <v>24</v>
      </c>
      <c r="H42" s="2437" t="s">
        <v>24</v>
      </c>
      <c r="I42" s="2437" t="s">
        <v>733</v>
      </c>
    </row>
    <row customHeight="1" ht="11.25">
      <c r="A43" s="2437" t="s">
        <v>2197</v>
      </c>
      <c r="B43" s="2437" t="s">
        <v>14</v>
      </c>
      <c r="C43" s="2437" t="s">
        <v>2341</v>
      </c>
      <c r="D43" s="2437" t="s">
        <v>2342</v>
      </c>
      <c r="E43" s="2437" t="s">
        <v>2343</v>
      </c>
      <c r="F43" s="2437" t="s">
        <v>2216</v>
      </c>
      <c r="G43" s="2437" t="s">
        <v>24</v>
      </c>
      <c r="H43" s="2437" t="s">
        <v>24</v>
      </c>
      <c r="I43" s="2437" t="s">
        <v>733</v>
      </c>
    </row>
    <row customHeight="1" ht="11.25">
      <c r="A44" s="2437" t="s">
        <v>2197</v>
      </c>
      <c r="B44" s="2437" t="s">
        <v>14</v>
      </c>
      <c r="C44" s="2437" t="s">
        <v>2344</v>
      </c>
      <c r="D44" s="2437" t="s">
        <v>2345</v>
      </c>
      <c r="E44" s="2437" t="s">
        <v>2230</v>
      </c>
      <c r="F44" s="2437" t="s">
        <v>2346</v>
      </c>
      <c r="G44" s="2437" t="s">
        <v>2347</v>
      </c>
      <c r="H44" s="2437" t="s">
        <v>24</v>
      </c>
      <c r="I44" s="2437" t="s">
        <v>733</v>
      </c>
    </row>
    <row customHeight="1" ht="11.25">
      <c r="A45" s="2437" t="s">
        <v>2197</v>
      </c>
      <c r="B45" s="2437" t="s">
        <v>14</v>
      </c>
      <c r="C45" s="2437" t="s">
        <v>2348</v>
      </c>
      <c r="D45" s="2437" t="s">
        <v>2349</v>
      </c>
      <c r="E45" s="2437" t="s">
        <v>2350</v>
      </c>
      <c r="F45" s="2437" t="s">
        <v>2216</v>
      </c>
      <c r="G45" s="2437" t="s">
        <v>2351</v>
      </c>
      <c r="H45" s="2437" t="s">
        <v>24</v>
      </c>
      <c r="I45" s="2437" t="s">
        <v>733</v>
      </c>
    </row>
    <row customHeight="1" ht="11.25">
      <c r="A46" s="2437" t="s">
        <v>2197</v>
      </c>
      <c r="B46" s="2437" t="s">
        <v>14</v>
      </c>
      <c r="C46" s="2437" t="s">
        <v>2352</v>
      </c>
      <c r="D46" s="2437" t="s">
        <v>2353</v>
      </c>
      <c r="E46" s="2437" t="s">
        <v>2354</v>
      </c>
      <c r="F46" s="2437" t="s">
        <v>2238</v>
      </c>
      <c r="G46" s="2437" t="s">
        <v>24</v>
      </c>
      <c r="H46" s="2437" t="s">
        <v>24</v>
      </c>
      <c r="I46" s="2437" t="s">
        <v>733</v>
      </c>
    </row>
    <row customHeight="1" ht="11.25">
      <c r="A47" s="2437" t="s">
        <v>2197</v>
      </c>
      <c r="B47" s="2437" t="s">
        <v>14</v>
      </c>
      <c r="C47" s="2437" t="s">
        <v>2355</v>
      </c>
      <c r="D47" s="2437" t="s">
        <v>2356</v>
      </c>
      <c r="E47" s="2437" t="s">
        <v>2357</v>
      </c>
      <c r="F47" s="2437" t="s">
        <v>2358</v>
      </c>
      <c r="G47" s="2437" t="s">
        <v>24</v>
      </c>
      <c r="H47" s="2437" t="s">
        <v>24</v>
      </c>
      <c r="I47" s="2437" t="s">
        <v>733</v>
      </c>
    </row>
    <row customHeight="1" ht="11.25">
      <c r="A48" s="2437" t="s">
        <v>2197</v>
      </c>
      <c r="B48" s="2437" t="s">
        <v>14</v>
      </c>
      <c r="C48" s="2437" t="s">
        <v>2359</v>
      </c>
      <c r="D48" s="2437" t="s">
        <v>2360</v>
      </c>
      <c r="E48" s="2437" t="s">
        <v>2361</v>
      </c>
      <c r="F48" s="2437" t="s">
        <v>2208</v>
      </c>
      <c r="G48" s="2437" t="s">
        <v>24</v>
      </c>
      <c r="H48" s="2437" t="s">
        <v>24</v>
      </c>
      <c r="I48" s="2437" t="s">
        <v>733</v>
      </c>
    </row>
    <row customHeight="1" ht="11.25">
      <c r="A49" s="2437" t="s">
        <v>2197</v>
      </c>
      <c r="B49" s="2437" t="s">
        <v>14</v>
      </c>
      <c r="C49" s="2437" t="s">
        <v>2362</v>
      </c>
      <c r="D49" s="2437" t="s">
        <v>2363</v>
      </c>
      <c r="E49" s="2437" t="s">
        <v>2364</v>
      </c>
      <c r="F49" s="2437" t="s">
        <v>2296</v>
      </c>
      <c r="G49" s="2437" t="s">
        <v>24</v>
      </c>
      <c r="H49" s="2437" t="s">
        <v>24</v>
      </c>
      <c r="I49" s="2437" t="s">
        <v>733</v>
      </c>
    </row>
    <row customHeight="1" ht="11.25">
      <c r="A50" s="2437" t="s">
        <v>2197</v>
      </c>
      <c r="B50" s="2437" t="s">
        <v>14</v>
      </c>
      <c r="C50" s="2437" t="s">
        <v>2365</v>
      </c>
      <c r="D50" s="2437" t="s">
        <v>2366</v>
      </c>
      <c r="E50" s="2437" t="s">
        <v>2367</v>
      </c>
      <c r="F50" s="2437" t="s">
        <v>2296</v>
      </c>
      <c r="G50" s="2437" t="s">
        <v>24</v>
      </c>
      <c r="H50" s="2437" t="s">
        <v>24</v>
      </c>
      <c r="I50" s="2437" t="s">
        <v>733</v>
      </c>
    </row>
    <row customHeight="1" ht="11.25">
      <c r="A51" s="2437" t="s">
        <v>2197</v>
      </c>
      <c r="B51" s="2437" t="s">
        <v>14</v>
      </c>
      <c r="C51" s="2437" t="s">
        <v>2368</v>
      </c>
      <c r="D51" s="2437" t="s">
        <v>2369</v>
      </c>
      <c r="E51" s="2437" t="s">
        <v>2370</v>
      </c>
      <c r="F51" s="2437" t="s">
        <v>2212</v>
      </c>
      <c r="G51" s="2437" t="s">
        <v>24</v>
      </c>
      <c r="H51" s="2437" t="s">
        <v>24</v>
      </c>
      <c r="I51" s="2437" t="s">
        <v>733</v>
      </c>
    </row>
    <row customHeight="1" ht="11.25">
      <c r="A52" s="2437" t="s">
        <v>2197</v>
      </c>
      <c r="B52" s="2437" t="s">
        <v>14</v>
      </c>
      <c r="C52" s="2437" t="s">
        <v>2371</v>
      </c>
      <c r="D52" s="2437" t="s">
        <v>2372</v>
      </c>
      <c r="E52" s="2437" t="s">
        <v>2373</v>
      </c>
      <c r="F52" s="2437" t="s">
        <v>2296</v>
      </c>
      <c r="G52" s="2437" t="s">
        <v>24</v>
      </c>
      <c r="H52" s="2437" t="s">
        <v>24</v>
      </c>
      <c r="I52" s="2437" t="s">
        <v>733</v>
      </c>
    </row>
    <row customHeight="1" ht="11.25">
      <c r="A53" s="2437" t="s">
        <v>2197</v>
      </c>
      <c r="B53" s="2437" t="s">
        <v>14</v>
      </c>
      <c r="C53" s="2437" t="s">
        <v>2374</v>
      </c>
      <c r="D53" s="2437" t="s">
        <v>2375</v>
      </c>
      <c r="E53" s="2437" t="s">
        <v>2376</v>
      </c>
      <c r="F53" s="2437" t="s">
        <v>2265</v>
      </c>
      <c r="G53" s="2437" t="s">
        <v>24</v>
      </c>
      <c r="H53" s="2437" t="s">
        <v>24</v>
      </c>
      <c r="I53" s="2437" t="s">
        <v>733</v>
      </c>
    </row>
    <row customHeight="1" ht="11.25">
      <c r="A54" s="2437" t="s">
        <v>2197</v>
      </c>
      <c r="B54" s="2437" t="s">
        <v>14</v>
      </c>
      <c r="C54" s="2437" t="s">
        <v>2377</v>
      </c>
      <c r="D54" s="2437" t="s">
        <v>2378</v>
      </c>
      <c r="E54" s="2437" t="s">
        <v>2379</v>
      </c>
      <c r="F54" s="2437" t="s">
        <v>2265</v>
      </c>
      <c r="G54" s="2437" t="s">
        <v>24</v>
      </c>
      <c r="H54" s="2437" t="s">
        <v>24</v>
      </c>
      <c r="I54" s="2437" t="s">
        <v>733</v>
      </c>
    </row>
    <row customHeight="1" ht="11.25">
      <c r="A55" s="2437" t="s">
        <v>2197</v>
      </c>
      <c r="B55" s="2437" t="s">
        <v>14</v>
      </c>
      <c r="C55" s="2437" t="s">
        <v>2380</v>
      </c>
      <c r="D55" s="2437" t="s">
        <v>2381</v>
      </c>
      <c r="E55" s="2437" t="s">
        <v>2382</v>
      </c>
      <c r="F55" s="2437" t="s">
        <v>2201</v>
      </c>
      <c r="G55" s="2437" t="s">
        <v>24</v>
      </c>
      <c r="H55" s="2437" t="s">
        <v>24</v>
      </c>
      <c r="I55" s="2437" t="s">
        <v>733</v>
      </c>
    </row>
    <row customHeight="1" ht="11.25">
      <c r="A56" s="2437" t="s">
        <v>2197</v>
      </c>
      <c r="B56" s="2437" t="s">
        <v>14</v>
      </c>
      <c r="C56" s="2437" t="s">
        <v>2383</v>
      </c>
      <c r="D56" s="2437" t="s">
        <v>2384</v>
      </c>
      <c r="E56" s="2437" t="s">
        <v>2385</v>
      </c>
      <c r="F56" s="2437" t="s">
        <v>2386</v>
      </c>
      <c r="G56" s="2437" t="s">
        <v>24</v>
      </c>
      <c r="H56" s="2437" t="s">
        <v>2387</v>
      </c>
      <c r="I56" s="2437" t="s">
        <v>733</v>
      </c>
    </row>
    <row customHeight="1" ht="11.25">
      <c r="A57" s="2437" t="s">
        <v>2197</v>
      </c>
      <c r="B57" s="2437" t="s">
        <v>14</v>
      </c>
      <c r="C57" s="2437" t="s">
        <v>2388</v>
      </c>
      <c r="D57" s="2437" t="s">
        <v>2389</v>
      </c>
      <c r="E57" s="2437" t="s">
        <v>2390</v>
      </c>
      <c r="F57" s="2437" t="s">
        <v>2391</v>
      </c>
      <c r="G57" s="2437" t="s">
        <v>24</v>
      </c>
      <c r="H57" s="2437" t="s">
        <v>24</v>
      </c>
      <c r="I57" s="2437" t="s">
        <v>733</v>
      </c>
    </row>
    <row customHeight="1" ht="11.25">
      <c r="A58" s="2437" t="s">
        <v>2197</v>
      </c>
      <c r="B58" s="2437" t="s">
        <v>14</v>
      </c>
      <c r="C58" s="2437" t="s">
        <v>2392</v>
      </c>
      <c r="D58" s="2437" t="s">
        <v>2393</v>
      </c>
      <c r="E58" s="2437" t="s">
        <v>2394</v>
      </c>
      <c r="F58" s="2437" t="s">
        <v>2395</v>
      </c>
      <c r="G58" s="2437" t="s">
        <v>24</v>
      </c>
      <c r="H58" s="2437" t="s">
        <v>24</v>
      </c>
      <c r="I58" s="2437" t="s">
        <v>733</v>
      </c>
    </row>
    <row customHeight="1" ht="11.25">
      <c r="A59" s="2437" t="s">
        <v>2197</v>
      </c>
      <c r="B59" s="2437" t="s">
        <v>14</v>
      </c>
      <c r="C59" s="2437" t="s">
        <v>2396</v>
      </c>
      <c r="D59" s="2437" t="s">
        <v>2397</v>
      </c>
      <c r="E59" s="2437" t="s">
        <v>2398</v>
      </c>
      <c r="F59" s="2437" t="s">
        <v>2279</v>
      </c>
      <c r="G59" s="2437" t="s">
        <v>24</v>
      </c>
      <c r="H59" s="2437" t="s">
        <v>24</v>
      </c>
      <c r="I59" s="2437" t="s">
        <v>733</v>
      </c>
    </row>
    <row customHeight="1" ht="11.25">
      <c r="A60" s="2437" t="s">
        <v>2197</v>
      </c>
      <c r="B60" s="2437" t="s">
        <v>14</v>
      </c>
      <c r="C60" s="2437" t="s">
        <v>2399</v>
      </c>
      <c r="D60" s="2437" t="s">
        <v>2400</v>
      </c>
      <c r="E60" s="2437" t="s">
        <v>2401</v>
      </c>
      <c r="F60" s="2437" t="s">
        <v>2402</v>
      </c>
      <c r="G60" s="2437" t="s">
        <v>24</v>
      </c>
      <c r="H60" s="2437" t="s">
        <v>24</v>
      </c>
      <c r="I60" s="2437" t="s">
        <v>733</v>
      </c>
    </row>
    <row customHeight="1" ht="11.25">
      <c r="A61" s="2437" t="s">
        <v>2197</v>
      </c>
      <c r="B61" s="2437" t="s">
        <v>14</v>
      </c>
      <c r="C61" s="2437" t="s">
        <v>2403</v>
      </c>
      <c r="D61" s="2437" t="s">
        <v>2404</v>
      </c>
      <c r="E61" s="2437" t="s">
        <v>2405</v>
      </c>
      <c r="F61" s="2437" t="s">
        <v>2216</v>
      </c>
      <c r="G61" s="2437" t="s">
        <v>24</v>
      </c>
      <c r="H61" s="2437" t="s">
        <v>24</v>
      </c>
      <c r="I61" s="2437" t="s">
        <v>733</v>
      </c>
    </row>
    <row customHeight="1" ht="11.25">
      <c r="A62" s="2437" t="s">
        <v>2197</v>
      </c>
      <c r="B62" s="2437" t="s">
        <v>14</v>
      </c>
      <c r="C62" s="2437" t="s">
        <v>24</v>
      </c>
      <c r="D62" s="2437" t="s">
        <v>2406</v>
      </c>
      <c r="E62" s="2437" t="s">
        <v>2407</v>
      </c>
      <c r="F62" s="2437" t="s">
        <v>2279</v>
      </c>
      <c r="G62" s="2437" t="s">
        <v>24</v>
      </c>
      <c r="H62" s="2437" t="s">
        <v>24</v>
      </c>
      <c r="I62" s="2437" t="s">
        <v>733</v>
      </c>
    </row>
    <row customHeight="1" ht="11.25">
      <c r="A63" s="2437" t="s">
        <v>2197</v>
      </c>
      <c r="B63" s="2437" t="s">
        <v>14</v>
      </c>
      <c r="C63" s="2437" t="s">
        <v>2408</v>
      </c>
      <c r="D63" s="2437" t="s">
        <v>2409</v>
      </c>
      <c r="E63" s="2437" t="s">
        <v>2410</v>
      </c>
      <c r="F63" s="2437" t="s">
        <v>2411</v>
      </c>
      <c r="G63" s="2437" t="s">
        <v>24</v>
      </c>
      <c r="H63" s="2437" t="s">
        <v>24</v>
      </c>
      <c r="I63" s="2437" t="s">
        <v>733</v>
      </c>
    </row>
    <row customHeight="1" ht="11.25">
      <c r="A64" s="2437" t="s">
        <v>2197</v>
      </c>
      <c r="B64" s="2437" t="s">
        <v>14</v>
      </c>
      <c r="C64" s="2437" t="s">
        <v>2412</v>
      </c>
      <c r="D64" s="2437" t="s">
        <v>2413</v>
      </c>
      <c r="E64" s="2437" t="s">
        <v>2414</v>
      </c>
      <c r="F64" s="2437" t="s">
        <v>2208</v>
      </c>
      <c r="G64" s="2437" t="s">
        <v>24</v>
      </c>
      <c r="H64" s="2437" t="s">
        <v>24</v>
      </c>
      <c r="I64" s="2437" t="s">
        <v>733</v>
      </c>
    </row>
    <row customHeight="1" ht="11.25">
      <c r="A65" s="2437" t="s">
        <v>2197</v>
      </c>
      <c r="B65" s="2437" t="s">
        <v>14</v>
      </c>
      <c r="C65" s="2437" t="s">
        <v>2415</v>
      </c>
      <c r="D65" s="2437" t="s">
        <v>2416</v>
      </c>
      <c r="E65" s="2437" t="s">
        <v>2417</v>
      </c>
      <c r="F65" s="2437" t="s">
        <v>2223</v>
      </c>
      <c r="G65" s="2437" t="s">
        <v>24</v>
      </c>
      <c r="H65" s="2437" t="s">
        <v>24</v>
      </c>
      <c r="I65" s="2437" t="s">
        <v>733</v>
      </c>
    </row>
    <row customHeight="1" ht="11.25">
      <c r="A66" s="2437" t="s">
        <v>2197</v>
      </c>
      <c r="B66" s="2437" t="s">
        <v>14</v>
      </c>
      <c r="C66" s="2437" t="s">
        <v>2418</v>
      </c>
      <c r="D66" s="2437" t="s">
        <v>2419</v>
      </c>
      <c r="E66" s="2437" t="s">
        <v>2420</v>
      </c>
      <c r="F66" s="2437" t="s">
        <v>2208</v>
      </c>
      <c r="G66" s="2437" t="s">
        <v>24</v>
      </c>
      <c r="H66" s="2437" t="s">
        <v>24</v>
      </c>
      <c r="I66" s="2437" t="s">
        <v>733</v>
      </c>
    </row>
    <row customHeight="1" ht="11.25">
      <c r="A67" s="2437" t="s">
        <v>2197</v>
      </c>
      <c r="B67" s="2437" t="s">
        <v>14</v>
      </c>
      <c r="C67" s="2437" t="s">
        <v>2421</v>
      </c>
      <c r="D67" s="2437" t="s">
        <v>2422</v>
      </c>
      <c r="E67" s="2437" t="s">
        <v>2423</v>
      </c>
      <c r="F67" s="2437" t="s">
        <v>2300</v>
      </c>
      <c r="G67" s="2437" t="s">
        <v>24</v>
      </c>
      <c r="H67" s="2437" t="s">
        <v>24</v>
      </c>
      <c r="I67" s="2437" t="s">
        <v>733</v>
      </c>
    </row>
    <row customHeight="1" ht="11.25">
      <c r="A68" s="2437" t="s">
        <v>2197</v>
      </c>
      <c r="B68" s="2437" t="s">
        <v>14</v>
      </c>
      <c r="C68" s="2437" t="s">
        <v>2424</v>
      </c>
      <c r="D68" s="2437" t="s">
        <v>2425</v>
      </c>
      <c r="E68" s="2437" t="s">
        <v>2426</v>
      </c>
      <c r="F68" s="2437" t="s">
        <v>2216</v>
      </c>
      <c r="G68" s="2437" t="s">
        <v>24</v>
      </c>
      <c r="H68" s="2437" t="s">
        <v>24</v>
      </c>
      <c r="I68" s="2437" t="s">
        <v>733</v>
      </c>
    </row>
    <row customHeight="1" ht="11.25">
      <c r="A69" s="2437" t="s">
        <v>2197</v>
      </c>
      <c r="B69" s="2437" t="s">
        <v>14</v>
      </c>
      <c r="C69" s="2437" t="s">
        <v>2427</v>
      </c>
      <c r="D69" s="2437" t="s">
        <v>2428</v>
      </c>
      <c r="E69" s="2437" t="s">
        <v>2429</v>
      </c>
      <c r="F69" s="2437" t="s">
        <v>2395</v>
      </c>
      <c r="G69" s="2437" t="s">
        <v>24</v>
      </c>
      <c r="H69" s="2437" t="s">
        <v>2430</v>
      </c>
      <c r="I69" s="2437" t="s">
        <v>733</v>
      </c>
    </row>
    <row customHeight="1" ht="11.25">
      <c r="A70" s="2437" t="s">
        <v>2197</v>
      </c>
      <c r="B70" s="2437" t="s">
        <v>14</v>
      </c>
      <c r="C70" s="2437" t="s">
        <v>2431</v>
      </c>
      <c r="D70" s="2437" t="s">
        <v>2432</v>
      </c>
      <c r="E70" s="2437" t="s">
        <v>2433</v>
      </c>
      <c r="F70" s="2437" t="s">
        <v>2386</v>
      </c>
      <c r="G70" s="2437" t="s">
        <v>24</v>
      </c>
      <c r="H70" s="2437" t="s">
        <v>24</v>
      </c>
      <c r="I70" s="2437" t="s">
        <v>733</v>
      </c>
    </row>
    <row customHeight="1" ht="11.25">
      <c r="A71" s="2437" t="s">
        <v>2197</v>
      </c>
      <c r="B71" s="2437" t="s">
        <v>14</v>
      </c>
      <c r="C71" s="2437" t="s">
        <v>2434</v>
      </c>
      <c r="D71" s="2437" t="s">
        <v>2435</v>
      </c>
      <c r="E71" s="2437" t="s">
        <v>2436</v>
      </c>
      <c r="F71" s="2437" t="s">
        <v>2208</v>
      </c>
      <c r="G71" s="2437" t="s">
        <v>24</v>
      </c>
      <c r="H71" s="2437" t="s">
        <v>24</v>
      </c>
      <c r="I71" s="2437" t="s">
        <v>733</v>
      </c>
    </row>
    <row customHeight="1" ht="11.25">
      <c r="A72" s="2437" t="s">
        <v>2197</v>
      </c>
      <c r="B72" s="2437" t="s">
        <v>14</v>
      </c>
      <c r="C72" s="2437" t="s">
        <v>2437</v>
      </c>
      <c r="D72" s="2437" t="s">
        <v>2438</v>
      </c>
      <c r="E72" s="2437" t="s">
        <v>2439</v>
      </c>
      <c r="F72" s="2437" t="s">
        <v>2386</v>
      </c>
      <c r="G72" s="2437" t="s">
        <v>24</v>
      </c>
      <c r="H72" s="2437" t="s">
        <v>24</v>
      </c>
      <c r="I72" s="2437" t="s">
        <v>733</v>
      </c>
    </row>
    <row customHeight="1" ht="11.25">
      <c r="A73" s="2437" t="s">
        <v>2197</v>
      </c>
      <c r="B73" s="2437" t="s">
        <v>14</v>
      </c>
      <c r="C73" s="2437" t="s">
        <v>2440</v>
      </c>
      <c r="D73" s="2437" t="s">
        <v>2441</v>
      </c>
      <c r="E73" s="2437" t="s">
        <v>2442</v>
      </c>
      <c r="F73" s="2437" t="s">
        <v>2208</v>
      </c>
      <c r="G73" s="2437" t="s">
        <v>24</v>
      </c>
      <c r="H73" s="2437" t="s">
        <v>24</v>
      </c>
      <c r="I73" s="2437" t="s">
        <v>733</v>
      </c>
    </row>
    <row customHeight="1" ht="11.25">
      <c r="A74" s="2437" t="s">
        <v>2197</v>
      </c>
      <c r="B74" s="2437" t="s">
        <v>14</v>
      </c>
      <c r="C74" s="2437" t="s">
        <v>2443</v>
      </c>
      <c r="D74" s="2437" t="s">
        <v>2444</v>
      </c>
      <c r="E74" s="2437" t="s">
        <v>2445</v>
      </c>
      <c r="F74" s="2437" t="s">
        <v>2358</v>
      </c>
      <c r="G74" s="2437" t="s">
        <v>24</v>
      </c>
      <c r="H74" s="2437" t="s">
        <v>24</v>
      </c>
      <c r="I74" s="2437" t="s">
        <v>733</v>
      </c>
    </row>
    <row customHeight="1" ht="11.25">
      <c r="A75" s="2437" t="s">
        <v>2197</v>
      </c>
      <c r="B75" s="2437" t="s">
        <v>14</v>
      </c>
      <c r="C75" s="2437" t="s">
        <v>2446</v>
      </c>
      <c r="D75" s="2437" t="s">
        <v>2447</v>
      </c>
      <c r="E75" s="2437" t="s">
        <v>2448</v>
      </c>
      <c r="F75" s="2437" t="s">
        <v>2208</v>
      </c>
      <c r="G75" s="2437" t="s">
        <v>24</v>
      </c>
      <c r="H75" s="2437" t="s">
        <v>24</v>
      </c>
      <c r="I75" s="2437" t="s">
        <v>733</v>
      </c>
    </row>
    <row customHeight="1" ht="11.25">
      <c r="A76" s="2437" t="s">
        <v>2197</v>
      </c>
      <c r="B76" s="2437" t="s">
        <v>14</v>
      </c>
      <c r="C76" s="2437" t="s">
        <v>2449</v>
      </c>
      <c r="D76" s="2437" t="s">
        <v>2450</v>
      </c>
      <c r="E76" s="2437" t="s">
        <v>2451</v>
      </c>
      <c r="F76" s="2437" t="s">
        <v>2261</v>
      </c>
      <c r="G76" s="2437" t="s">
        <v>24</v>
      </c>
      <c r="H76" s="2437" t="s">
        <v>24</v>
      </c>
      <c r="I76" s="2437" t="s">
        <v>733</v>
      </c>
    </row>
    <row customHeight="1" ht="11.25">
      <c r="A77" s="2437" t="s">
        <v>2197</v>
      </c>
      <c r="B77" s="2437" t="s">
        <v>14</v>
      </c>
      <c r="C77" s="2437" t="s">
        <v>2452</v>
      </c>
      <c r="D77" s="2437" t="s">
        <v>2453</v>
      </c>
      <c r="E77" s="2437" t="s">
        <v>2454</v>
      </c>
      <c r="F77" s="2437" t="s">
        <v>2216</v>
      </c>
      <c r="G77" s="2437" t="s">
        <v>24</v>
      </c>
      <c r="H77" s="2437" t="s">
        <v>24</v>
      </c>
      <c r="I77" s="2437" t="s">
        <v>733</v>
      </c>
    </row>
    <row customHeight="1" ht="11.25">
      <c r="A78" s="2437" t="s">
        <v>2197</v>
      </c>
      <c r="B78" s="2437" t="s">
        <v>14</v>
      </c>
      <c r="C78" s="2437" t="s">
        <v>2455</v>
      </c>
      <c r="D78" s="2437" t="s">
        <v>2456</v>
      </c>
      <c r="E78" s="2437" t="s">
        <v>2457</v>
      </c>
      <c r="F78" s="2437" t="s">
        <v>2358</v>
      </c>
      <c r="G78" s="2437" t="s">
        <v>24</v>
      </c>
      <c r="H78" s="2437" t="s">
        <v>24</v>
      </c>
      <c r="I78" s="2437" t="s">
        <v>733</v>
      </c>
    </row>
    <row customHeight="1" ht="11.25">
      <c r="A79" s="2437" t="s">
        <v>2197</v>
      </c>
      <c r="B79" s="2437" t="s">
        <v>14</v>
      </c>
      <c r="C79" s="2437" t="s">
        <v>2458</v>
      </c>
      <c r="D79" s="2437" t="s">
        <v>2459</v>
      </c>
      <c r="E79" s="2437" t="s">
        <v>2460</v>
      </c>
      <c r="F79" s="2437" t="s">
        <v>2208</v>
      </c>
      <c r="G79" s="2437" t="s">
        <v>24</v>
      </c>
      <c r="H79" s="2437" t="s">
        <v>24</v>
      </c>
      <c r="I79" s="2437" t="s">
        <v>733</v>
      </c>
    </row>
    <row customHeight="1" ht="11.25">
      <c r="A80" s="2437" t="s">
        <v>2197</v>
      </c>
      <c r="B80" s="2437" t="s">
        <v>14</v>
      </c>
      <c r="C80" s="2437" t="s">
        <v>2461</v>
      </c>
      <c r="D80" s="2437" t="s">
        <v>2462</v>
      </c>
      <c r="E80" s="2437" t="s">
        <v>2463</v>
      </c>
      <c r="F80" s="2437" t="s">
        <v>50</v>
      </c>
      <c r="G80" s="2437" t="s">
        <v>24</v>
      </c>
      <c r="H80" s="2437" t="s">
        <v>24</v>
      </c>
      <c r="I80" s="2437" t="s">
        <v>733</v>
      </c>
    </row>
    <row customHeight="1" ht="11.25">
      <c r="A81" s="2437" t="s">
        <v>2197</v>
      </c>
      <c r="B81" s="2437" t="s">
        <v>14</v>
      </c>
      <c r="C81" s="2437" t="s">
        <v>2464</v>
      </c>
      <c r="D81" s="2437" t="s">
        <v>2465</v>
      </c>
      <c r="E81" s="2437" t="s">
        <v>2466</v>
      </c>
      <c r="F81" s="2437" t="s">
        <v>2212</v>
      </c>
      <c r="G81" s="2437" t="s">
        <v>24</v>
      </c>
      <c r="H81" s="2437" t="s">
        <v>24</v>
      </c>
      <c r="I81" s="2437" t="s">
        <v>733</v>
      </c>
    </row>
    <row customHeight="1" ht="11.25">
      <c r="A82" s="2437" t="s">
        <v>2197</v>
      </c>
      <c r="B82" s="2437" t="s">
        <v>14</v>
      </c>
      <c r="C82" s="2437" t="s">
        <v>2467</v>
      </c>
      <c r="D82" s="2437" t="s">
        <v>2468</v>
      </c>
      <c r="E82" s="2437" t="s">
        <v>2469</v>
      </c>
      <c r="F82" s="2437" t="s">
        <v>2470</v>
      </c>
      <c r="G82" s="2437" t="s">
        <v>2471</v>
      </c>
      <c r="H82" s="2437" t="s">
        <v>24</v>
      </c>
      <c r="I82" s="2437" t="s">
        <v>733</v>
      </c>
    </row>
    <row customHeight="1" ht="11.25">
      <c r="A83" s="2437" t="s">
        <v>2197</v>
      </c>
      <c r="B83" s="2437" t="s">
        <v>14</v>
      </c>
      <c r="C83" s="2437" t="s">
        <v>2472</v>
      </c>
      <c r="D83" s="2437" t="s">
        <v>2473</v>
      </c>
      <c r="E83" s="2437" t="s">
        <v>2474</v>
      </c>
      <c r="F83" s="2437" t="s">
        <v>2201</v>
      </c>
      <c r="G83" s="2437" t="s">
        <v>24</v>
      </c>
      <c r="H83" s="2437" t="s">
        <v>24</v>
      </c>
      <c r="I83" s="2437" t="s">
        <v>733</v>
      </c>
    </row>
    <row customHeight="1" ht="11.25">
      <c r="A84" s="2437" t="s">
        <v>2197</v>
      </c>
      <c r="B84" s="2437" t="s">
        <v>14</v>
      </c>
      <c r="C84" s="2437" t="s">
        <v>2475</v>
      </c>
      <c r="D84" s="2437" t="s">
        <v>2476</v>
      </c>
      <c r="E84" s="2437" t="s">
        <v>2477</v>
      </c>
      <c r="F84" s="2437" t="s">
        <v>2208</v>
      </c>
      <c r="G84" s="2437" t="s">
        <v>2478</v>
      </c>
      <c r="H84" s="2437" t="s">
        <v>24</v>
      </c>
      <c r="I84" s="2437" t="s">
        <v>733</v>
      </c>
    </row>
    <row customHeight="1" ht="11.25">
      <c r="A85" s="2437" t="s">
        <v>2197</v>
      </c>
      <c r="B85" s="2437" t="s">
        <v>14</v>
      </c>
      <c r="C85" s="2437" t="s">
        <v>2479</v>
      </c>
      <c r="D85" s="2437" t="s">
        <v>2480</v>
      </c>
      <c r="E85" s="2437" t="s">
        <v>2481</v>
      </c>
      <c r="F85" s="2437" t="s">
        <v>2386</v>
      </c>
      <c r="G85" s="2437" t="s">
        <v>24</v>
      </c>
      <c r="H85" s="2437" t="s">
        <v>24</v>
      </c>
      <c r="I85" s="2437" t="s">
        <v>733</v>
      </c>
    </row>
    <row customHeight="1" ht="11.25">
      <c r="A86" s="2437" t="s">
        <v>2197</v>
      </c>
      <c r="B86" s="2437" t="s">
        <v>14</v>
      </c>
      <c r="C86" s="2437" t="s">
        <v>2482</v>
      </c>
      <c r="D86" s="2437" t="s">
        <v>2483</v>
      </c>
      <c r="E86" s="2437" t="s">
        <v>2484</v>
      </c>
      <c r="F86" s="2437" t="s">
        <v>2386</v>
      </c>
      <c r="G86" s="2437" t="s">
        <v>24</v>
      </c>
      <c r="H86" s="2437" t="s">
        <v>24</v>
      </c>
      <c r="I86" s="2437" t="s">
        <v>733</v>
      </c>
    </row>
    <row customHeight="1" ht="11.25">
      <c r="A87" s="2437" t="s">
        <v>2197</v>
      </c>
      <c r="B87" s="2437" t="s">
        <v>14</v>
      </c>
      <c r="C87" s="2437" t="s">
        <v>2485</v>
      </c>
      <c r="D87" s="2437" t="s">
        <v>2486</v>
      </c>
      <c r="E87" s="2437" t="s">
        <v>2487</v>
      </c>
      <c r="F87" s="2437" t="s">
        <v>2386</v>
      </c>
      <c r="G87" s="2437" t="s">
        <v>24</v>
      </c>
      <c r="H87" s="2437" t="s">
        <v>24</v>
      </c>
      <c r="I87" s="2437" t="s">
        <v>733</v>
      </c>
    </row>
    <row customHeight="1" ht="11.25">
      <c r="A88" s="2437" t="s">
        <v>2197</v>
      </c>
      <c r="B88" s="2437" t="s">
        <v>14</v>
      </c>
      <c r="C88" s="2437" t="s">
        <v>2488</v>
      </c>
      <c r="D88" s="2437" t="s">
        <v>2489</v>
      </c>
      <c r="E88" s="2437" t="s">
        <v>2490</v>
      </c>
      <c r="F88" s="2437" t="s">
        <v>2261</v>
      </c>
      <c r="G88" s="2437" t="s">
        <v>24</v>
      </c>
      <c r="H88" s="2437" t="s">
        <v>24</v>
      </c>
      <c r="I88" s="2437" t="s">
        <v>733</v>
      </c>
    </row>
    <row customHeight="1" ht="11.25">
      <c r="A89" s="2437" t="s">
        <v>2197</v>
      </c>
      <c r="B89" s="2437" t="s">
        <v>14</v>
      </c>
      <c r="C89" s="2437" t="s">
        <v>2491</v>
      </c>
      <c r="D89" s="2437" t="s">
        <v>2492</v>
      </c>
      <c r="E89" s="2437" t="s">
        <v>2493</v>
      </c>
      <c r="F89" s="2437" t="s">
        <v>2296</v>
      </c>
      <c r="G89" s="2437" t="s">
        <v>24</v>
      </c>
      <c r="H89" s="2437" t="s">
        <v>24</v>
      </c>
      <c r="I89" s="2437" t="s">
        <v>733</v>
      </c>
    </row>
    <row customHeight="1" ht="11.25">
      <c r="A90" s="2437" t="s">
        <v>2197</v>
      </c>
      <c r="B90" s="2437" t="s">
        <v>14</v>
      </c>
      <c r="C90" s="2437" t="s">
        <v>2494</v>
      </c>
      <c r="D90" s="2437" t="s">
        <v>2495</v>
      </c>
      <c r="E90" s="2437" t="s">
        <v>2496</v>
      </c>
      <c r="F90" s="2437" t="s">
        <v>2497</v>
      </c>
      <c r="G90" s="2437" t="s">
        <v>24</v>
      </c>
      <c r="H90" s="2437" t="s">
        <v>24</v>
      </c>
      <c r="I90" s="2437" t="s">
        <v>733</v>
      </c>
    </row>
    <row customHeight="1" ht="11.25">
      <c r="A91" s="2437" t="s">
        <v>2197</v>
      </c>
      <c r="B91" s="2437" t="s">
        <v>14</v>
      </c>
      <c r="C91" s="2437" t="s">
        <v>2498</v>
      </c>
      <c r="D91" s="2437" t="s">
        <v>2499</v>
      </c>
      <c r="E91" s="2437" t="s">
        <v>2500</v>
      </c>
      <c r="F91" s="2437" t="s">
        <v>2238</v>
      </c>
      <c r="G91" s="2437" t="s">
        <v>24</v>
      </c>
      <c r="H91" s="2437" t="s">
        <v>24</v>
      </c>
      <c r="I91" s="2437" t="s">
        <v>733</v>
      </c>
    </row>
    <row customHeight="1" ht="11.25">
      <c r="A92" s="2437" t="s">
        <v>2197</v>
      </c>
      <c r="B92" s="2437" t="s">
        <v>14</v>
      </c>
      <c r="C92" s="2437" t="s">
        <v>2501</v>
      </c>
      <c r="D92" s="2437" t="s">
        <v>2502</v>
      </c>
      <c r="E92" s="2437" t="s">
        <v>2503</v>
      </c>
      <c r="F92" s="2437" t="s">
        <v>2296</v>
      </c>
      <c r="G92" s="2437" t="s">
        <v>24</v>
      </c>
      <c r="H92" s="2437" t="s">
        <v>24</v>
      </c>
      <c r="I92" s="2437" t="s">
        <v>733</v>
      </c>
    </row>
    <row customHeight="1" ht="11.25">
      <c r="A93" s="2437" t="s">
        <v>2197</v>
      </c>
      <c r="B93" s="2437" t="s">
        <v>14</v>
      </c>
      <c r="C93" s="2437" t="s">
        <v>2504</v>
      </c>
      <c r="D93" s="2437" t="s">
        <v>2505</v>
      </c>
      <c r="E93" s="2437" t="s">
        <v>2506</v>
      </c>
      <c r="F93" s="2437" t="s">
        <v>2296</v>
      </c>
      <c r="G93" s="2437" t="s">
        <v>24</v>
      </c>
      <c r="H93" s="2437" t="s">
        <v>24</v>
      </c>
      <c r="I93" s="2437" t="s">
        <v>733</v>
      </c>
    </row>
    <row customHeight="1" ht="11.25">
      <c r="A94" s="2437" t="s">
        <v>2197</v>
      </c>
      <c r="B94" s="2437" t="s">
        <v>14</v>
      </c>
      <c r="C94" s="2437" t="s">
        <v>2507</v>
      </c>
      <c r="D94" s="2437" t="s">
        <v>2508</v>
      </c>
      <c r="E94" s="2437" t="s">
        <v>2509</v>
      </c>
      <c r="F94" s="2437" t="s">
        <v>50</v>
      </c>
      <c r="G94" s="2437" t="s">
        <v>24</v>
      </c>
      <c r="H94" s="2437" t="s">
        <v>24</v>
      </c>
      <c r="I94" s="2437" t="s">
        <v>733</v>
      </c>
    </row>
    <row customHeight="1" ht="11.25">
      <c r="A95" s="2437" t="s">
        <v>2197</v>
      </c>
      <c r="B95" s="2437" t="s">
        <v>14</v>
      </c>
      <c r="C95" s="2437" t="s">
        <v>2510</v>
      </c>
      <c r="D95" s="2437" t="s">
        <v>2511</v>
      </c>
      <c r="E95" s="2437" t="s">
        <v>2512</v>
      </c>
      <c r="F95" s="2437" t="s">
        <v>2513</v>
      </c>
      <c r="G95" s="2437" t="s">
        <v>24</v>
      </c>
      <c r="H95" s="2437" t="s">
        <v>24</v>
      </c>
      <c r="I95" s="2437" t="s">
        <v>733</v>
      </c>
    </row>
    <row customHeight="1" ht="11.25">
      <c r="A96" s="2437" t="s">
        <v>2197</v>
      </c>
      <c r="B96" s="2437" t="s">
        <v>14</v>
      </c>
      <c r="C96" s="2437" t="s">
        <v>2514</v>
      </c>
      <c r="D96" s="2437" t="s">
        <v>2515</v>
      </c>
      <c r="E96" s="2437" t="s">
        <v>2516</v>
      </c>
      <c r="F96" s="2437" t="s">
        <v>2517</v>
      </c>
      <c r="G96" s="2437" t="s">
        <v>24</v>
      </c>
      <c r="H96" s="2437" t="s">
        <v>24</v>
      </c>
      <c r="I96" s="2437" t="s">
        <v>733</v>
      </c>
    </row>
    <row customHeight="1" ht="11.25">
      <c r="A97" s="2437" t="s">
        <v>2197</v>
      </c>
      <c r="B97" s="2437" t="s">
        <v>14</v>
      </c>
      <c r="C97" s="2437" t="s">
        <v>2518</v>
      </c>
      <c r="D97" s="2437" t="s">
        <v>2519</v>
      </c>
      <c r="E97" s="2437" t="s">
        <v>2520</v>
      </c>
      <c r="F97" s="2437" t="s">
        <v>2223</v>
      </c>
      <c r="G97" s="2437" t="s">
        <v>24</v>
      </c>
      <c r="H97" s="2437" t="s">
        <v>24</v>
      </c>
      <c r="I97" s="2437" t="s">
        <v>733</v>
      </c>
    </row>
    <row customHeight="1" ht="11.25">
      <c r="A98" s="2437" t="s">
        <v>2197</v>
      </c>
      <c r="B98" s="2437" t="s">
        <v>14</v>
      </c>
      <c r="C98" s="2437" t="s">
        <v>2521</v>
      </c>
      <c r="D98" s="2437" t="s">
        <v>2522</v>
      </c>
      <c r="E98" s="2437" t="s">
        <v>2523</v>
      </c>
      <c r="F98" s="2437" t="s">
        <v>2296</v>
      </c>
      <c r="G98" s="2437" t="s">
        <v>24</v>
      </c>
      <c r="H98" s="2437" t="s">
        <v>24</v>
      </c>
      <c r="I98" s="2437" t="s">
        <v>733</v>
      </c>
    </row>
    <row customHeight="1" ht="11.25">
      <c r="A99" s="2437" t="s">
        <v>2197</v>
      </c>
      <c r="B99" s="2437" t="s">
        <v>14</v>
      </c>
      <c r="C99" s="2437" t="s">
        <v>2524</v>
      </c>
      <c r="D99" s="2437" t="s">
        <v>2525</v>
      </c>
      <c r="E99" s="2437" t="s">
        <v>2526</v>
      </c>
      <c r="F99" s="2437" t="s">
        <v>2238</v>
      </c>
      <c r="G99" s="2437" t="s">
        <v>24</v>
      </c>
      <c r="H99" s="2437" t="s">
        <v>24</v>
      </c>
      <c r="I99" s="2437" t="s">
        <v>733</v>
      </c>
    </row>
    <row customHeight="1" ht="11.25">
      <c r="A100" s="2437" t="s">
        <v>2197</v>
      </c>
      <c r="B100" s="2437" t="s">
        <v>14</v>
      </c>
      <c r="C100" s="2437" t="s">
        <v>2527</v>
      </c>
      <c r="D100" s="2437" t="s">
        <v>2528</v>
      </c>
      <c r="E100" s="2437" t="s">
        <v>2529</v>
      </c>
      <c r="F100" s="2437" t="s">
        <v>2391</v>
      </c>
      <c r="G100" s="2437" t="s">
        <v>24</v>
      </c>
      <c r="H100" s="2437" t="s">
        <v>24</v>
      </c>
      <c r="I100" s="2437" t="s">
        <v>733</v>
      </c>
    </row>
    <row customHeight="1" ht="11.25">
      <c r="A101" s="2437" t="s">
        <v>2197</v>
      </c>
      <c r="B101" s="2437" t="s">
        <v>14</v>
      </c>
      <c r="C101" s="2437" t="s">
        <v>2530</v>
      </c>
      <c r="D101" s="2437" t="s">
        <v>2531</v>
      </c>
      <c r="E101" s="2437" t="s">
        <v>2532</v>
      </c>
      <c r="F101" s="2437" t="s">
        <v>2533</v>
      </c>
      <c r="G101" s="2437" t="s">
        <v>2534</v>
      </c>
      <c r="H101" s="2437" t="s">
        <v>24</v>
      </c>
      <c r="I101" s="2437" t="s">
        <v>733</v>
      </c>
    </row>
    <row customHeight="1" ht="11.25">
      <c r="A102" s="2437" t="s">
        <v>2197</v>
      </c>
      <c r="B102" s="2437" t="s">
        <v>14</v>
      </c>
      <c r="C102" s="2437" t="s">
        <v>2535</v>
      </c>
      <c r="D102" s="2437" t="s">
        <v>2531</v>
      </c>
      <c r="E102" s="2437" t="s">
        <v>2532</v>
      </c>
      <c r="F102" s="2437" t="s">
        <v>2536</v>
      </c>
      <c r="G102" s="2437" t="s">
        <v>24</v>
      </c>
      <c r="H102" s="2437" t="s">
        <v>24</v>
      </c>
      <c r="I102" s="2437" t="s">
        <v>733</v>
      </c>
    </row>
    <row customHeight="1" ht="11.25">
      <c r="A103" s="2437" t="s">
        <v>2197</v>
      </c>
      <c r="B103" s="2437" t="s">
        <v>14</v>
      </c>
      <c r="C103" s="2437" t="s">
        <v>2537</v>
      </c>
      <c r="D103" s="2437" t="s">
        <v>2538</v>
      </c>
      <c r="E103" s="2437" t="s">
        <v>2539</v>
      </c>
      <c r="F103" s="2437" t="s">
        <v>2540</v>
      </c>
      <c r="G103" s="2437" t="s">
        <v>2541</v>
      </c>
      <c r="H103" s="2437" t="s">
        <v>24</v>
      </c>
      <c r="I103" s="2437" t="s">
        <v>733</v>
      </c>
    </row>
    <row customHeight="1" ht="11.25">
      <c r="A104" s="2437" t="s">
        <v>2197</v>
      </c>
      <c r="B104" s="2437" t="s">
        <v>14</v>
      </c>
      <c r="C104" s="2437" t="s">
        <v>2542</v>
      </c>
      <c r="D104" s="2437" t="s">
        <v>2543</v>
      </c>
      <c r="E104" s="2437" t="s">
        <v>2544</v>
      </c>
      <c r="F104" s="2437" t="s">
        <v>2261</v>
      </c>
      <c r="G104" s="2437" t="s">
        <v>24</v>
      </c>
      <c r="H104" s="2437" t="s">
        <v>24</v>
      </c>
      <c r="I104" s="2437" t="s">
        <v>733</v>
      </c>
    </row>
    <row customHeight="1" ht="11.25">
      <c r="A105" s="2437" t="s">
        <v>2197</v>
      </c>
      <c r="B105" s="2437" t="s">
        <v>14</v>
      </c>
      <c r="C105" s="2437" t="s">
        <v>2545</v>
      </c>
      <c r="D105" s="2437" t="s">
        <v>2546</v>
      </c>
      <c r="E105" s="2437" t="s">
        <v>2547</v>
      </c>
      <c r="F105" s="2437" t="s">
        <v>2201</v>
      </c>
      <c r="G105" s="2437" t="s">
        <v>24</v>
      </c>
      <c r="H105" s="2437" t="s">
        <v>24</v>
      </c>
      <c r="I105" s="2437" t="s">
        <v>733</v>
      </c>
    </row>
    <row customHeight="1" ht="11.25">
      <c r="A106" s="2437" t="s">
        <v>2197</v>
      </c>
      <c r="B106" s="2437" t="s">
        <v>14</v>
      </c>
      <c r="C106" s="2437" t="s">
        <v>2548</v>
      </c>
      <c r="D106" s="2437" t="s">
        <v>2549</v>
      </c>
      <c r="E106" s="2437" t="s">
        <v>2550</v>
      </c>
      <c r="F106" s="2437" t="s">
        <v>2227</v>
      </c>
      <c r="G106" s="2437" t="s">
        <v>24</v>
      </c>
      <c r="H106" s="2437" t="s">
        <v>24</v>
      </c>
      <c r="I106" s="2437" t="s">
        <v>733</v>
      </c>
    </row>
    <row customHeight="1" ht="11.25">
      <c r="A107" s="2437" t="s">
        <v>2197</v>
      </c>
      <c r="B107" s="2437" t="s">
        <v>14</v>
      </c>
      <c r="C107" s="2437" t="s">
        <v>2551</v>
      </c>
      <c r="D107" s="2437" t="s">
        <v>2552</v>
      </c>
      <c r="E107" s="2437" t="s">
        <v>2553</v>
      </c>
      <c r="F107" s="2437" t="s">
        <v>2212</v>
      </c>
      <c r="G107" s="2437" t="s">
        <v>24</v>
      </c>
      <c r="H107" s="2437" t="s">
        <v>24</v>
      </c>
      <c r="I107" s="2437" t="s">
        <v>733</v>
      </c>
    </row>
    <row customHeight="1" ht="11.25">
      <c r="A108" s="2437" t="s">
        <v>2197</v>
      </c>
      <c r="B108" s="2437" t="s">
        <v>14</v>
      </c>
      <c r="C108" s="2437" t="s">
        <v>2554</v>
      </c>
      <c r="D108" s="2437" t="s">
        <v>2555</v>
      </c>
      <c r="E108" s="2437" t="s">
        <v>2556</v>
      </c>
      <c r="F108" s="2437" t="s">
        <v>2216</v>
      </c>
      <c r="G108" s="2437" t="s">
        <v>2557</v>
      </c>
      <c r="H108" s="2437" t="s">
        <v>24</v>
      </c>
      <c r="I108" s="2437" t="s">
        <v>733</v>
      </c>
    </row>
    <row customHeight="1" ht="11.25">
      <c r="A109" s="2437" t="s">
        <v>2197</v>
      </c>
      <c r="B109" s="2437" t="s">
        <v>14</v>
      </c>
      <c r="C109" s="2437" t="s">
        <v>2558</v>
      </c>
      <c r="D109" s="2437" t="s">
        <v>2559</v>
      </c>
      <c r="E109" s="2437" t="s">
        <v>2560</v>
      </c>
      <c r="F109" s="2437" t="s">
        <v>50</v>
      </c>
      <c r="G109" s="2437" t="s">
        <v>24</v>
      </c>
      <c r="H109" s="2437" t="s">
        <v>24</v>
      </c>
      <c r="I109" s="2437" t="s">
        <v>733</v>
      </c>
    </row>
    <row customHeight="1" ht="11.25">
      <c r="A110" s="2437" t="s">
        <v>2197</v>
      </c>
      <c r="B110" s="2437" t="s">
        <v>14</v>
      </c>
      <c r="C110" s="2437" t="s">
        <v>2561</v>
      </c>
      <c r="D110" s="2437" t="s">
        <v>2562</v>
      </c>
      <c r="E110" s="2437" t="s">
        <v>2563</v>
      </c>
      <c r="F110" s="2437" t="s">
        <v>2212</v>
      </c>
      <c r="G110" s="2437" t="s">
        <v>2564</v>
      </c>
      <c r="H110" s="2437" t="s">
        <v>24</v>
      </c>
      <c r="I110" s="2437" t="s">
        <v>733</v>
      </c>
    </row>
    <row customHeight="1" ht="11.25">
      <c r="A111" s="2437" t="s">
        <v>2197</v>
      </c>
      <c r="B111" s="2437" t="s">
        <v>14</v>
      </c>
      <c r="C111" s="2437" t="s">
        <v>2565</v>
      </c>
      <c r="D111" s="2437" t="s">
        <v>2566</v>
      </c>
      <c r="E111" s="2437" t="s">
        <v>2567</v>
      </c>
      <c r="F111" s="2437" t="s">
        <v>2279</v>
      </c>
      <c r="G111" s="2437" t="s">
        <v>24</v>
      </c>
      <c r="H111" s="2437" t="s">
        <v>24</v>
      </c>
      <c r="I111" s="2437" t="s">
        <v>733</v>
      </c>
    </row>
    <row customHeight="1" ht="11.25">
      <c r="A112" s="2437" t="s">
        <v>2197</v>
      </c>
      <c r="B112" s="2437" t="s">
        <v>14</v>
      </c>
      <c r="C112" s="2437" t="s">
        <v>2568</v>
      </c>
      <c r="D112" s="2437" t="s">
        <v>2569</v>
      </c>
      <c r="E112" s="2437" t="s">
        <v>2570</v>
      </c>
      <c r="F112" s="2437" t="s">
        <v>2571</v>
      </c>
      <c r="G112" s="2437" t="s">
        <v>2572</v>
      </c>
      <c r="H112" s="2437" t="s">
        <v>24</v>
      </c>
      <c r="I112" s="2437" t="s">
        <v>733</v>
      </c>
    </row>
    <row customHeight="1" ht="11.25">
      <c r="A113" s="2437" t="s">
        <v>2197</v>
      </c>
      <c r="B113" s="2437" t="s">
        <v>14</v>
      </c>
      <c r="C113" s="2437" t="s">
        <v>2573</v>
      </c>
      <c r="D113" s="2437" t="s">
        <v>2574</v>
      </c>
      <c r="E113" s="2437" t="s">
        <v>2575</v>
      </c>
      <c r="F113" s="2437" t="s">
        <v>2576</v>
      </c>
      <c r="G113" s="2437" t="s">
        <v>24</v>
      </c>
      <c r="H113" s="2437" t="s">
        <v>24</v>
      </c>
      <c r="I113" s="2437" t="s">
        <v>733</v>
      </c>
    </row>
    <row customHeight="1" ht="11.25">
      <c r="A114" s="2437" t="s">
        <v>2197</v>
      </c>
      <c r="B114" s="2437" t="s">
        <v>14</v>
      </c>
      <c r="C114" s="2437" t="s">
        <v>2577</v>
      </c>
      <c r="D114" s="2437" t="s">
        <v>2578</v>
      </c>
      <c r="E114" s="2437" t="s">
        <v>2579</v>
      </c>
      <c r="F114" s="2437" t="s">
        <v>2238</v>
      </c>
      <c r="G114" s="2437" t="s">
        <v>24</v>
      </c>
      <c r="H114" s="2437" t="s">
        <v>24</v>
      </c>
      <c r="I114" s="2437" t="s">
        <v>733</v>
      </c>
    </row>
    <row customHeight="1" ht="11.25">
      <c r="A115" s="2437" t="s">
        <v>2197</v>
      </c>
      <c r="B115" s="2437" t="s">
        <v>14</v>
      </c>
      <c r="C115" s="2437" t="s">
        <v>2580</v>
      </c>
      <c r="D115" s="2437" t="s">
        <v>2581</v>
      </c>
      <c r="E115" s="2437" t="s">
        <v>2582</v>
      </c>
      <c r="F115" s="2437" t="s">
        <v>2583</v>
      </c>
      <c r="G115" s="2437" t="s">
        <v>24</v>
      </c>
      <c r="H115" s="2437" t="s">
        <v>24</v>
      </c>
      <c r="I115" s="2437" t="s">
        <v>733</v>
      </c>
    </row>
    <row customHeight="1" ht="11.25">
      <c r="A116" s="2437" t="s">
        <v>2197</v>
      </c>
      <c r="B116" s="2437" t="s">
        <v>14</v>
      </c>
      <c r="C116" s="2437" t="s">
        <v>2584</v>
      </c>
      <c r="D116" s="2437" t="s">
        <v>2585</v>
      </c>
      <c r="E116" s="2437" t="s">
        <v>2586</v>
      </c>
      <c r="F116" s="2437" t="s">
        <v>2212</v>
      </c>
      <c r="G116" s="2437" t="s">
        <v>24</v>
      </c>
      <c r="H116" s="2437" t="s">
        <v>24</v>
      </c>
      <c r="I116" s="2437" t="s">
        <v>733</v>
      </c>
    </row>
    <row customHeight="1" ht="11.25">
      <c r="A117" s="2437" t="s">
        <v>2197</v>
      </c>
      <c r="B117" s="2437" t="s">
        <v>14</v>
      </c>
      <c r="C117" s="2437" t="s">
        <v>2587</v>
      </c>
      <c r="D117" s="2437" t="s">
        <v>2588</v>
      </c>
      <c r="E117" s="2437" t="s">
        <v>2589</v>
      </c>
      <c r="F117" s="2437" t="s">
        <v>2395</v>
      </c>
      <c r="G117" s="2437" t="s">
        <v>24</v>
      </c>
      <c r="H117" s="2437" t="s">
        <v>24</v>
      </c>
      <c r="I117" s="2437" t="s">
        <v>733</v>
      </c>
    </row>
    <row customHeight="1" ht="11.25">
      <c r="A118" s="2437" t="s">
        <v>2197</v>
      </c>
      <c r="B118" s="2437" t="s">
        <v>14</v>
      </c>
      <c r="C118" s="2437" t="s">
        <v>2590</v>
      </c>
      <c r="D118" s="2437" t="s">
        <v>2591</v>
      </c>
      <c r="E118" s="2437" t="s">
        <v>2592</v>
      </c>
      <c r="F118" s="2437" t="s">
        <v>2238</v>
      </c>
      <c r="G118" s="2437" t="s">
        <v>24</v>
      </c>
      <c r="H118" s="2437" t="s">
        <v>24</v>
      </c>
      <c r="I118" s="2437" t="s">
        <v>733</v>
      </c>
    </row>
    <row customHeight="1" ht="11.25">
      <c r="A119" s="2437" t="s">
        <v>2197</v>
      </c>
      <c r="B119" s="2437" t="s">
        <v>14</v>
      </c>
      <c r="C119" s="2437" t="s">
        <v>2593</v>
      </c>
      <c r="D119" s="2437" t="s">
        <v>2594</v>
      </c>
      <c r="E119" s="2437" t="s">
        <v>2595</v>
      </c>
      <c r="F119" s="2437" t="s">
        <v>2238</v>
      </c>
      <c r="G119" s="2437" t="s">
        <v>24</v>
      </c>
      <c r="H119" s="2437" t="s">
        <v>24</v>
      </c>
      <c r="I119" s="2437" t="s">
        <v>733</v>
      </c>
    </row>
    <row customHeight="1" ht="11.25">
      <c r="A120" s="2437" t="s">
        <v>2197</v>
      </c>
      <c r="B120" s="2437" t="s">
        <v>14</v>
      </c>
      <c r="C120" s="2437" t="s">
        <v>2596</v>
      </c>
      <c r="D120" s="2437" t="s">
        <v>2597</v>
      </c>
      <c r="E120" s="2437" t="s">
        <v>2598</v>
      </c>
      <c r="F120" s="2437" t="s">
        <v>2238</v>
      </c>
      <c r="G120" s="2437" t="s">
        <v>24</v>
      </c>
      <c r="H120" s="2437" t="s">
        <v>24</v>
      </c>
      <c r="I120" s="2437" t="s">
        <v>733</v>
      </c>
    </row>
    <row customHeight="1" ht="11.25">
      <c r="A121" s="2437" t="s">
        <v>2197</v>
      </c>
      <c r="B121" s="2437" t="s">
        <v>14</v>
      </c>
      <c r="C121" s="2437" t="s">
        <v>2599</v>
      </c>
      <c r="D121" s="2437" t="s">
        <v>2600</v>
      </c>
      <c r="E121" s="2437" t="s">
        <v>2601</v>
      </c>
      <c r="F121" s="2437" t="s">
        <v>2212</v>
      </c>
      <c r="G121" s="2437" t="s">
        <v>24</v>
      </c>
      <c r="H121" s="2437" t="s">
        <v>24</v>
      </c>
      <c r="I121" s="2437" t="s">
        <v>733</v>
      </c>
    </row>
    <row customHeight="1" ht="11.25">
      <c r="A122" s="2437" t="s">
        <v>2197</v>
      </c>
      <c r="B122" s="2437" t="s">
        <v>14</v>
      </c>
      <c r="C122" s="2437" t="s">
        <v>2602</v>
      </c>
      <c r="D122" s="2437" t="s">
        <v>2603</v>
      </c>
      <c r="E122" s="2437" t="s">
        <v>2604</v>
      </c>
      <c r="F122" s="2437" t="s">
        <v>2212</v>
      </c>
      <c r="G122" s="2437" t="s">
        <v>24</v>
      </c>
      <c r="H122" s="2437" t="s">
        <v>24</v>
      </c>
      <c r="I122" s="2437" t="s">
        <v>733</v>
      </c>
    </row>
    <row customHeight="1" ht="11.25">
      <c r="A123" s="2437" t="s">
        <v>2197</v>
      </c>
      <c r="B123" s="2437" t="s">
        <v>14</v>
      </c>
      <c r="C123" s="2437" t="s">
        <v>2605</v>
      </c>
      <c r="D123" s="2437" t="s">
        <v>2606</v>
      </c>
      <c r="E123" s="2437" t="s">
        <v>2607</v>
      </c>
      <c r="F123" s="2437" t="s">
        <v>2583</v>
      </c>
      <c r="G123" s="2437" t="s">
        <v>24</v>
      </c>
      <c r="H123" s="2437" t="s">
        <v>24</v>
      </c>
      <c r="I123" s="2437" t="s">
        <v>733</v>
      </c>
    </row>
    <row customHeight="1" ht="11.25">
      <c r="A124" s="2437" t="s">
        <v>2197</v>
      </c>
      <c r="B124" s="2437" t="s">
        <v>14</v>
      </c>
      <c r="C124" s="2437" t="s">
        <v>2608</v>
      </c>
      <c r="D124" s="2437" t="s">
        <v>2609</v>
      </c>
      <c r="E124" s="2437" t="s">
        <v>2610</v>
      </c>
      <c r="F124" s="2437" t="s">
        <v>2212</v>
      </c>
      <c r="G124" s="2437" t="s">
        <v>2611</v>
      </c>
      <c r="H124" s="2437" t="s">
        <v>24</v>
      </c>
      <c r="I124" s="2437" t="s">
        <v>733</v>
      </c>
    </row>
    <row customHeight="1" ht="11.25">
      <c r="A125" s="2437" t="s">
        <v>2197</v>
      </c>
      <c r="B125" s="2437" t="s">
        <v>14</v>
      </c>
      <c r="C125" s="2437" t="s">
        <v>2612</v>
      </c>
      <c r="D125" s="2437" t="s">
        <v>2613</v>
      </c>
      <c r="E125" s="2437" t="s">
        <v>2614</v>
      </c>
      <c r="F125" s="2437" t="s">
        <v>2216</v>
      </c>
      <c r="G125" s="2437" t="s">
        <v>24</v>
      </c>
      <c r="H125" s="2437" t="s">
        <v>24</v>
      </c>
      <c r="I125" s="2437" t="s">
        <v>733</v>
      </c>
    </row>
    <row customHeight="1" ht="11.25">
      <c r="A126" s="2437" t="s">
        <v>2197</v>
      </c>
      <c r="B126" s="2437" t="s">
        <v>14</v>
      </c>
      <c r="C126" s="2437" t="s">
        <v>2615</v>
      </c>
      <c r="D126" s="2437" t="s">
        <v>2616</v>
      </c>
      <c r="E126" s="2437" t="s">
        <v>2617</v>
      </c>
      <c r="F126" s="2437" t="s">
        <v>2497</v>
      </c>
      <c r="G126" s="2437" t="s">
        <v>2618</v>
      </c>
      <c r="H126" s="2437" t="s">
        <v>24</v>
      </c>
      <c r="I126" s="2437" t="s">
        <v>733</v>
      </c>
    </row>
    <row customHeight="1" ht="11.25">
      <c r="A127" s="2437" t="s">
        <v>2197</v>
      </c>
      <c r="B127" s="2437" t="s">
        <v>14</v>
      </c>
      <c r="C127" s="2437" t="s">
        <v>2619</v>
      </c>
      <c r="D127" s="2437" t="s">
        <v>2620</v>
      </c>
      <c r="E127" s="2437" t="s">
        <v>2621</v>
      </c>
      <c r="F127" s="2437" t="s">
        <v>2358</v>
      </c>
      <c r="G127" s="2437" t="s">
        <v>24</v>
      </c>
      <c r="H127" s="2437" t="s">
        <v>24</v>
      </c>
      <c r="I127" s="2437" t="s">
        <v>733</v>
      </c>
    </row>
    <row customHeight="1" ht="11.25">
      <c r="A128" s="2437" t="s">
        <v>2197</v>
      </c>
      <c r="B128" s="2437" t="s">
        <v>14</v>
      </c>
      <c r="C128" s="2437" t="s">
        <v>2622</v>
      </c>
      <c r="D128" s="2437" t="s">
        <v>2623</v>
      </c>
      <c r="E128" s="2437" t="s">
        <v>2624</v>
      </c>
      <c r="F128" s="2437" t="s">
        <v>2238</v>
      </c>
      <c r="G128" s="2437" t="s">
        <v>24</v>
      </c>
      <c r="H128" s="2437" t="s">
        <v>24</v>
      </c>
      <c r="I128" s="2437" t="s">
        <v>733</v>
      </c>
    </row>
    <row customHeight="1" ht="11.25">
      <c r="A129" s="2437" t="s">
        <v>2197</v>
      </c>
      <c r="B129" s="2437" t="s">
        <v>14</v>
      </c>
      <c r="C129" s="2437" t="s">
        <v>2625</v>
      </c>
      <c r="D129" s="2437" t="s">
        <v>2626</v>
      </c>
      <c r="E129" s="2437" t="s">
        <v>2627</v>
      </c>
      <c r="F129" s="2437" t="s">
        <v>2358</v>
      </c>
      <c r="G129" s="2437" t="s">
        <v>24</v>
      </c>
      <c r="H129" s="2437" t="s">
        <v>24</v>
      </c>
      <c r="I129" s="2437" t="s">
        <v>733</v>
      </c>
    </row>
    <row customHeight="1" ht="11.25">
      <c r="A130" s="2437" t="s">
        <v>2197</v>
      </c>
      <c r="B130" s="2437" t="s">
        <v>14</v>
      </c>
      <c r="C130" s="2437" t="s">
        <v>2628</v>
      </c>
      <c r="D130" s="2437" t="s">
        <v>2629</v>
      </c>
      <c r="E130" s="2437" t="s">
        <v>2630</v>
      </c>
      <c r="F130" s="2437" t="s">
        <v>2358</v>
      </c>
      <c r="G130" s="2437" t="s">
        <v>2631</v>
      </c>
      <c r="H130" s="2437" t="s">
        <v>24</v>
      </c>
      <c r="I130" s="2437" t="s">
        <v>733</v>
      </c>
    </row>
    <row customHeight="1" ht="11.25">
      <c r="A131" s="2437" t="s">
        <v>2197</v>
      </c>
      <c r="B131" s="2437" t="s">
        <v>14</v>
      </c>
      <c r="C131" s="2437" t="s">
        <v>2632</v>
      </c>
      <c r="D131" s="2437" t="s">
        <v>2633</v>
      </c>
      <c r="E131" s="2437" t="s">
        <v>2634</v>
      </c>
      <c r="F131" s="2437" t="s">
        <v>2223</v>
      </c>
      <c r="G131" s="2437" t="s">
        <v>24</v>
      </c>
      <c r="H131" s="2437" t="s">
        <v>24</v>
      </c>
      <c r="I131" s="2437" t="s">
        <v>733</v>
      </c>
    </row>
    <row customHeight="1" ht="11.25">
      <c r="A132" s="2437" t="s">
        <v>2197</v>
      </c>
      <c r="B132" s="2437" t="s">
        <v>14</v>
      </c>
      <c r="C132" s="2437" t="s">
        <v>2635</v>
      </c>
      <c r="D132" s="2437" t="s">
        <v>2636</v>
      </c>
      <c r="E132" s="2437" t="s">
        <v>2637</v>
      </c>
      <c r="F132" s="2437" t="s">
        <v>2386</v>
      </c>
      <c r="G132" s="2437" t="s">
        <v>24</v>
      </c>
      <c r="H132" s="2437" t="s">
        <v>24</v>
      </c>
      <c r="I132" s="2437" t="s">
        <v>733</v>
      </c>
    </row>
    <row customHeight="1" ht="11.25">
      <c r="A133" s="2437" t="s">
        <v>2197</v>
      </c>
      <c r="B133" s="2437" t="s">
        <v>14</v>
      </c>
      <c r="C133" s="2437" t="s">
        <v>2638</v>
      </c>
      <c r="D133" s="2437" t="s">
        <v>2639</v>
      </c>
      <c r="E133" s="2437" t="s">
        <v>2640</v>
      </c>
      <c r="F133" s="2437" t="s">
        <v>2583</v>
      </c>
      <c r="G133" s="2437" t="s">
        <v>24</v>
      </c>
      <c r="H133" s="2437" t="s">
        <v>24</v>
      </c>
      <c r="I133" s="2437" t="s">
        <v>733</v>
      </c>
    </row>
    <row customHeight="1" ht="11.25">
      <c r="A134" s="2437" t="s">
        <v>2197</v>
      </c>
      <c r="B134" s="2437" t="s">
        <v>14</v>
      </c>
      <c r="C134" s="2437" t="s">
        <v>2641</v>
      </c>
      <c r="D134" s="2437" t="s">
        <v>2642</v>
      </c>
      <c r="E134" s="2437" t="s">
        <v>2643</v>
      </c>
      <c r="F134" s="2437" t="s">
        <v>2497</v>
      </c>
      <c r="G134" s="2437" t="s">
        <v>24</v>
      </c>
      <c r="H134" s="2437" t="s">
        <v>24</v>
      </c>
      <c r="I134" s="2437" t="s">
        <v>733</v>
      </c>
    </row>
    <row customHeight="1" ht="11.25">
      <c r="A135" s="2437" t="s">
        <v>2197</v>
      </c>
      <c r="B135" s="2437" t="s">
        <v>14</v>
      </c>
      <c r="C135" s="2437" t="s">
        <v>2644</v>
      </c>
      <c r="D135" s="2437" t="s">
        <v>2645</v>
      </c>
      <c r="E135" s="2437" t="s">
        <v>2646</v>
      </c>
      <c r="F135" s="2437" t="s">
        <v>2279</v>
      </c>
      <c r="G135" s="2437" t="s">
        <v>24</v>
      </c>
      <c r="H135" s="2437" t="s">
        <v>24</v>
      </c>
      <c r="I135" s="2437" t="s">
        <v>733</v>
      </c>
    </row>
    <row customHeight="1" ht="11.25">
      <c r="A136" s="2437" t="s">
        <v>2197</v>
      </c>
      <c r="B136" s="2437" t="s">
        <v>14</v>
      </c>
      <c r="C136" s="2437" t="s">
        <v>2647</v>
      </c>
      <c r="D136" s="2437" t="s">
        <v>2648</v>
      </c>
      <c r="E136" s="2437" t="s">
        <v>2649</v>
      </c>
      <c r="F136" s="2437" t="s">
        <v>2391</v>
      </c>
      <c r="G136" s="2437" t="s">
        <v>24</v>
      </c>
      <c r="H136" s="2437" t="s">
        <v>24</v>
      </c>
      <c r="I136" s="2437" t="s">
        <v>733</v>
      </c>
    </row>
    <row customHeight="1" ht="11.25">
      <c r="A137" s="2437" t="s">
        <v>2197</v>
      </c>
      <c r="B137" s="2437" t="s">
        <v>14</v>
      </c>
      <c r="C137" s="2437" t="s">
        <v>2650</v>
      </c>
      <c r="D137" s="2437" t="s">
        <v>2651</v>
      </c>
      <c r="E137" s="2437" t="s">
        <v>2652</v>
      </c>
      <c r="F137" s="2437" t="s">
        <v>2653</v>
      </c>
      <c r="G137" s="2437" t="s">
        <v>24</v>
      </c>
      <c r="H137" s="2437" t="s">
        <v>24</v>
      </c>
      <c r="I137" s="2437" t="s">
        <v>733</v>
      </c>
    </row>
    <row customHeight="1" ht="11.25">
      <c r="A138" s="2437" t="s">
        <v>2197</v>
      </c>
      <c r="B138" s="2437" t="s">
        <v>14</v>
      </c>
      <c r="C138" s="2437" t="s">
        <v>2654</v>
      </c>
      <c r="D138" s="2437" t="s">
        <v>2655</v>
      </c>
      <c r="E138" s="2437" t="s">
        <v>2656</v>
      </c>
      <c r="F138" s="2437" t="s">
        <v>50</v>
      </c>
      <c r="G138" s="2437" t="s">
        <v>24</v>
      </c>
      <c r="H138" s="2437" t="s">
        <v>24</v>
      </c>
      <c r="I138" s="2437" t="s">
        <v>733</v>
      </c>
    </row>
    <row customHeight="1" ht="11.25">
      <c r="A139" s="2437" t="s">
        <v>2197</v>
      </c>
      <c r="B139" s="2437" t="s">
        <v>14</v>
      </c>
      <c r="C139" s="2437" t="s">
        <v>2657</v>
      </c>
      <c r="D139" s="2437" t="s">
        <v>2658</v>
      </c>
      <c r="E139" s="2437" t="s">
        <v>2659</v>
      </c>
      <c r="F139" s="2437" t="s">
        <v>50</v>
      </c>
      <c r="G139" s="2437" t="s">
        <v>24</v>
      </c>
      <c r="H139" s="2437" t="s">
        <v>24</v>
      </c>
      <c r="I139" s="2437" t="s">
        <v>733</v>
      </c>
    </row>
    <row customHeight="1" ht="11.25">
      <c r="A140" s="2437" t="s">
        <v>2197</v>
      </c>
      <c r="B140" s="2437" t="s">
        <v>14</v>
      </c>
      <c r="C140" s="2437" t="s">
        <v>2660</v>
      </c>
      <c r="D140" s="2437" t="s">
        <v>2661</v>
      </c>
      <c r="E140" s="2437" t="s">
        <v>2662</v>
      </c>
      <c r="F140" s="2437" t="s">
        <v>2261</v>
      </c>
      <c r="G140" s="2437" t="s">
        <v>24</v>
      </c>
      <c r="H140" s="2437" t="s">
        <v>24</v>
      </c>
      <c r="I140" s="2437" t="s">
        <v>733</v>
      </c>
    </row>
    <row customHeight="1" ht="11.25">
      <c r="A141" s="2437" t="s">
        <v>2197</v>
      </c>
      <c r="B141" s="2437" t="s">
        <v>14</v>
      </c>
      <c r="C141" s="2437" t="s">
        <v>2663</v>
      </c>
      <c r="D141" s="2437" t="s">
        <v>2664</v>
      </c>
      <c r="E141" s="2437" t="s">
        <v>2665</v>
      </c>
      <c r="F141" s="2437" t="s">
        <v>2583</v>
      </c>
      <c r="G141" s="2437" t="s">
        <v>24</v>
      </c>
      <c r="H141" s="2437" t="s">
        <v>24</v>
      </c>
      <c r="I141" s="2437" t="s">
        <v>733</v>
      </c>
    </row>
    <row customHeight="1" ht="11.25">
      <c r="A142" s="2437" t="s">
        <v>2197</v>
      </c>
      <c r="B142" s="2437" t="s">
        <v>14</v>
      </c>
      <c r="C142" s="2437" t="s">
        <v>2666</v>
      </c>
      <c r="D142" s="2437" t="s">
        <v>2667</v>
      </c>
      <c r="E142" s="2437" t="s">
        <v>2668</v>
      </c>
      <c r="F142" s="2437" t="s">
        <v>2216</v>
      </c>
      <c r="G142" s="2437" t="s">
        <v>24</v>
      </c>
      <c r="H142" s="2437" t="s">
        <v>24</v>
      </c>
      <c r="I142" s="2437" t="s">
        <v>733</v>
      </c>
    </row>
    <row customHeight="1" ht="11.25">
      <c r="A143" s="2437" t="s">
        <v>2197</v>
      </c>
      <c r="B143" s="2437" t="s">
        <v>14</v>
      </c>
      <c r="C143" s="2437" t="s">
        <v>2669</v>
      </c>
      <c r="D143" s="2437" t="s">
        <v>2670</v>
      </c>
      <c r="E143" s="2437" t="s">
        <v>2671</v>
      </c>
      <c r="F143" s="2437" t="s">
        <v>2238</v>
      </c>
      <c r="G143" s="2437" t="s">
        <v>24</v>
      </c>
      <c r="H143" s="2437" t="s">
        <v>24</v>
      </c>
      <c r="I143" s="2437" t="s">
        <v>733</v>
      </c>
    </row>
    <row customHeight="1" ht="11.25">
      <c r="A144" s="2437" t="s">
        <v>2197</v>
      </c>
      <c r="B144" s="2437" t="s">
        <v>14</v>
      </c>
      <c r="C144" s="2437" t="s">
        <v>2672</v>
      </c>
      <c r="D144" s="2437" t="s">
        <v>2673</v>
      </c>
      <c r="E144" s="2437" t="s">
        <v>2674</v>
      </c>
      <c r="F144" s="2437" t="s">
        <v>2296</v>
      </c>
      <c r="G144" s="2437" t="s">
        <v>24</v>
      </c>
      <c r="H144" s="2437" t="s">
        <v>24</v>
      </c>
      <c r="I144" s="2437" t="s">
        <v>733</v>
      </c>
    </row>
    <row customHeight="1" ht="11.25">
      <c r="A145" s="2437" t="s">
        <v>2197</v>
      </c>
      <c r="B145" s="2437" t="s">
        <v>14</v>
      </c>
      <c r="C145" s="2437" t="s">
        <v>2675</v>
      </c>
      <c r="D145" s="2437" t="s">
        <v>2676</v>
      </c>
      <c r="E145" s="2437" t="s">
        <v>2677</v>
      </c>
      <c r="F145" s="2437" t="s">
        <v>2386</v>
      </c>
      <c r="G145" s="2437" t="s">
        <v>24</v>
      </c>
      <c r="H145" s="2437" t="s">
        <v>24</v>
      </c>
      <c r="I145" s="2437" t="s">
        <v>733</v>
      </c>
    </row>
    <row customHeight="1" ht="11.25">
      <c r="A146" s="2437" t="s">
        <v>2197</v>
      </c>
      <c r="B146" s="2437" t="s">
        <v>14</v>
      </c>
      <c r="C146" s="2437" t="s">
        <v>2678</v>
      </c>
      <c r="D146" s="2437" t="s">
        <v>2679</v>
      </c>
      <c r="E146" s="2437" t="s">
        <v>2680</v>
      </c>
      <c r="F146" s="2437" t="s">
        <v>2212</v>
      </c>
      <c r="G146" s="2437" t="s">
        <v>24</v>
      </c>
      <c r="H146" s="2437" t="s">
        <v>24</v>
      </c>
      <c r="I146" s="2437" t="s">
        <v>733</v>
      </c>
    </row>
    <row customHeight="1" ht="11.25">
      <c r="A147" s="2437" t="s">
        <v>2197</v>
      </c>
      <c r="B147" s="2437" t="s">
        <v>14</v>
      </c>
      <c r="C147" s="2437" t="s">
        <v>2681</v>
      </c>
      <c r="D147" s="2437" t="s">
        <v>2679</v>
      </c>
      <c r="E147" s="2437" t="s">
        <v>2680</v>
      </c>
      <c r="F147" s="2437" t="s">
        <v>2227</v>
      </c>
      <c r="G147" s="2437" t="s">
        <v>24</v>
      </c>
      <c r="H147" s="2437" t="s">
        <v>24</v>
      </c>
      <c r="I147" s="2437" t="s">
        <v>733</v>
      </c>
    </row>
    <row customHeight="1" ht="11.25">
      <c r="A148" s="2437" t="s">
        <v>2197</v>
      </c>
      <c r="B148" s="2437" t="s">
        <v>14</v>
      </c>
      <c r="C148" s="2437" t="s">
        <v>2682</v>
      </c>
      <c r="D148" s="2437" t="s">
        <v>2683</v>
      </c>
      <c r="E148" s="2437" t="s">
        <v>2684</v>
      </c>
      <c r="F148" s="2437" t="s">
        <v>2201</v>
      </c>
      <c r="G148" s="2437" t="s">
        <v>24</v>
      </c>
      <c r="H148" s="2437" t="s">
        <v>24</v>
      </c>
      <c r="I148" s="2437" t="s">
        <v>733</v>
      </c>
    </row>
    <row customHeight="1" ht="11.25">
      <c r="A149" s="2437" t="s">
        <v>2197</v>
      </c>
      <c r="B149" s="2437" t="s">
        <v>14</v>
      </c>
      <c r="C149" s="2437" t="s">
        <v>2685</v>
      </c>
      <c r="D149" s="2437" t="s">
        <v>2686</v>
      </c>
      <c r="E149" s="2437" t="s">
        <v>2687</v>
      </c>
      <c r="F149" s="2437" t="s">
        <v>50</v>
      </c>
      <c r="G149" s="2437" t="s">
        <v>24</v>
      </c>
      <c r="H149" s="2437" t="s">
        <v>24</v>
      </c>
      <c r="I149" s="2437" t="s">
        <v>733</v>
      </c>
    </row>
    <row customHeight="1" ht="11.25">
      <c r="A150" s="2437" t="s">
        <v>2197</v>
      </c>
      <c r="B150" s="2437" t="s">
        <v>14</v>
      </c>
      <c r="C150" s="2437" t="s">
        <v>2688</v>
      </c>
      <c r="D150" s="2437" t="s">
        <v>2689</v>
      </c>
      <c r="E150" s="2437" t="s">
        <v>2690</v>
      </c>
      <c r="F150" s="2437" t="s">
        <v>2583</v>
      </c>
      <c r="G150" s="2437" t="s">
        <v>24</v>
      </c>
      <c r="H150" s="2437" t="s">
        <v>24</v>
      </c>
      <c r="I150" s="2437" t="s">
        <v>733</v>
      </c>
    </row>
    <row customHeight="1" ht="11.25">
      <c r="A151" s="2437" t="s">
        <v>2197</v>
      </c>
      <c r="B151" s="2437" t="s">
        <v>14</v>
      </c>
      <c r="C151" s="2437" t="s">
        <v>2691</v>
      </c>
      <c r="D151" s="2437" t="s">
        <v>2692</v>
      </c>
      <c r="E151" s="2437" t="s">
        <v>2693</v>
      </c>
      <c r="F151" s="2437" t="s">
        <v>2223</v>
      </c>
      <c r="G151" s="2437" t="s">
        <v>24</v>
      </c>
      <c r="H151" s="2437" t="s">
        <v>24</v>
      </c>
      <c r="I151" s="2437" t="s">
        <v>733</v>
      </c>
    </row>
    <row customHeight="1" ht="11.25">
      <c r="A152" s="2437" t="s">
        <v>2197</v>
      </c>
      <c r="B152" s="2437" t="s">
        <v>14</v>
      </c>
      <c r="C152" s="2437" t="s">
        <v>2694</v>
      </c>
      <c r="D152" s="2437" t="s">
        <v>2695</v>
      </c>
      <c r="E152" s="2437" t="s">
        <v>2696</v>
      </c>
      <c r="F152" s="2437" t="s">
        <v>2583</v>
      </c>
      <c r="G152" s="2437" t="s">
        <v>24</v>
      </c>
      <c r="H152" s="2437" t="s">
        <v>24</v>
      </c>
      <c r="I152" s="2437" t="s">
        <v>733</v>
      </c>
    </row>
    <row customHeight="1" ht="11.25">
      <c r="A153" s="2437" t="s">
        <v>2197</v>
      </c>
      <c r="B153" s="2437" t="s">
        <v>14</v>
      </c>
      <c r="C153" s="2437" t="s">
        <v>2697</v>
      </c>
      <c r="D153" s="2437" t="s">
        <v>2698</v>
      </c>
      <c r="E153" s="2437" t="s">
        <v>2699</v>
      </c>
      <c r="F153" s="2437" t="s">
        <v>50</v>
      </c>
      <c r="G153" s="2437" t="s">
        <v>2700</v>
      </c>
      <c r="H153" s="2437" t="s">
        <v>24</v>
      </c>
      <c r="I153" s="2437" t="s">
        <v>733</v>
      </c>
    </row>
    <row customHeight="1" ht="11.25">
      <c r="A154" s="2437" t="s">
        <v>2197</v>
      </c>
      <c r="B154" s="2437" t="s">
        <v>14</v>
      </c>
      <c r="C154" s="2437" t="s">
        <v>2701</v>
      </c>
      <c r="D154" s="2437" t="s">
        <v>2702</v>
      </c>
      <c r="E154" s="2437" t="s">
        <v>2703</v>
      </c>
      <c r="F154" s="2437" t="s">
        <v>2234</v>
      </c>
      <c r="G154" s="2437" t="s">
        <v>24</v>
      </c>
      <c r="H154" s="2437" t="s">
        <v>24</v>
      </c>
      <c r="I154" s="2437" t="s">
        <v>733</v>
      </c>
    </row>
    <row customHeight="1" ht="11.25">
      <c r="A155" s="2437" t="s">
        <v>2197</v>
      </c>
      <c r="B155" s="2437" t="s">
        <v>14</v>
      </c>
      <c r="C155" s="2437" t="s">
        <v>2704</v>
      </c>
      <c r="D155" s="2437" t="s">
        <v>2705</v>
      </c>
      <c r="E155" s="2437" t="s">
        <v>2706</v>
      </c>
      <c r="F155" s="2437" t="s">
        <v>2337</v>
      </c>
      <c r="G155" s="2437" t="s">
        <v>24</v>
      </c>
      <c r="H155" s="2437" t="s">
        <v>24</v>
      </c>
      <c r="I155" s="2437" t="s">
        <v>733</v>
      </c>
    </row>
    <row customHeight="1" ht="11.25">
      <c r="A156" s="2437" t="s">
        <v>2197</v>
      </c>
      <c r="B156" s="2437" t="s">
        <v>14</v>
      </c>
      <c r="C156" s="2437" t="s">
        <v>2707</v>
      </c>
      <c r="D156" s="2437" t="s">
        <v>2708</v>
      </c>
      <c r="E156" s="2437" t="s">
        <v>48</v>
      </c>
      <c r="F156" s="2437" t="s">
        <v>2709</v>
      </c>
      <c r="G156" s="2437" t="s">
        <v>24</v>
      </c>
      <c r="H156" s="2437" t="s">
        <v>24</v>
      </c>
      <c r="I156" s="2437" t="s">
        <v>733</v>
      </c>
    </row>
    <row customHeight="1" ht="11.25">
      <c r="A157" s="2437" t="s">
        <v>2197</v>
      </c>
      <c r="B157" s="2437" t="s">
        <v>14</v>
      </c>
      <c r="C157" s="2437" t="s">
        <v>2710</v>
      </c>
      <c r="D157" s="2437" t="s">
        <v>45</v>
      </c>
      <c r="E157" s="2437" t="s">
        <v>48</v>
      </c>
      <c r="F157" s="2437" t="s">
        <v>50</v>
      </c>
      <c r="G157" s="2437" t="s">
        <v>24</v>
      </c>
      <c r="H157" s="2437" t="s">
        <v>24</v>
      </c>
      <c r="I157" s="2437" t="s">
        <v>733</v>
      </c>
    </row>
    <row customHeight="1" ht="11.25">
      <c r="A158" s="2437" t="s">
        <v>2197</v>
      </c>
      <c r="B158" s="2437" t="s">
        <v>14</v>
      </c>
      <c r="C158" s="2437" t="s">
        <v>2711</v>
      </c>
      <c r="D158" s="2437" t="s">
        <v>2712</v>
      </c>
      <c r="E158" s="2437" t="s">
        <v>2713</v>
      </c>
      <c r="F158" s="2437" t="s">
        <v>2238</v>
      </c>
      <c r="G158" s="2437" t="s">
        <v>24</v>
      </c>
      <c r="H158" s="2437" t="s">
        <v>24</v>
      </c>
      <c r="I158" s="2437" t="s">
        <v>733</v>
      </c>
    </row>
    <row customHeight="1" ht="11.25">
      <c r="A159" s="2437" t="s">
        <v>2197</v>
      </c>
      <c r="B159" s="2437" t="s">
        <v>14</v>
      </c>
      <c r="C159" s="2437" t="s">
        <v>2714</v>
      </c>
      <c r="D159" s="2437" t="s">
        <v>2715</v>
      </c>
      <c r="E159" s="2437" t="s">
        <v>2716</v>
      </c>
      <c r="F159" s="2437" t="s">
        <v>2201</v>
      </c>
      <c r="G159" s="2437" t="s">
        <v>24</v>
      </c>
      <c r="H159" s="2437" t="s">
        <v>24</v>
      </c>
      <c r="I159" s="2437" t="s">
        <v>733</v>
      </c>
    </row>
    <row customHeight="1" ht="11.25">
      <c r="A160" s="2437" t="s">
        <v>2197</v>
      </c>
      <c r="B160" s="2437" t="s">
        <v>14</v>
      </c>
      <c r="C160" s="2437" t="s">
        <v>2717</v>
      </c>
      <c r="D160" s="2437" t="s">
        <v>2718</v>
      </c>
      <c r="E160" s="2437" t="s">
        <v>2719</v>
      </c>
      <c r="F160" s="2437" t="s">
        <v>2391</v>
      </c>
      <c r="G160" s="2437" t="s">
        <v>24</v>
      </c>
      <c r="H160" s="2437" t="s">
        <v>24</v>
      </c>
      <c r="I160" s="2437" t="s">
        <v>733</v>
      </c>
    </row>
    <row customHeight="1" ht="11.25">
      <c r="A161" s="2437" t="s">
        <v>2197</v>
      </c>
      <c r="B161" s="2437" t="s">
        <v>14</v>
      </c>
      <c r="C161" s="2437" t="s">
        <v>2720</v>
      </c>
      <c r="D161" s="2437" t="s">
        <v>2721</v>
      </c>
      <c r="E161" s="2437" t="s">
        <v>2722</v>
      </c>
      <c r="F161" s="2437" t="s">
        <v>2391</v>
      </c>
      <c r="G161" s="2437" t="s">
        <v>24</v>
      </c>
      <c r="H161" s="2437" t="s">
        <v>24</v>
      </c>
      <c r="I161" s="2437" t="s">
        <v>733</v>
      </c>
    </row>
    <row customHeight="1" ht="11.25">
      <c r="A162" s="2437" t="s">
        <v>2197</v>
      </c>
      <c r="B162" s="2437" t="s">
        <v>14</v>
      </c>
      <c r="C162" s="2437" t="s">
        <v>2723</v>
      </c>
      <c r="D162" s="2437" t="s">
        <v>2724</v>
      </c>
      <c r="E162" s="2437" t="s">
        <v>2725</v>
      </c>
      <c r="F162" s="2437" t="s">
        <v>2208</v>
      </c>
      <c r="G162" s="2437" t="s">
        <v>24</v>
      </c>
      <c r="H162" s="2437" t="s">
        <v>24</v>
      </c>
      <c r="I162" s="2437" t="s">
        <v>733</v>
      </c>
    </row>
    <row customHeight="1" ht="11.25">
      <c r="A163" s="2437" t="s">
        <v>2197</v>
      </c>
      <c r="B163" s="2437" t="s">
        <v>14</v>
      </c>
      <c r="C163" s="2437" t="s">
        <v>2726</v>
      </c>
      <c r="D163" s="2437" t="s">
        <v>2727</v>
      </c>
      <c r="E163" s="2437" t="s">
        <v>2728</v>
      </c>
      <c r="F163" s="2437" t="s">
        <v>50</v>
      </c>
      <c r="G163" s="2437" t="s">
        <v>24</v>
      </c>
      <c r="H163" s="2437" t="s">
        <v>24</v>
      </c>
      <c r="I163" s="2437" t="s">
        <v>733</v>
      </c>
    </row>
    <row customHeight="1" ht="11.25">
      <c r="A164" s="2437" t="s">
        <v>2197</v>
      </c>
      <c r="B164" s="2437" t="s">
        <v>14</v>
      </c>
      <c r="C164" s="2437" t="s">
        <v>2729</v>
      </c>
      <c r="D164" s="2437" t="s">
        <v>2730</v>
      </c>
      <c r="E164" s="2437" t="s">
        <v>2731</v>
      </c>
      <c r="F164" s="2437" t="s">
        <v>2261</v>
      </c>
      <c r="G164" s="2437" t="s">
        <v>24</v>
      </c>
      <c r="H164" s="2437" t="s">
        <v>24</v>
      </c>
      <c r="I164" s="2437" t="s">
        <v>733</v>
      </c>
    </row>
    <row customHeight="1" ht="11.25">
      <c r="A165" s="2437" t="s">
        <v>2197</v>
      </c>
      <c r="B165" s="2437" t="s">
        <v>14</v>
      </c>
      <c r="C165" s="2437" t="s">
        <v>2732</v>
      </c>
      <c r="D165" s="2437" t="s">
        <v>2733</v>
      </c>
      <c r="E165" s="2437" t="s">
        <v>2734</v>
      </c>
      <c r="F165" s="2437" t="s">
        <v>2497</v>
      </c>
      <c r="G165" s="2437" t="s">
        <v>24</v>
      </c>
      <c r="H165" s="2437" t="s">
        <v>24</v>
      </c>
      <c r="I165" s="2437" t="s">
        <v>733</v>
      </c>
    </row>
    <row customHeight="1" ht="11.25">
      <c r="A166" s="2437" t="s">
        <v>2197</v>
      </c>
      <c r="B166" s="2437" t="s">
        <v>14</v>
      </c>
      <c r="C166" s="2437" t="s">
        <v>2735</v>
      </c>
      <c r="D166" s="2437" t="s">
        <v>2736</v>
      </c>
      <c r="E166" s="2437" t="s">
        <v>2737</v>
      </c>
      <c r="F166" s="2437" t="s">
        <v>2201</v>
      </c>
      <c r="G166" s="2437" t="s">
        <v>24</v>
      </c>
      <c r="H166" s="2437" t="s">
        <v>24</v>
      </c>
      <c r="I166" s="2437" t="s">
        <v>733</v>
      </c>
    </row>
    <row customHeight="1" ht="11.25">
      <c r="A167" s="2437" t="s">
        <v>2197</v>
      </c>
      <c r="B167" s="2437" t="s">
        <v>14</v>
      </c>
      <c r="C167" s="2437" t="s">
        <v>2738</v>
      </c>
      <c r="D167" s="2437" t="s">
        <v>2739</v>
      </c>
      <c r="E167" s="2437" t="s">
        <v>2740</v>
      </c>
      <c r="F167" s="2437" t="s">
        <v>2497</v>
      </c>
      <c r="G167" s="2437" t="s">
        <v>24</v>
      </c>
      <c r="H167" s="2437" t="s">
        <v>24</v>
      </c>
      <c r="I167" s="2437" t="s">
        <v>733</v>
      </c>
    </row>
    <row customHeight="1" ht="11.25">
      <c r="A168" s="2437" t="s">
        <v>2197</v>
      </c>
      <c r="B168" s="2437" t="s">
        <v>14</v>
      </c>
      <c r="C168" s="2437" t="s">
        <v>2741</v>
      </c>
      <c r="D168" s="2437" t="s">
        <v>2742</v>
      </c>
      <c r="E168" s="2437" t="s">
        <v>2743</v>
      </c>
      <c r="F168" s="2437" t="s">
        <v>2238</v>
      </c>
      <c r="G168" s="2437" t="s">
        <v>24</v>
      </c>
      <c r="H168" s="2437" t="s">
        <v>24</v>
      </c>
      <c r="I168" s="2437" t="s">
        <v>733</v>
      </c>
    </row>
    <row customHeight="1" ht="11.25">
      <c r="A169" s="2437" t="s">
        <v>2197</v>
      </c>
      <c r="B169" s="2437" t="s">
        <v>14</v>
      </c>
      <c r="C169" s="2437" t="s">
        <v>2744</v>
      </c>
      <c r="D169" s="2437" t="s">
        <v>2745</v>
      </c>
      <c r="E169" s="2437" t="s">
        <v>2746</v>
      </c>
      <c r="F169" s="2437" t="s">
        <v>2747</v>
      </c>
      <c r="G169" s="2437" t="s">
        <v>24</v>
      </c>
      <c r="H169" s="2437" t="s">
        <v>24</v>
      </c>
      <c r="I169" s="2437" t="s">
        <v>733</v>
      </c>
    </row>
    <row customHeight="1" ht="11.25">
      <c r="A170" s="2437" t="s">
        <v>2197</v>
      </c>
      <c r="B170" s="2437" t="s">
        <v>14</v>
      </c>
      <c r="C170" s="2437" t="s">
        <v>2748</v>
      </c>
      <c r="D170" s="2437" t="s">
        <v>2749</v>
      </c>
      <c r="E170" s="2437" t="s">
        <v>2750</v>
      </c>
      <c r="F170" s="2437" t="s">
        <v>50</v>
      </c>
      <c r="G170" s="2437" t="s">
        <v>24</v>
      </c>
      <c r="H170" s="2437" t="s">
        <v>24</v>
      </c>
      <c r="I170" s="2437" t="s">
        <v>733</v>
      </c>
    </row>
    <row customHeight="1" ht="11.25">
      <c r="A171" s="2437" t="s">
        <v>2197</v>
      </c>
      <c r="B171" s="2437" t="s">
        <v>14</v>
      </c>
      <c r="C171" s="2437" t="s">
        <v>2751</v>
      </c>
      <c r="D171" s="2437" t="s">
        <v>2752</v>
      </c>
      <c r="E171" s="2437" t="s">
        <v>2753</v>
      </c>
      <c r="F171" s="2437" t="s">
        <v>2227</v>
      </c>
      <c r="G171" s="2437" t="s">
        <v>24</v>
      </c>
      <c r="H171" s="2437" t="s">
        <v>24</v>
      </c>
      <c r="I171" s="2437" t="s">
        <v>733</v>
      </c>
    </row>
    <row customHeight="1" ht="11.25">
      <c r="A172" s="2437" t="s">
        <v>2197</v>
      </c>
      <c r="B172" s="2437" t="s">
        <v>14</v>
      </c>
      <c r="C172" s="2437" t="s">
        <v>2754</v>
      </c>
      <c r="D172" s="2437" t="s">
        <v>2755</v>
      </c>
      <c r="E172" s="2437" t="s">
        <v>2756</v>
      </c>
      <c r="F172" s="2437" t="s">
        <v>2757</v>
      </c>
      <c r="G172" s="2437" t="s">
        <v>24</v>
      </c>
      <c r="H172" s="2437" t="s">
        <v>24</v>
      </c>
      <c r="I172" s="2437" t="s">
        <v>733</v>
      </c>
    </row>
    <row customHeight="1" ht="11.25">
      <c r="A173" s="2437" t="s">
        <v>2197</v>
      </c>
      <c r="B173" s="2437" t="s">
        <v>14</v>
      </c>
      <c r="C173" s="2437" t="s">
        <v>2758</v>
      </c>
      <c r="D173" s="2437" t="s">
        <v>2759</v>
      </c>
      <c r="E173" s="2437" t="s">
        <v>2746</v>
      </c>
      <c r="F173" s="2437" t="s">
        <v>2411</v>
      </c>
      <c r="G173" s="2437" t="s">
        <v>24</v>
      </c>
      <c r="H173" s="2437" t="s">
        <v>24</v>
      </c>
      <c r="I173" s="2437" t="s">
        <v>733</v>
      </c>
    </row>
    <row customHeight="1" ht="11.25">
      <c r="A174" s="2437" t="s">
        <v>2197</v>
      </c>
      <c r="B174" s="2437" t="s">
        <v>14</v>
      </c>
      <c r="C174" s="2437" t="s">
        <v>2209</v>
      </c>
      <c r="D174" s="2437" t="s">
        <v>2210</v>
      </c>
      <c r="E174" s="2437" t="s">
        <v>2211</v>
      </c>
      <c r="F174" s="2437" t="s">
        <v>2212</v>
      </c>
      <c r="G174" s="2437" t="s">
        <v>24</v>
      </c>
      <c r="H174" s="2437" t="s">
        <v>24</v>
      </c>
      <c r="I174" s="2437" t="s">
        <v>817</v>
      </c>
    </row>
    <row customHeight="1" ht="11.25">
      <c r="A175" s="2437" t="s">
        <v>2197</v>
      </c>
      <c r="B175" s="2437" t="s">
        <v>14</v>
      </c>
      <c r="C175" s="2437" t="s">
        <v>2224</v>
      </c>
      <c r="D175" s="2437" t="s">
        <v>2225</v>
      </c>
      <c r="E175" s="2437" t="s">
        <v>2226</v>
      </c>
      <c r="F175" s="2437" t="s">
        <v>2227</v>
      </c>
      <c r="G175" s="2437" t="s">
        <v>24</v>
      </c>
      <c r="H175" s="2437" t="s">
        <v>24</v>
      </c>
      <c r="I175" s="2437" t="s">
        <v>817</v>
      </c>
    </row>
    <row customHeight="1" ht="11.25">
      <c r="A176" s="2437" t="s">
        <v>2197</v>
      </c>
      <c r="B176" s="2437" t="s">
        <v>14</v>
      </c>
      <c r="C176" s="2437" t="s">
        <v>2228</v>
      </c>
      <c r="D176" s="2437" t="s">
        <v>2229</v>
      </c>
      <c r="E176" s="2437" t="s">
        <v>2230</v>
      </c>
      <c r="F176" s="2437" t="s">
        <v>2231</v>
      </c>
      <c r="G176" s="2437" t="s">
        <v>2232</v>
      </c>
      <c r="H176" s="2437" t="s">
        <v>24</v>
      </c>
      <c r="I176" s="2437" t="s">
        <v>817</v>
      </c>
    </row>
    <row customHeight="1" ht="11.25">
      <c r="A177" s="2437" t="s">
        <v>2197</v>
      </c>
      <c r="B177" s="2437" t="s">
        <v>14</v>
      </c>
      <c r="C177" s="2437" t="s">
        <v>2233</v>
      </c>
      <c r="D177" s="2437" t="s">
        <v>2229</v>
      </c>
      <c r="E177" s="2437" t="s">
        <v>2230</v>
      </c>
      <c r="F177" s="2437" t="s">
        <v>2234</v>
      </c>
      <c r="G177" s="2437" t="s">
        <v>24</v>
      </c>
      <c r="H177" s="2437" t="s">
        <v>24</v>
      </c>
      <c r="I177" s="2437" t="s">
        <v>817</v>
      </c>
    </row>
    <row customHeight="1" ht="11.25">
      <c r="A178" s="2437" t="s">
        <v>2197</v>
      </c>
      <c r="B178" s="2437" t="s">
        <v>14</v>
      </c>
      <c r="C178" s="2437" t="s">
        <v>2235</v>
      </c>
      <c r="D178" s="2437" t="s">
        <v>2236</v>
      </c>
      <c r="E178" s="2437" t="s">
        <v>2237</v>
      </c>
      <c r="F178" s="2437" t="s">
        <v>2238</v>
      </c>
      <c r="G178" s="2437" t="s">
        <v>24</v>
      </c>
      <c r="H178" s="2437" t="s">
        <v>24</v>
      </c>
      <c r="I178" s="2437" t="s">
        <v>817</v>
      </c>
    </row>
    <row customHeight="1" ht="11.25">
      <c r="A179" s="2437" t="s">
        <v>2197</v>
      </c>
      <c r="B179" s="2437" t="s">
        <v>14</v>
      </c>
      <c r="C179" s="2437" t="s">
        <v>2269</v>
      </c>
      <c r="D179" s="2437" t="s">
        <v>2270</v>
      </c>
      <c r="E179" s="2437" t="s">
        <v>2271</v>
      </c>
      <c r="F179" s="2437" t="s">
        <v>2208</v>
      </c>
      <c r="G179" s="2437" t="s">
        <v>24</v>
      </c>
      <c r="H179" s="2437" t="s">
        <v>24</v>
      </c>
      <c r="I179" s="2437" t="s">
        <v>817</v>
      </c>
    </row>
    <row customHeight="1" ht="11.25">
      <c r="A180" s="2437" t="s">
        <v>2197</v>
      </c>
      <c r="B180" s="2437" t="s">
        <v>14</v>
      </c>
      <c r="C180" s="2437" t="s">
        <v>2280</v>
      </c>
      <c r="D180" s="2437" t="s">
        <v>2281</v>
      </c>
      <c r="E180" s="2437" t="s">
        <v>2282</v>
      </c>
      <c r="F180" s="2437" t="s">
        <v>2201</v>
      </c>
      <c r="G180" s="2437" t="s">
        <v>24</v>
      </c>
      <c r="H180" s="2437" t="s">
        <v>24</v>
      </c>
      <c r="I180" s="2437" t="s">
        <v>817</v>
      </c>
    </row>
    <row customHeight="1" ht="11.25">
      <c r="A181" s="2437" t="s">
        <v>2197</v>
      </c>
      <c r="B181" s="2437" t="s">
        <v>14</v>
      </c>
      <c r="C181" s="2437" t="s">
        <v>2308</v>
      </c>
      <c r="D181" s="2437" t="s">
        <v>2309</v>
      </c>
      <c r="E181" s="2437" t="s">
        <v>2310</v>
      </c>
      <c r="F181" s="2437" t="s">
        <v>2311</v>
      </c>
      <c r="G181" s="2437" t="s">
        <v>24</v>
      </c>
      <c r="H181" s="2437" t="s">
        <v>24</v>
      </c>
      <c r="I181" s="2437" t="s">
        <v>817</v>
      </c>
    </row>
    <row customHeight="1" ht="11.25">
      <c r="A182" s="2437" t="s">
        <v>2197</v>
      </c>
      <c r="B182" s="2437" t="s">
        <v>14</v>
      </c>
      <c r="C182" s="2437" t="s">
        <v>2338</v>
      </c>
      <c r="D182" s="2437" t="s">
        <v>2339</v>
      </c>
      <c r="E182" s="2437" t="s">
        <v>2340</v>
      </c>
      <c r="F182" s="2437" t="s">
        <v>2201</v>
      </c>
      <c r="G182" s="2437" t="s">
        <v>24</v>
      </c>
      <c r="H182" s="2437" t="s">
        <v>24</v>
      </c>
      <c r="I182" s="2437" t="s">
        <v>817</v>
      </c>
    </row>
    <row customHeight="1" ht="11.25">
      <c r="A183" s="2437" t="s">
        <v>2197</v>
      </c>
      <c r="B183" s="2437" t="s">
        <v>14</v>
      </c>
      <c r="C183" s="2437" t="s">
        <v>2344</v>
      </c>
      <c r="D183" s="2437" t="s">
        <v>2345</v>
      </c>
      <c r="E183" s="2437" t="s">
        <v>2230</v>
      </c>
      <c r="F183" s="2437" t="s">
        <v>2346</v>
      </c>
      <c r="G183" s="2437" t="s">
        <v>2347</v>
      </c>
      <c r="H183" s="2437" t="s">
        <v>24</v>
      </c>
      <c r="I183" s="2437" t="s">
        <v>817</v>
      </c>
    </row>
    <row customHeight="1" ht="11.25">
      <c r="A184" s="2437" t="s">
        <v>2197</v>
      </c>
      <c r="B184" s="2437" t="s">
        <v>14</v>
      </c>
      <c r="C184" s="2437" t="s">
        <v>2352</v>
      </c>
      <c r="D184" s="2437" t="s">
        <v>2353</v>
      </c>
      <c r="E184" s="2437" t="s">
        <v>2354</v>
      </c>
      <c r="F184" s="2437" t="s">
        <v>2238</v>
      </c>
      <c r="G184" s="2437" t="s">
        <v>24</v>
      </c>
      <c r="H184" s="2437" t="s">
        <v>24</v>
      </c>
      <c r="I184" s="2437" t="s">
        <v>817</v>
      </c>
    </row>
    <row customHeight="1" ht="11.25">
      <c r="A185" s="2437" t="s">
        <v>2197</v>
      </c>
      <c r="B185" s="2437" t="s">
        <v>14</v>
      </c>
      <c r="C185" s="2437" t="s">
        <v>2359</v>
      </c>
      <c r="D185" s="2437" t="s">
        <v>2360</v>
      </c>
      <c r="E185" s="2437" t="s">
        <v>2361</v>
      </c>
      <c r="F185" s="2437" t="s">
        <v>2208</v>
      </c>
      <c r="G185" s="2437" t="s">
        <v>24</v>
      </c>
      <c r="H185" s="2437" t="s">
        <v>24</v>
      </c>
      <c r="I185" s="2437" t="s">
        <v>817</v>
      </c>
    </row>
    <row customHeight="1" ht="11.25">
      <c r="A186" s="2437" t="s">
        <v>2197</v>
      </c>
      <c r="B186" s="2437" t="s">
        <v>14</v>
      </c>
      <c r="C186" s="2437" t="s">
        <v>2374</v>
      </c>
      <c r="D186" s="2437" t="s">
        <v>2375</v>
      </c>
      <c r="E186" s="2437" t="s">
        <v>2376</v>
      </c>
      <c r="F186" s="2437" t="s">
        <v>2265</v>
      </c>
      <c r="G186" s="2437" t="s">
        <v>24</v>
      </c>
      <c r="H186" s="2437" t="s">
        <v>24</v>
      </c>
      <c r="I186" s="2437" t="s">
        <v>817</v>
      </c>
    </row>
    <row customHeight="1" ht="11.25">
      <c r="A187" s="2437" t="s">
        <v>2197</v>
      </c>
      <c r="B187" s="2437" t="s">
        <v>14</v>
      </c>
      <c r="C187" s="2437" t="s">
        <v>24</v>
      </c>
      <c r="D187" s="2437" t="s">
        <v>2406</v>
      </c>
      <c r="E187" s="2437" t="s">
        <v>2407</v>
      </c>
      <c r="F187" s="2437" t="s">
        <v>2279</v>
      </c>
      <c r="G187" s="2437" t="s">
        <v>24</v>
      </c>
      <c r="H187" s="2437" t="s">
        <v>24</v>
      </c>
      <c r="I187" s="2437" t="s">
        <v>817</v>
      </c>
    </row>
    <row customHeight="1" ht="11.25">
      <c r="A188" s="2437" t="s">
        <v>2197</v>
      </c>
      <c r="B188" s="2437" t="s">
        <v>14</v>
      </c>
      <c r="C188" s="2437" t="s">
        <v>2412</v>
      </c>
      <c r="D188" s="2437" t="s">
        <v>2413</v>
      </c>
      <c r="E188" s="2437" t="s">
        <v>2414</v>
      </c>
      <c r="F188" s="2437" t="s">
        <v>2208</v>
      </c>
      <c r="G188" s="2437" t="s">
        <v>24</v>
      </c>
      <c r="H188" s="2437" t="s">
        <v>24</v>
      </c>
      <c r="I188" s="2437" t="s">
        <v>817</v>
      </c>
    </row>
    <row customHeight="1" ht="11.25">
      <c r="A189" s="2437" t="s">
        <v>2197</v>
      </c>
      <c r="B189" s="2437" t="s">
        <v>14</v>
      </c>
      <c r="C189" s="2437" t="s">
        <v>2455</v>
      </c>
      <c r="D189" s="2437" t="s">
        <v>2456</v>
      </c>
      <c r="E189" s="2437" t="s">
        <v>2457</v>
      </c>
      <c r="F189" s="2437" t="s">
        <v>2358</v>
      </c>
      <c r="G189" s="2437" t="s">
        <v>24</v>
      </c>
      <c r="H189" s="2437" t="s">
        <v>24</v>
      </c>
      <c r="I189" s="2437" t="s">
        <v>817</v>
      </c>
    </row>
    <row customHeight="1" ht="11.25">
      <c r="A190" s="2437" t="s">
        <v>2197</v>
      </c>
      <c r="B190" s="2437" t="s">
        <v>14</v>
      </c>
      <c r="C190" s="2437" t="s">
        <v>2467</v>
      </c>
      <c r="D190" s="2437" t="s">
        <v>2468</v>
      </c>
      <c r="E190" s="2437" t="s">
        <v>2469</v>
      </c>
      <c r="F190" s="2437" t="s">
        <v>2470</v>
      </c>
      <c r="G190" s="2437" t="s">
        <v>2471</v>
      </c>
      <c r="H190" s="2437" t="s">
        <v>24</v>
      </c>
      <c r="I190" s="2437" t="s">
        <v>817</v>
      </c>
    </row>
    <row customHeight="1" ht="11.25">
      <c r="A191" s="2437" t="s">
        <v>2197</v>
      </c>
      <c r="B191" s="2437" t="s">
        <v>14</v>
      </c>
      <c r="C191" s="2437" t="s">
        <v>2518</v>
      </c>
      <c r="D191" s="2437" t="s">
        <v>2519</v>
      </c>
      <c r="E191" s="2437" t="s">
        <v>2520</v>
      </c>
      <c r="F191" s="2437" t="s">
        <v>2223</v>
      </c>
      <c r="G191" s="2437" t="s">
        <v>24</v>
      </c>
      <c r="H191" s="2437" t="s">
        <v>24</v>
      </c>
      <c r="I191" s="2437" t="s">
        <v>817</v>
      </c>
    </row>
    <row customHeight="1" ht="11.25">
      <c r="A192" s="2437" t="s">
        <v>2197</v>
      </c>
      <c r="B192" s="2437" t="s">
        <v>14</v>
      </c>
      <c r="C192" s="2437" t="s">
        <v>2521</v>
      </c>
      <c r="D192" s="2437" t="s">
        <v>2522</v>
      </c>
      <c r="E192" s="2437" t="s">
        <v>2523</v>
      </c>
      <c r="F192" s="2437" t="s">
        <v>2296</v>
      </c>
      <c r="G192" s="2437" t="s">
        <v>24</v>
      </c>
      <c r="H192" s="2437" t="s">
        <v>24</v>
      </c>
      <c r="I192" s="2437" t="s">
        <v>817</v>
      </c>
    </row>
    <row customHeight="1" ht="11.25">
      <c r="A193" s="2437" t="s">
        <v>2197</v>
      </c>
      <c r="B193" s="2437" t="s">
        <v>14</v>
      </c>
      <c r="C193" s="2437" t="s">
        <v>2530</v>
      </c>
      <c r="D193" s="2437" t="s">
        <v>2531</v>
      </c>
      <c r="E193" s="2437" t="s">
        <v>2532</v>
      </c>
      <c r="F193" s="2437" t="s">
        <v>2533</v>
      </c>
      <c r="G193" s="2437" t="s">
        <v>2534</v>
      </c>
      <c r="H193" s="2437" t="s">
        <v>24</v>
      </c>
      <c r="I193" s="2437" t="s">
        <v>817</v>
      </c>
    </row>
    <row customHeight="1" ht="11.25">
      <c r="A194" s="2437" t="s">
        <v>2197</v>
      </c>
      <c r="B194" s="2437" t="s">
        <v>14</v>
      </c>
      <c r="C194" s="2437" t="s">
        <v>2535</v>
      </c>
      <c r="D194" s="2437" t="s">
        <v>2531</v>
      </c>
      <c r="E194" s="2437" t="s">
        <v>2532</v>
      </c>
      <c r="F194" s="2437" t="s">
        <v>2536</v>
      </c>
      <c r="G194" s="2437" t="s">
        <v>24</v>
      </c>
      <c r="H194" s="2437" t="s">
        <v>24</v>
      </c>
      <c r="I194" s="2437" t="s">
        <v>817</v>
      </c>
    </row>
    <row customHeight="1" ht="11.25">
      <c r="A195" s="2437" t="s">
        <v>2197</v>
      </c>
      <c r="B195" s="2437" t="s">
        <v>14</v>
      </c>
      <c r="C195" s="2437" t="s">
        <v>2537</v>
      </c>
      <c r="D195" s="2437" t="s">
        <v>2538</v>
      </c>
      <c r="E195" s="2437" t="s">
        <v>2539</v>
      </c>
      <c r="F195" s="2437" t="s">
        <v>2540</v>
      </c>
      <c r="G195" s="2437" t="s">
        <v>2541</v>
      </c>
      <c r="H195" s="2437" t="s">
        <v>24</v>
      </c>
      <c r="I195" s="2437" t="s">
        <v>817</v>
      </c>
    </row>
    <row customHeight="1" ht="11.25">
      <c r="A196" s="2437" t="s">
        <v>2197</v>
      </c>
      <c r="B196" s="2437" t="s">
        <v>14</v>
      </c>
      <c r="C196" s="2437" t="s">
        <v>2551</v>
      </c>
      <c r="D196" s="2437" t="s">
        <v>2552</v>
      </c>
      <c r="E196" s="2437" t="s">
        <v>2553</v>
      </c>
      <c r="F196" s="2437" t="s">
        <v>2212</v>
      </c>
      <c r="G196" s="2437" t="s">
        <v>24</v>
      </c>
      <c r="H196" s="2437" t="s">
        <v>24</v>
      </c>
      <c r="I196" s="2437" t="s">
        <v>817</v>
      </c>
    </row>
    <row customHeight="1" ht="11.25">
      <c r="A197" s="2437" t="s">
        <v>2197</v>
      </c>
      <c r="B197" s="2437" t="s">
        <v>14</v>
      </c>
      <c r="C197" s="2437" t="s">
        <v>2554</v>
      </c>
      <c r="D197" s="2437" t="s">
        <v>2555</v>
      </c>
      <c r="E197" s="2437" t="s">
        <v>2556</v>
      </c>
      <c r="F197" s="2437" t="s">
        <v>2216</v>
      </c>
      <c r="G197" s="2437" t="s">
        <v>2557</v>
      </c>
      <c r="H197" s="2437" t="s">
        <v>24</v>
      </c>
      <c r="I197" s="2437" t="s">
        <v>817</v>
      </c>
    </row>
    <row customHeight="1" ht="11.25">
      <c r="A198" s="2437" t="s">
        <v>2197</v>
      </c>
      <c r="B198" s="2437" t="s">
        <v>14</v>
      </c>
      <c r="C198" s="2437" t="s">
        <v>2565</v>
      </c>
      <c r="D198" s="2437" t="s">
        <v>2566</v>
      </c>
      <c r="E198" s="2437" t="s">
        <v>2567</v>
      </c>
      <c r="F198" s="2437" t="s">
        <v>2279</v>
      </c>
      <c r="G198" s="2437" t="s">
        <v>24</v>
      </c>
      <c r="H198" s="2437" t="s">
        <v>24</v>
      </c>
      <c r="I198" s="2437" t="s">
        <v>817</v>
      </c>
    </row>
    <row customHeight="1" ht="11.25">
      <c r="A199" s="2437" t="s">
        <v>2197</v>
      </c>
      <c r="B199" s="2437" t="s">
        <v>14</v>
      </c>
      <c r="C199" s="2437" t="s">
        <v>2577</v>
      </c>
      <c r="D199" s="2437" t="s">
        <v>2578</v>
      </c>
      <c r="E199" s="2437" t="s">
        <v>2579</v>
      </c>
      <c r="F199" s="2437" t="s">
        <v>2238</v>
      </c>
      <c r="G199" s="2437" t="s">
        <v>24</v>
      </c>
      <c r="H199" s="2437" t="s">
        <v>24</v>
      </c>
      <c r="I199" s="2437" t="s">
        <v>817</v>
      </c>
    </row>
    <row customHeight="1" ht="11.25">
      <c r="A200" s="2437" t="s">
        <v>2197</v>
      </c>
      <c r="B200" s="2437" t="s">
        <v>14</v>
      </c>
      <c r="C200" s="2437" t="s">
        <v>2580</v>
      </c>
      <c r="D200" s="2437" t="s">
        <v>2581</v>
      </c>
      <c r="E200" s="2437" t="s">
        <v>2582</v>
      </c>
      <c r="F200" s="2437" t="s">
        <v>2583</v>
      </c>
      <c r="G200" s="2437" t="s">
        <v>24</v>
      </c>
      <c r="H200" s="2437" t="s">
        <v>24</v>
      </c>
      <c r="I200" s="2437" t="s">
        <v>817</v>
      </c>
    </row>
    <row customHeight="1" ht="11.25">
      <c r="A201" s="2437" t="s">
        <v>2197</v>
      </c>
      <c r="B201" s="2437" t="s">
        <v>14</v>
      </c>
      <c r="C201" s="2437" t="s">
        <v>2605</v>
      </c>
      <c r="D201" s="2437" t="s">
        <v>2606</v>
      </c>
      <c r="E201" s="2437" t="s">
        <v>2607</v>
      </c>
      <c r="F201" s="2437" t="s">
        <v>2583</v>
      </c>
      <c r="G201" s="2437" t="s">
        <v>24</v>
      </c>
      <c r="H201" s="2437" t="s">
        <v>24</v>
      </c>
      <c r="I201" s="2437" t="s">
        <v>817</v>
      </c>
    </row>
    <row customHeight="1" ht="11.25">
      <c r="A202" s="2437" t="s">
        <v>2197</v>
      </c>
      <c r="B202" s="2437" t="s">
        <v>14</v>
      </c>
      <c r="C202" s="2437" t="s">
        <v>2612</v>
      </c>
      <c r="D202" s="2437" t="s">
        <v>2613</v>
      </c>
      <c r="E202" s="2437" t="s">
        <v>2614</v>
      </c>
      <c r="F202" s="2437" t="s">
        <v>2216</v>
      </c>
      <c r="G202" s="2437" t="s">
        <v>24</v>
      </c>
      <c r="H202" s="2437" t="s">
        <v>24</v>
      </c>
      <c r="I202" s="2437" t="s">
        <v>817</v>
      </c>
    </row>
    <row customHeight="1" ht="11.25">
      <c r="A203" s="2437" t="s">
        <v>2197</v>
      </c>
      <c r="B203" s="2437" t="s">
        <v>14</v>
      </c>
      <c r="C203" s="2437" t="s">
        <v>2635</v>
      </c>
      <c r="D203" s="2437" t="s">
        <v>2636</v>
      </c>
      <c r="E203" s="2437" t="s">
        <v>2637</v>
      </c>
      <c r="F203" s="2437" t="s">
        <v>2386</v>
      </c>
      <c r="G203" s="2437" t="s">
        <v>24</v>
      </c>
      <c r="H203" s="2437" t="s">
        <v>24</v>
      </c>
      <c r="I203" s="2437" t="s">
        <v>817</v>
      </c>
    </row>
    <row customHeight="1" ht="11.25">
      <c r="A204" s="2437" t="s">
        <v>2197</v>
      </c>
      <c r="B204" s="2437" t="s">
        <v>14</v>
      </c>
      <c r="C204" s="2437" t="s">
        <v>2644</v>
      </c>
      <c r="D204" s="2437" t="s">
        <v>2645</v>
      </c>
      <c r="E204" s="2437" t="s">
        <v>2646</v>
      </c>
      <c r="F204" s="2437" t="s">
        <v>2279</v>
      </c>
      <c r="G204" s="2437" t="s">
        <v>24</v>
      </c>
      <c r="H204" s="2437" t="s">
        <v>24</v>
      </c>
      <c r="I204" s="2437" t="s">
        <v>817</v>
      </c>
    </row>
    <row customHeight="1" ht="11.25">
      <c r="A205" s="2437" t="s">
        <v>2197</v>
      </c>
      <c r="B205" s="2437" t="s">
        <v>14</v>
      </c>
      <c r="C205" s="2437" t="s">
        <v>2678</v>
      </c>
      <c r="D205" s="2437" t="s">
        <v>2679</v>
      </c>
      <c r="E205" s="2437" t="s">
        <v>2680</v>
      </c>
      <c r="F205" s="2437" t="s">
        <v>2212</v>
      </c>
      <c r="G205" s="2437" t="s">
        <v>24</v>
      </c>
      <c r="H205" s="2437" t="s">
        <v>24</v>
      </c>
      <c r="I205" s="2437" t="s">
        <v>817</v>
      </c>
    </row>
    <row customHeight="1" ht="11.25">
      <c r="A206" s="2437" t="s">
        <v>2197</v>
      </c>
      <c r="B206" s="2437" t="s">
        <v>14</v>
      </c>
      <c r="C206" s="2437" t="s">
        <v>2685</v>
      </c>
      <c r="D206" s="2437" t="s">
        <v>2686</v>
      </c>
      <c r="E206" s="2437" t="s">
        <v>2687</v>
      </c>
      <c r="F206" s="2437" t="s">
        <v>50</v>
      </c>
      <c r="G206" s="2437" t="s">
        <v>24</v>
      </c>
      <c r="H206" s="2437" t="s">
        <v>24</v>
      </c>
      <c r="I206" s="2437" t="s">
        <v>817</v>
      </c>
    </row>
    <row customHeight="1" ht="11.25">
      <c r="A207" s="2437" t="s">
        <v>2197</v>
      </c>
      <c r="B207" s="2437" t="s">
        <v>14</v>
      </c>
      <c r="C207" s="2437" t="s">
        <v>2688</v>
      </c>
      <c r="D207" s="2437" t="s">
        <v>2689</v>
      </c>
      <c r="E207" s="2437" t="s">
        <v>2690</v>
      </c>
      <c r="F207" s="2437" t="s">
        <v>2583</v>
      </c>
      <c r="G207" s="2437" t="s">
        <v>24</v>
      </c>
      <c r="H207" s="2437" t="s">
        <v>24</v>
      </c>
      <c r="I207" s="2437" t="s">
        <v>817</v>
      </c>
    </row>
    <row customHeight="1" ht="11.25">
      <c r="A208" s="2437" t="s">
        <v>2197</v>
      </c>
      <c r="B208" s="2437" t="s">
        <v>14</v>
      </c>
      <c r="C208" s="2437" t="s">
        <v>2704</v>
      </c>
      <c r="D208" s="2437" t="s">
        <v>2705</v>
      </c>
      <c r="E208" s="2437" t="s">
        <v>2706</v>
      </c>
      <c r="F208" s="2437" t="s">
        <v>2337</v>
      </c>
      <c r="G208" s="2437" t="s">
        <v>24</v>
      </c>
      <c r="H208" s="2437" t="s">
        <v>24</v>
      </c>
      <c r="I208" s="2437" t="s">
        <v>817</v>
      </c>
    </row>
    <row customHeight="1" ht="11.25">
      <c r="A209" s="2437" t="s">
        <v>2197</v>
      </c>
      <c r="B209" s="2437" t="s">
        <v>14</v>
      </c>
      <c r="C209" s="2437" t="s">
        <v>2710</v>
      </c>
      <c r="D209" s="2437" t="s">
        <v>45</v>
      </c>
      <c r="E209" s="2437" t="s">
        <v>48</v>
      </c>
      <c r="F209" s="2437" t="s">
        <v>50</v>
      </c>
      <c r="G209" s="2437" t="s">
        <v>24</v>
      </c>
      <c r="H209" s="2437" t="s">
        <v>24</v>
      </c>
      <c r="I209" s="2437" t="s">
        <v>817</v>
      </c>
    </row>
    <row customHeight="1" ht="11.25">
      <c r="A210" s="2437" t="s">
        <v>2197</v>
      </c>
      <c r="B210" s="2437" t="s">
        <v>14</v>
      </c>
      <c r="C210" s="2437" t="s">
        <v>2714</v>
      </c>
      <c r="D210" s="2437" t="s">
        <v>2715</v>
      </c>
      <c r="E210" s="2437" t="s">
        <v>2716</v>
      </c>
      <c r="F210" s="2437" t="s">
        <v>2201</v>
      </c>
      <c r="G210" s="2437" t="s">
        <v>24</v>
      </c>
      <c r="H210" s="2437" t="s">
        <v>24</v>
      </c>
      <c r="I210" s="2437" t="s">
        <v>817</v>
      </c>
    </row>
    <row customHeight="1" ht="11.25">
      <c r="A211" s="2437" t="s">
        <v>2197</v>
      </c>
      <c r="B211" s="2437" t="s">
        <v>14</v>
      </c>
      <c r="C211" s="2437" t="s">
        <v>2717</v>
      </c>
      <c r="D211" s="2437" t="s">
        <v>2718</v>
      </c>
      <c r="E211" s="2437" t="s">
        <v>2719</v>
      </c>
      <c r="F211" s="2437" t="s">
        <v>2391</v>
      </c>
      <c r="G211" s="2437" t="s">
        <v>24</v>
      </c>
      <c r="H211" s="2437" t="s">
        <v>24</v>
      </c>
      <c r="I211" s="2437" t="s">
        <v>817</v>
      </c>
    </row>
    <row customHeight="1" ht="11.25">
      <c r="A212" s="2437" t="s">
        <v>2197</v>
      </c>
      <c r="B212" s="2437" t="s">
        <v>14</v>
      </c>
      <c r="C212" s="2437" t="s">
        <v>2729</v>
      </c>
      <c r="D212" s="2437" t="s">
        <v>2730</v>
      </c>
      <c r="E212" s="2437" t="s">
        <v>2731</v>
      </c>
      <c r="F212" s="2437" t="s">
        <v>2261</v>
      </c>
      <c r="G212" s="2437" t="s">
        <v>24</v>
      </c>
      <c r="H212" s="2437" t="s">
        <v>24</v>
      </c>
      <c r="I212" s="2437" t="s">
        <v>817</v>
      </c>
    </row>
    <row customHeight="1" ht="11.25">
      <c r="A213" s="2437" t="s">
        <v>2197</v>
      </c>
      <c r="B213" s="2437" t="s">
        <v>14</v>
      </c>
      <c r="C213" s="2437" t="s">
        <v>2738</v>
      </c>
      <c r="D213" s="2437" t="s">
        <v>2739</v>
      </c>
      <c r="E213" s="2437" t="s">
        <v>2740</v>
      </c>
      <c r="F213" s="2437" t="s">
        <v>2497</v>
      </c>
      <c r="G213" s="2437" t="s">
        <v>24</v>
      </c>
      <c r="H213" s="2437" t="s">
        <v>24</v>
      </c>
      <c r="I213" s="2437" t="s">
        <v>817</v>
      </c>
    </row>
    <row customHeight="1" ht="11.25">
      <c r="A214" s="2437" t="s">
        <v>2197</v>
      </c>
      <c r="B214" s="2437" t="s">
        <v>14</v>
      </c>
      <c r="C214" s="2437" t="s">
        <v>2744</v>
      </c>
      <c r="D214" s="2437" t="s">
        <v>2745</v>
      </c>
      <c r="E214" s="2437" t="s">
        <v>2746</v>
      </c>
      <c r="F214" s="2437" t="s">
        <v>2747</v>
      </c>
      <c r="G214" s="2437" t="s">
        <v>24</v>
      </c>
      <c r="H214" s="2437" t="s">
        <v>24</v>
      </c>
      <c r="I214" s="2437" t="s">
        <v>817</v>
      </c>
    </row>
    <row customHeight="1" ht="11.25">
      <c r="A215" s="2437" t="s">
        <v>2197</v>
      </c>
      <c r="B215" s="2437" t="s">
        <v>14</v>
      </c>
      <c r="C215" s="2437" t="s">
        <v>2758</v>
      </c>
      <c r="D215" s="2437" t="s">
        <v>2759</v>
      </c>
      <c r="E215" s="2437" t="s">
        <v>2746</v>
      </c>
      <c r="F215" s="2437" t="s">
        <v>2411</v>
      </c>
      <c r="G215" s="2437" t="s">
        <v>24</v>
      </c>
      <c r="H215" s="2437" t="s">
        <v>24</v>
      </c>
      <c r="I215" s="2437" t="s">
        <v>817</v>
      </c>
    </row>
    <row customHeight="1" ht="11.25">
      <c r="A216" s="2437" t="s">
        <v>2197</v>
      </c>
      <c r="B216" s="2437" t="s">
        <v>14</v>
      </c>
      <c r="C216" s="2437" t="s">
        <v>2198</v>
      </c>
      <c r="D216" s="2437" t="s">
        <v>2199</v>
      </c>
      <c r="E216" s="2437" t="s">
        <v>2200</v>
      </c>
      <c r="F216" s="2437" t="s">
        <v>2201</v>
      </c>
      <c r="G216" s="2437" t="s">
        <v>24</v>
      </c>
      <c r="H216" s="2437" t="s">
        <v>24</v>
      </c>
      <c r="I216" s="2437" t="s">
        <v>779</v>
      </c>
    </row>
    <row customHeight="1" ht="11.25">
      <c r="A217" s="2437" t="s">
        <v>2197</v>
      </c>
      <c r="B217" s="2437" t="s">
        <v>14</v>
      </c>
      <c r="C217" s="2437" t="s">
        <v>2205</v>
      </c>
      <c r="D217" s="2437" t="s">
        <v>2206</v>
      </c>
      <c r="E217" s="2437" t="s">
        <v>2207</v>
      </c>
      <c r="F217" s="2437" t="s">
        <v>2208</v>
      </c>
      <c r="G217" s="2437" t="s">
        <v>24</v>
      </c>
      <c r="H217" s="2437" t="s">
        <v>24</v>
      </c>
      <c r="I217" s="2437" t="s">
        <v>779</v>
      </c>
    </row>
    <row customHeight="1" ht="11.25">
      <c r="A218" s="2437" t="s">
        <v>2197</v>
      </c>
      <c r="B218" s="2437" t="s">
        <v>14</v>
      </c>
      <c r="C218" s="2437" t="s">
        <v>2220</v>
      </c>
      <c r="D218" s="2437" t="s">
        <v>2221</v>
      </c>
      <c r="E218" s="2437" t="s">
        <v>2222</v>
      </c>
      <c r="F218" s="2437" t="s">
        <v>2223</v>
      </c>
      <c r="G218" s="2437" t="s">
        <v>24</v>
      </c>
      <c r="H218" s="2437" t="s">
        <v>24</v>
      </c>
      <c r="I218" s="2437" t="s">
        <v>779</v>
      </c>
    </row>
    <row customHeight="1" ht="11.25">
      <c r="A219" s="2437" t="s">
        <v>2197</v>
      </c>
      <c r="B219" s="2437" t="s">
        <v>14</v>
      </c>
      <c r="C219" s="2437" t="s">
        <v>2760</v>
      </c>
      <c r="D219" s="2437" t="s">
        <v>2761</v>
      </c>
      <c r="E219" s="2437" t="s">
        <v>2762</v>
      </c>
      <c r="F219" s="2437" t="s">
        <v>2227</v>
      </c>
      <c r="G219" s="2437" t="s">
        <v>24</v>
      </c>
      <c r="H219" s="2437" t="s">
        <v>24</v>
      </c>
      <c r="I219" s="2437" t="s">
        <v>779</v>
      </c>
    </row>
    <row customHeight="1" ht="11.25">
      <c r="A220" s="2437" t="s">
        <v>2197</v>
      </c>
      <c r="B220" s="2437" t="s">
        <v>14</v>
      </c>
      <c r="C220" s="2437" t="s">
        <v>2228</v>
      </c>
      <c r="D220" s="2437" t="s">
        <v>2229</v>
      </c>
      <c r="E220" s="2437" t="s">
        <v>2230</v>
      </c>
      <c r="F220" s="2437" t="s">
        <v>2231</v>
      </c>
      <c r="G220" s="2437" t="s">
        <v>2232</v>
      </c>
      <c r="H220" s="2437" t="s">
        <v>24</v>
      </c>
      <c r="I220" s="2437" t="s">
        <v>779</v>
      </c>
    </row>
    <row customHeight="1" ht="11.25">
      <c r="A221" s="2437" t="s">
        <v>2197</v>
      </c>
      <c r="B221" s="2437" t="s">
        <v>14</v>
      </c>
      <c r="C221" s="2437" t="s">
        <v>2233</v>
      </c>
      <c r="D221" s="2437" t="s">
        <v>2229</v>
      </c>
      <c r="E221" s="2437" t="s">
        <v>2230</v>
      </c>
      <c r="F221" s="2437" t="s">
        <v>2234</v>
      </c>
      <c r="G221" s="2437" t="s">
        <v>24</v>
      </c>
      <c r="H221" s="2437" t="s">
        <v>24</v>
      </c>
      <c r="I221" s="2437" t="s">
        <v>779</v>
      </c>
    </row>
    <row customHeight="1" ht="11.25">
      <c r="A222" s="2437" t="s">
        <v>2197</v>
      </c>
      <c r="B222" s="2437" t="s">
        <v>14</v>
      </c>
      <c r="C222" s="2437" t="s">
        <v>2255</v>
      </c>
      <c r="D222" s="2437" t="s">
        <v>2256</v>
      </c>
      <c r="E222" s="2437" t="s">
        <v>2257</v>
      </c>
      <c r="F222" s="2437" t="s">
        <v>2201</v>
      </c>
      <c r="G222" s="2437" t="s">
        <v>24</v>
      </c>
      <c r="H222" s="2437" t="s">
        <v>24</v>
      </c>
      <c r="I222" s="2437" t="s">
        <v>779</v>
      </c>
    </row>
    <row customHeight="1" ht="11.25">
      <c r="A223" s="2437" t="s">
        <v>2197</v>
      </c>
      <c r="B223" s="2437" t="s">
        <v>14</v>
      </c>
      <c r="C223" s="2437" t="s">
        <v>2269</v>
      </c>
      <c r="D223" s="2437" t="s">
        <v>2270</v>
      </c>
      <c r="E223" s="2437" t="s">
        <v>2271</v>
      </c>
      <c r="F223" s="2437" t="s">
        <v>2208</v>
      </c>
      <c r="G223" s="2437" t="s">
        <v>24</v>
      </c>
      <c r="H223" s="2437" t="s">
        <v>24</v>
      </c>
      <c r="I223" s="2437" t="s">
        <v>779</v>
      </c>
    </row>
    <row customHeight="1" ht="11.25">
      <c r="A224" s="2437" t="s">
        <v>2197</v>
      </c>
      <c r="B224" s="2437" t="s">
        <v>14</v>
      </c>
      <c r="C224" s="2437" t="s">
        <v>2280</v>
      </c>
      <c r="D224" s="2437" t="s">
        <v>2281</v>
      </c>
      <c r="E224" s="2437" t="s">
        <v>2282</v>
      </c>
      <c r="F224" s="2437" t="s">
        <v>2201</v>
      </c>
      <c r="G224" s="2437" t="s">
        <v>24</v>
      </c>
      <c r="H224" s="2437" t="s">
        <v>24</v>
      </c>
      <c r="I224" s="2437" t="s">
        <v>779</v>
      </c>
    </row>
    <row customHeight="1" ht="11.25">
      <c r="A225" s="2437" t="s">
        <v>2197</v>
      </c>
      <c r="B225" s="2437" t="s">
        <v>14</v>
      </c>
      <c r="C225" s="2437" t="s">
        <v>2297</v>
      </c>
      <c r="D225" s="2437" t="s">
        <v>2298</v>
      </c>
      <c r="E225" s="2437" t="s">
        <v>2299</v>
      </c>
      <c r="F225" s="2437" t="s">
        <v>2300</v>
      </c>
      <c r="G225" s="2437" t="s">
        <v>24</v>
      </c>
      <c r="H225" s="2437" t="s">
        <v>24</v>
      </c>
      <c r="I225" s="2437" t="s">
        <v>779</v>
      </c>
    </row>
    <row customHeight="1" ht="11.25">
      <c r="A226" s="2437" t="s">
        <v>2197</v>
      </c>
      <c r="B226" s="2437" t="s">
        <v>14</v>
      </c>
      <c r="C226" s="2437" t="s">
        <v>2321</v>
      </c>
      <c r="D226" s="2437" t="s">
        <v>2322</v>
      </c>
      <c r="E226" s="2437" t="s">
        <v>2323</v>
      </c>
      <c r="F226" s="2437" t="s">
        <v>2201</v>
      </c>
      <c r="G226" s="2437" t="s">
        <v>2324</v>
      </c>
      <c r="H226" s="2437" t="s">
        <v>24</v>
      </c>
      <c r="I226" s="2437" t="s">
        <v>779</v>
      </c>
    </row>
    <row customHeight="1" ht="11.25">
      <c r="A227" s="2437" t="s">
        <v>2197</v>
      </c>
      <c r="B227" s="2437" t="s">
        <v>14</v>
      </c>
      <c r="C227" s="2437" t="s">
        <v>2344</v>
      </c>
      <c r="D227" s="2437" t="s">
        <v>2345</v>
      </c>
      <c r="E227" s="2437" t="s">
        <v>2230</v>
      </c>
      <c r="F227" s="2437" t="s">
        <v>2346</v>
      </c>
      <c r="G227" s="2437" t="s">
        <v>2347</v>
      </c>
      <c r="H227" s="2437" t="s">
        <v>24</v>
      </c>
      <c r="I227" s="2437" t="s">
        <v>779</v>
      </c>
    </row>
    <row customHeight="1" ht="11.25">
      <c r="A228" s="2437" t="s">
        <v>2197</v>
      </c>
      <c r="B228" s="2437" t="s">
        <v>14</v>
      </c>
      <c r="C228" s="2437" t="s">
        <v>2355</v>
      </c>
      <c r="D228" s="2437" t="s">
        <v>2356</v>
      </c>
      <c r="E228" s="2437" t="s">
        <v>2357</v>
      </c>
      <c r="F228" s="2437" t="s">
        <v>2358</v>
      </c>
      <c r="G228" s="2437" t="s">
        <v>24</v>
      </c>
      <c r="H228" s="2437" t="s">
        <v>24</v>
      </c>
      <c r="I228" s="2437" t="s">
        <v>779</v>
      </c>
    </row>
    <row customHeight="1" ht="11.25">
      <c r="A229" s="2437" t="s">
        <v>2197</v>
      </c>
      <c r="B229" s="2437" t="s">
        <v>14</v>
      </c>
      <c r="C229" s="2437" t="s">
        <v>2763</v>
      </c>
      <c r="D229" s="2437" t="s">
        <v>2764</v>
      </c>
      <c r="E229" s="2437" t="s">
        <v>2765</v>
      </c>
      <c r="F229" s="2437" t="s">
        <v>2201</v>
      </c>
      <c r="G229" s="2437" t="s">
        <v>24</v>
      </c>
      <c r="H229" s="2437" t="s">
        <v>24</v>
      </c>
      <c r="I229" s="2437" t="s">
        <v>779</v>
      </c>
    </row>
    <row customHeight="1" ht="11.25">
      <c r="A230" s="2437" t="s">
        <v>2197</v>
      </c>
      <c r="B230" s="2437" t="s">
        <v>14</v>
      </c>
      <c r="C230" s="2437" t="s">
        <v>2374</v>
      </c>
      <c r="D230" s="2437" t="s">
        <v>2375</v>
      </c>
      <c r="E230" s="2437" t="s">
        <v>2376</v>
      </c>
      <c r="F230" s="2437" t="s">
        <v>2265</v>
      </c>
      <c r="G230" s="2437" t="s">
        <v>24</v>
      </c>
      <c r="H230" s="2437" t="s">
        <v>24</v>
      </c>
      <c r="I230" s="2437" t="s">
        <v>779</v>
      </c>
    </row>
    <row customHeight="1" ht="11.25">
      <c r="A231" s="2437" t="s">
        <v>2197</v>
      </c>
      <c r="B231" s="2437" t="s">
        <v>14</v>
      </c>
      <c r="C231" s="2437" t="s">
        <v>24</v>
      </c>
      <c r="D231" s="2437" t="s">
        <v>2406</v>
      </c>
      <c r="E231" s="2437" t="s">
        <v>2407</v>
      </c>
      <c r="F231" s="2437" t="s">
        <v>2279</v>
      </c>
      <c r="G231" s="2437" t="s">
        <v>24</v>
      </c>
      <c r="H231" s="2437" t="s">
        <v>24</v>
      </c>
      <c r="I231" s="2437" t="s">
        <v>779</v>
      </c>
    </row>
    <row customHeight="1" ht="11.25">
      <c r="A232" s="2437" t="s">
        <v>2197</v>
      </c>
      <c r="B232" s="2437" t="s">
        <v>14</v>
      </c>
      <c r="C232" s="2437" t="s">
        <v>2415</v>
      </c>
      <c r="D232" s="2437" t="s">
        <v>2416</v>
      </c>
      <c r="E232" s="2437" t="s">
        <v>2417</v>
      </c>
      <c r="F232" s="2437" t="s">
        <v>2223</v>
      </c>
      <c r="G232" s="2437" t="s">
        <v>24</v>
      </c>
      <c r="H232" s="2437" t="s">
        <v>24</v>
      </c>
      <c r="I232" s="2437" t="s">
        <v>779</v>
      </c>
    </row>
    <row customHeight="1" ht="11.25">
      <c r="A233" s="2437" t="s">
        <v>2197</v>
      </c>
      <c r="B233" s="2437" t="s">
        <v>14</v>
      </c>
      <c r="C233" s="2437" t="s">
        <v>2467</v>
      </c>
      <c r="D233" s="2437" t="s">
        <v>2468</v>
      </c>
      <c r="E233" s="2437" t="s">
        <v>2469</v>
      </c>
      <c r="F233" s="2437" t="s">
        <v>2470</v>
      </c>
      <c r="G233" s="2437" t="s">
        <v>2471</v>
      </c>
      <c r="H233" s="2437" t="s">
        <v>24</v>
      </c>
      <c r="I233" s="2437" t="s">
        <v>779</v>
      </c>
    </row>
    <row customHeight="1" ht="11.25">
      <c r="A234" s="2437" t="s">
        <v>2197</v>
      </c>
      <c r="B234" s="2437" t="s">
        <v>14</v>
      </c>
      <c r="C234" s="2437" t="s">
        <v>2766</v>
      </c>
      <c r="D234" s="2437" t="s">
        <v>2767</v>
      </c>
      <c r="E234" s="2437" t="s">
        <v>2469</v>
      </c>
      <c r="F234" s="2437" t="s">
        <v>2768</v>
      </c>
      <c r="G234" s="2437" t="s">
        <v>2769</v>
      </c>
      <c r="H234" s="2437" t="s">
        <v>24</v>
      </c>
      <c r="I234" s="2437" t="s">
        <v>779</v>
      </c>
    </row>
    <row customHeight="1" ht="11.25">
      <c r="A235" s="2437" t="s">
        <v>2197</v>
      </c>
      <c r="B235" s="2437" t="s">
        <v>14</v>
      </c>
      <c r="C235" s="2437" t="s">
        <v>2770</v>
      </c>
      <c r="D235" s="2437" t="s">
        <v>2771</v>
      </c>
      <c r="E235" s="2437" t="s">
        <v>2772</v>
      </c>
      <c r="F235" s="2437" t="s">
        <v>2391</v>
      </c>
      <c r="G235" s="2437" t="s">
        <v>24</v>
      </c>
      <c r="H235" s="2437" t="s">
        <v>24</v>
      </c>
      <c r="I235" s="2437" t="s">
        <v>779</v>
      </c>
    </row>
    <row customHeight="1" ht="11.25">
      <c r="A236" s="2437" t="s">
        <v>2197</v>
      </c>
      <c r="B236" s="2437" t="s">
        <v>14</v>
      </c>
      <c r="C236" s="2437" t="s">
        <v>2510</v>
      </c>
      <c r="D236" s="2437" t="s">
        <v>2511</v>
      </c>
      <c r="E236" s="2437" t="s">
        <v>2512</v>
      </c>
      <c r="F236" s="2437" t="s">
        <v>2513</v>
      </c>
      <c r="G236" s="2437" t="s">
        <v>24</v>
      </c>
      <c r="H236" s="2437" t="s">
        <v>24</v>
      </c>
      <c r="I236" s="2437" t="s">
        <v>779</v>
      </c>
    </row>
    <row customHeight="1" ht="11.25">
      <c r="A237" s="2437" t="s">
        <v>2197</v>
      </c>
      <c r="B237" s="2437" t="s">
        <v>14</v>
      </c>
      <c r="C237" s="2437" t="s">
        <v>2773</v>
      </c>
      <c r="D237" s="2437" t="s">
        <v>2774</v>
      </c>
      <c r="E237" s="2437" t="s">
        <v>2775</v>
      </c>
      <c r="F237" s="2437" t="s">
        <v>2395</v>
      </c>
      <c r="G237" s="2437" t="s">
        <v>24</v>
      </c>
      <c r="H237" s="2437" t="s">
        <v>24</v>
      </c>
      <c r="I237" s="2437" t="s">
        <v>779</v>
      </c>
    </row>
    <row customHeight="1" ht="11.25">
      <c r="A238" s="2437" t="s">
        <v>2197</v>
      </c>
      <c r="B238" s="2437" t="s">
        <v>14</v>
      </c>
      <c r="C238" s="2437" t="s">
        <v>2776</v>
      </c>
      <c r="D238" s="2437" t="s">
        <v>2777</v>
      </c>
      <c r="E238" s="2437" t="s">
        <v>2778</v>
      </c>
      <c r="F238" s="2437" t="s">
        <v>2227</v>
      </c>
      <c r="G238" s="2437" t="s">
        <v>24</v>
      </c>
      <c r="H238" s="2437" t="s">
        <v>24</v>
      </c>
      <c r="I238" s="2437" t="s">
        <v>779</v>
      </c>
    </row>
    <row customHeight="1" ht="11.25">
      <c r="A239" s="2437" t="s">
        <v>2197</v>
      </c>
      <c r="B239" s="2437" t="s">
        <v>14</v>
      </c>
      <c r="C239" s="2437" t="s">
        <v>2779</v>
      </c>
      <c r="D239" s="2437" t="s">
        <v>2780</v>
      </c>
      <c r="E239" s="2437" t="s">
        <v>2781</v>
      </c>
      <c r="F239" s="2437" t="s">
        <v>2227</v>
      </c>
      <c r="G239" s="2437" t="s">
        <v>24</v>
      </c>
      <c r="H239" s="2437" t="s">
        <v>24</v>
      </c>
      <c r="I239" s="2437" t="s">
        <v>779</v>
      </c>
    </row>
    <row customHeight="1" ht="11.25">
      <c r="A240" s="2437" t="s">
        <v>2197</v>
      </c>
      <c r="B240" s="2437" t="s">
        <v>14</v>
      </c>
      <c r="C240" s="2437" t="s">
        <v>2782</v>
      </c>
      <c r="D240" s="2437" t="s">
        <v>2783</v>
      </c>
      <c r="E240" s="2437" t="s">
        <v>2784</v>
      </c>
      <c r="F240" s="2437" t="s">
        <v>2296</v>
      </c>
      <c r="G240" s="2437" t="s">
        <v>24</v>
      </c>
      <c r="H240" s="2437" t="s">
        <v>24</v>
      </c>
      <c r="I240" s="2437" t="s">
        <v>779</v>
      </c>
    </row>
    <row customHeight="1" ht="11.25">
      <c r="A241" s="2437" t="s">
        <v>2197</v>
      </c>
      <c r="B241" s="2437" t="s">
        <v>14</v>
      </c>
      <c r="C241" s="2437" t="s">
        <v>2672</v>
      </c>
      <c r="D241" s="2437" t="s">
        <v>2673</v>
      </c>
      <c r="E241" s="2437" t="s">
        <v>2674</v>
      </c>
      <c r="F241" s="2437" t="s">
        <v>2296</v>
      </c>
      <c r="G241" s="2437" t="s">
        <v>24</v>
      </c>
      <c r="H241" s="2437" t="s">
        <v>24</v>
      </c>
      <c r="I241" s="2437" t="s">
        <v>779</v>
      </c>
    </row>
    <row customHeight="1" ht="11.25">
      <c r="A242" s="2437" t="s">
        <v>2197</v>
      </c>
      <c r="B242" s="2437" t="s">
        <v>14</v>
      </c>
      <c r="C242" s="2437" t="s">
        <v>2704</v>
      </c>
      <c r="D242" s="2437" t="s">
        <v>2705</v>
      </c>
      <c r="E242" s="2437" t="s">
        <v>2706</v>
      </c>
      <c r="F242" s="2437" t="s">
        <v>2337</v>
      </c>
      <c r="G242" s="2437" t="s">
        <v>24</v>
      </c>
      <c r="H242" s="2437" t="s">
        <v>24</v>
      </c>
      <c r="I242" s="2437" t="s">
        <v>779</v>
      </c>
    </row>
    <row customHeight="1" ht="11.25">
      <c r="A243" s="2437" t="s">
        <v>2197</v>
      </c>
      <c r="B243" s="2437" t="s">
        <v>14</v>
      </c>
      <c r="C243" s="2437" t="s">
        <v>2710</v>
      </c>
      <c r="D243" s="2437" t="s">
        <v>45</v>
      </c>
      <c r="E243" s="2437" t="s">
        <v>48</v>
      </c>
      <c r="F243" s="2437" t="s">
        <v>50</v>
      </c>
      <c r="G243" s="2437" t="s">
        <v>24</v>
      </c>
      <c r="H243" s="2437" t="s">
        <v>24</v>
      </c>
      <c r="I243" s="2437" t="s">
        <v>779</v>
      </c>
    </row>
    <row customHeight="1" ht="11.25">
      <c r="A244" s="2437" t="s">
        <v>2197</v>
      </c>
      <c r="B244" s="2437" t="s">
        <v>14</v>
      </c>
      <c r="C244" s="2437" t="s">
        <v>2714</v>
      </c>
      <c r="D244" s="2437" t="s">
        <v>2715</v>
      </c>
      <c r="E244" s="2437" t="s">
        <v>2716</v>
      </c>
      <c r="F244" s="2437" t="s">
        <v>2201</v>
      </c>
      <c r="G244" s="2437" t="s">
        <v>24</v>
      </c>
      <c r="H244" s="2437" t="s">
        <v>24</v>
      </c>
      <c r="I244" s="2437" t="s">
        <v>779</v>
      </c>
    </row>
    <row customHeight="1" ht="11.25">
      <c r="A245" s="2437" t="s">
        <v>2197</v>
      </c>
      <c r="B245" s="2437" t="s">
        <v>14</v>
      </c>
      <c r="C245" s="2437" t="s">
        <v>2785</v>
      </c>
      <c r="D245" s="2437" t="s">
        <v>2786</v>
      </c>
      <c r="E245" s="2437" t="s">
        <v>2787</v>
      </c>
      <c r="F245" s="2437" t="s">
        <v>2265</v>
      </c>
      <c r="G245" s="2437" t="s">
        <v>24</v>
      </c>
      <c r="H245" s="2437" t="s">
        <v>24</v>
      </c>
      <c r="I245" s="2437" t="s">
        <v>779</v>
      </c>
    </row>
    <row customHeight="1" ht="11.25">
      <c r="A246" s="2437" t="s">
        <v>2197</v>
      </c>
      <c r="B246" s="2437" t="s">
        <v>14</v>
      </c>
      <c r="C246" s="2437" t="s">
        <v>2723</v>
      </c>
      <c r="D246" s="2437" t="s">
        <v>2724</v>
      </c>
      <c r="E246" s="2437" t="s">
        <v>2725</v>
      </c>
      <c r="F246" s="2437" t="s">
        <v>2208</v>
      </c>
      <c r="G246" s="2437" t="s">
        <v>24</v>
      </c>
      <c r="H246" s="2437" t="s">
        <v>24</v>
      </c>
      <c r="I246" s="2437" t="s">
        <v>779</v>
      </c>
    </row>
    <row customHeight="1" ht="11.25">
      <c r="A247" s="2437" t="s">
        <v>2197</v>
      </c>
      <c r="B247" s="2437" t="s">
        <v>14</v>
      </c>
      <c r="C247" s="2437" t="s">
        <v>2788</v>
      </c>
      <c r="D247" s="2437" t="s">
        <v>2789</v>
      </c>
      <c r="E247" s="2437" t="s">
        <v>2790</v>
      </c>
      <c r="F247" s="2437" t="s">
        <v>2791</v>
      </c>
      <c r="G247" s="2437" t="s">
        <v>24</v>
      </c>
      <c r="H247" s="2437" t="s">
        <v>24</v>
      </c>
      <c r="I247" s="2437" t="s">
        <v>779</v>
      </c>
    </row>
    <row customHeight="1" ht="11.25">
      <c r="A248" s="2437" t="s">
        <v>2197</v>
      </c>
      <c r="B248" s="2437" t="s">
        <v>14</v>
      </c>
      <c r="C248" s="2437" t="s">
        <v>2758</v>
      </c>
      <c r="D248" s="2437" t="s">
        <v>2759</v>
      </c>
      <c r="E248" s="2437" t="s">
        <v>2746</v>
      </c>
      <c r="F248" s="2437" t="s">
        <v>2411</v>
      </c>
      <c r="G248" s="2437" t="s">
        <v>24</v>
      </c>
      <c r="H248" s="2437" t="s">
        <v>24</v>
      </c>
      <c r="I248" s="2437" t="s">
        <v>779</v>
      </c>
    </row>
    <row customHeight="1" ht="11.25">
      <c r="A249" s="2437" t="s">
        <v>2197</v>
      </c>
      <c r="B249" s="2437" t="s">
        <v>14</v>
      </c>
      <c r="C249" s="2437" t="s">
        <v>2198</v>
      </c>
      <c r="D249" s="2437" t="s">
        <v>2199</v>
      </c>
      <c r="E249" s="2437" t="s">
        <v>2200</v>
      </c>
      <c r="F249" s="2437" t="s">
        <v>2201</v>
      </c>
      <c r="G249" s="2437" t="s">
        <v>24</v>
      </c>
      <c r="H249" s="2437" t="s">
        <v>24</v>
      </c>
      <c r="I249" s="2437" t="s">
        <v>831</v>
      </c>
    </row>
    <row customHeight="1" ht="11.25">
      <c r="A250" s="2437" t="s">
        <v>2197</v>
      </c>
      <c r="B250" s="2437" t="s">
        <v>14</v>
      </c>
      <c r="C250" s="2437" t="s">
        <v>2205</v>
      </c>
      <c r="D250" s="2437" t="s">
        <v>2206</v>
      </c>
      <c r="E250" s="2437" t="s">
        <v>2207</v>
      </c>
      <c r="F250" s="2437" t="s">
        <v>2208</v>
      </c>
      <c r="G250" s="2437" t="s">
        <v>24</v>
      </c>
      <c r="H250" s="2437" t="s">
        <v>24</v>
      </c>
      <c r="I250" s="2437" t="s">
        <v>831</v>
      </c>
    </row>
    <row customHeight="1" ht="11.25">
      <c r="A251" s="2437" t="s">
        <v>2197</v>
      </c>
      <c r="B251" s="2437" t="s">
        <v>14</v>
      </c>
      <c r="C251" s="2437" t="s">
        <v>2220</v>
      </c>
      <c r="D251" s="2437" t="s">
        <v>2221</v>
      </c>
      <c r="E251" s="2437" t="s">
        <v>2222</v>
      </c>
      <c r="F251" s="2437" t="s">
        <v>2223</v>
      </c>
      <c r="G251" s="2437" t="s">
        <v>24</v>
      </c>
      <c r="H251" s="2437" t="s">
        <v>24</v>
      </c>
      <c r="I251" s="2437" t="s">
        <v>831</v>
      </c>
    </row>
    <row customHeight="1" ht="11.25">
      <c r="A252" s="2437" t="s">
        <v>2197</v>
      </c>
      <c r="B252" s="2437" t="s">
        <v>14</v>
      </c>
      <c r="C252" s="2437" t="s">
        <v>2760</v>
      </c>
      <c r="D252" s="2437" t="s">
        <v>2761</v>
      </c>
      <c r="E252" s="2437" t="s">
        <v>2762</v>
      </c>
      <c r="F252" s="2437" t="s">
        <v>2227</v>
      </c>
      <c r="G252" s="2437" t="s">
        <v>24</v>
      </c>
      <c r="H252" s="2437" t="s">
        <v>24</v>
      </c>
      <c r="I252" s="2437" t="s">
        <v>831</v>
      </c>
    </row>
    <row customHeight="1" ht="11.25">
      <c r="A253" s="2437" t="s">
        <v>2197</v>
      </c>
      <c r="B253" s="2437" t="s">
        <v>14</v>
      </c>
      <c r="C253" s="2437" t="s">
        <v>2228</v>
      </c>
      <c r="D253" s="2437" t="s">
        <v>2229</v>
      </c>
      <c r="E253" s="2437" t="s">
        <v>2230</v>
      </c>
      <c r="F253" s="2437" t="s">
        <v>2231</v>
      </c>
      <c r="G253" s="2437" t="s">
        <v>2232</v>
      </c>
      <c r="H253" s="2437" t="s">
        <v>24</v>
      </c>
      <c r="I253" s="2437" t="s">
        <v>831</v>
      </c>
    </row>
    <row customHeight="1" ht="11.25">
      <c r="A254" s="2437" t="s">
        <v>2197</v>
      </c>
      <c r="B254" s="2437" t="s">
        <v>14</v>
      </c>
      <c r="C254" s="2437" t="s">
        <v>2233</v>
      </c>
      <c r="D254" s="2437" t="s">
        <v>2229</v>
      </c>
      <c r="E254" s="2437" t="s">
        <v>2230</v>
      </c>
      <c r="F254" s="2437" t="s">
        <v>2234</v>
      </c>
      <c r="G254" s="2437" t="s">
        <v>24</v>
      </c>
      <c r="H254" s="2437" t="s">
        <v>24</v>
      </c>
      <c r="I254" s="2437" t="s">
        <v>831</v>
      </c>
    </row>
    <row customHeight="1" ht="11.25">
      <c r="A255" s="2437" t="s">
        <v>2197</v>
      </c>
      <c r="B255" s="2437" t="s">
        <v>14</v>
      </c>
      <c r="C255" s="2437" t="s">
        <v>2255</v>
      </c>
      <c r="D255" s="2437" t="s">
        <v>2256</v>
      </c>
      <c r="E255" s="2437" t="s">
        <v>2257</v>
      </c>
      <c r="F255" s="2437" t="s">
        <v>2201</v>
      </c>
      <c r="G255" s="2437" t="s">
        <v>24</v>
      </c>
      <c r="H255" s="2437" t="s">
        <v>24</v>
      </c>
      <c r="I255" s="2437" t="s">
        <v>831</v>
      </c>
    </row>
    <row customHeight="1" ht="11.25">
      <c r="A256" s="2437" t="s">
        <v>2197</v>
      </c>
      <c r="B256" s="2437" t="s">
        <v>14</v>
      </c>
      <c r="C256" s="2437" t="s">
        <v>2269</v>
      </c>
      <c r="D256" s="2437" t="s">
        <v>2270</v>
      </c>
      <c r="E256" s="2437" t="s">
        <v>2271</v>
      </c>
      <c r="F256" s="2437" t="s">
        <v>2208</v>
      </c>
      <c r="G256" s="2437" t="s">
        <v>24</v>
      </c>
      <c r="H256" s="2437" t="s">
        <v>24</v>
      </c>
      <c r="I256" s="2437" t="s">
        <v>831</v>
      </c>
    </row>
    <row customHeight="1" ht="11.25">
      <c r="A257" s="2437" t="s">
        <v>2197</v>
      </c>
      <c r="B257" s="2437" t="s">
        <v>14</v>
      </c>
      <c r="C257" s="2437" t="s">
        <v>2280</v>
      </c>
      <c r="D257" s="2437" t="s">
        <v>2281</v>
      </c>
      <c r="E257" s="2437" t="s">
        <v>2282</v>
      </c>
      <c r="F257" s="2437" t="s">
        <v>2201</v>
      </c>
      <c r="G257" s="2437" t="s">
        <v>24</v>
      </c>
      <c r="H257" s="2437" t="s">
        <v>24</v>
      </c>
      <c r="I257" s="2437" t="s">
        <v>831</v>
      </c>
    </row>
    <row customHeight="1" ht="11.25">
      <c r="A258" s="2437" t="s">
        <v>2197</v>
      </c>
      <c r="B258" s="2437" t="s">
        <v>14</v>
      </c>
      <c r="C258" s="2437" t="s">
        <v>2297</v>
      </c>
      <c r="D258" s="2437" t="s">
        <v>2298</v>
      </c>
      <c r="E258" s="2437" t="s">
        <v>2299</v>
      </c>
      <c r="F258" s="2437" t="s">
        <v>2300</v>
      </c>
      <c r="G258" s="2437" t="s">
        <v>24</v>
      </c>
      <c r="H258" s="2437" t="s">
        <v>24</v>
      </c>
      <c r="I258" s="2437" t="s">
        <v>831</v>
      </c>
    </row>
    <row customHeight="1" ht="11.25">
      <c r="A259" s="2437" t="s">
        <v>2197</v>
      </c>
      <c r="B259" s="2437" t="s">
        <v>14</v>
      </c>
      <c r="C259" s="2437" t="s">
        <v>2321</v>
      </c>
      <c r="D259" s="2437" t="s">
        <v>2322</v>
      </c>
      <c r="E259" s="2437" t="s">
        <v>2323</v>
      </c>
      <c r="F259" s="2437" t="s">
        <v>2201</v>
      </c>
      <c r="G259" s="2437" t="s">
        <v>2324</v>
      </c>
      <c r="H259" s="2437" t="s">
        <v>24</v>
      </c>
      <c r="I259" s="2437" t="s">
        <v>831</v>
      </c>
    </row>
    <row customHeight="1" ht="11.25">
      <c r="A260" s="2437" t="s">
        <v>2197</v>
      </c>
      <c r="B260" s="2437" t="s">
        <v>14</v>
      </c>
      <c r="C260" s="2437" t="s">
        <v>2792</v>
      </c>
      <c r="D260" s="2437" t="s">
        <v>2793</v>
      </c>
      <c r="E260" s="2437" t="s">
        <v>2794</v>
      </c>
      <c r="F260" s="2437" t="s">
        <v>2395</v>
      </c>
      <c r="G260" s="2437" t="s">
        <v>24</v>
      </c>
      <c r="H260" s="2437" t="s">
        <v>24</v>
      </c>
      <c r="I260" s="2437" t="s">
        <v>831</v>
      </c>
    </row>
    <row customHeight="1" ht="11.25">
      <c r="A261" s="2437" t="s">
        <v>2197</v>
      </c>
      <c r="B261" s="2437" t="s">
        <v>14</v>
      </c>
      <c r="C261" s="2437" t="s">
        <v>2344</v>
      </c>
      <c r="D261" s="2437" t="s">
        <v>2345</v>
      </c>
      <c r="E261" s="2437" t="s">
        <v>2230</v>
      </c>
      <c r="F261" s="2437" t="s">
        <v>2346</v>
      </c>
      <c r="G261" s="2437" t="s">
        <v>2347</v>
      </c>
      <c r="H261" s="2437" t="s">
        <v>24</v>
      </c>
      <c r="I261" s="2437" t="s">
        <v>831</v>
      </c>
    </row>
    <row customHeight="1" ht="11.25">
      <c r="A262" s="2437" t="s">
        <v>2197</v>
      </c>
      <c r="B262" s="2437" t="s">
        <v>14</v>
      </c>
      <c r="C262" s="2437" t="s">
        <v>2795</v>
      </c>
      <c r="D262" s="2437" t="s">
        <v>2796</v>
      </c>
      <c r="E262" s="2437" t="s">
        <v>2797</v>
      </c>
      <c r="F262" s="2437" t="s">
        <v>2358</v>
      </c>
      <c r="G262" s="2437" t="s">
        <v>24</v>
      </c>
      <c r="H262" s="2437" t="s">
        <v>24</v>
      </c>
      <c r="I262" s="2437" t="s">
        <v>831</v>
      </c>
    </row>
    <row customHeight="1" ht="11.25">
      <c r="A263" s="2437" t="s">
        <v>2197</v>
      </c>
      <c r="B263" s="2437" t="s">
        <v>14</v>
      </c>
      <c r="C263" s="2437" t="s">
        <v>2355</v>
      </c>
      <c r="D263" s="2437" t="s">
        <v>2356</v>
      </c>
      <c r="E263" s="2437" t="s">
        <v>2357</v>
      </c>
      <c r="F263" s="2437" t="s">
        <v>2358</v>
      </c>
      <c r="G263" s="2437" t="s">
        <v>24</v>
      </c>
      <c r="H263" s="2437" t="s">
        <v>24</v>
      </c>
      <c r="I263" s="2437" t="s">
        <v>831</v>
      </c>
    </row>
    <row customHeight="1" ht="11.25">
      <c r="A264" s="2437" t="s">
        <v>2197</v>
      </c>
      <c r="B264" s="2437" t="s">
        <v>14</v>
      </c>
      <c r="C264" s="2437" t="s">
        <v>2763</v>
      </c>
      <c r="D264" s="2437" t="s">
        <v>2764</v>
      </c>
      <c r="E264" s="2437" t="s">
        <v>2765</v>
      </c>
      <c r="F264" s="2437" t="s">
        <v>2201</v>
      </c>
      <c r="G264" s="2437" t="s">
        <v>24</v>
      </c>
      <c r="H264" s="2437" t="s">
        <v>24</v>
      </c>
      <c r="I264" s="2437" t="s">
        <v>831</v>
      </c>
    </row>
    <row customHeight="1" ht="11.25">
      <c r="A265" s="2437" t="s">
        <v>2197</v>
      </c>
      <c r="B265" s="2437" t="s">
        <v>14</v>
      </c>
      <c r="C265" s="2437" t="s">
        <v>2374</v>
      </c>
      <c r="D265" s="2437" t="s">
        <v>2375</v>
      </c>
      <c r="E265" s="2437" t="s">
        <v>2376</v>
      </c>
      <c r="F265" s="2437" t="s">
        <v>2265</v>
      </c>
      <c r="G265" s="2437" t="s">
        <v>24</v>
      </c>
      <c r="H265" s="2437" t="s">
        <v>24</v>
      </c>
      <c r="I265" s="2437" t="s">
        <v>831</v>
      </c>
    </row>
    <row customHeight="1" ht="11.25">
      <c r="A266" s="2437" t="s">
        <v>2197</v>
      </c>
      <c r="B266" s="2437" t="s">
        <v>14</v>
      </c>
      <c r="C266" s="2437" t="s">
        <v>24</v>
      </c>
      <c r="D266" s="2437" t="s">
        <v>2406</v>
      </c>
      <c r="E266" s="2437" t="s">
        <v>2407</v>
      </c>
      <c r="F266" s="2437" t="s">
        <v>2279</v>
      </c>
      <c r="G266" s="2437" t="s">
        <v>24</v>
      </c>
      <c r="H266" s="2437" t="s">
        <v>24</v>
      </c>
      <c r="I266" s="2437" t="s">
        <v>831</v>
      </c>
    </row>
    <row customHeight="1" ht="11.25">
      <c r="A267" s="2437" t="s">
        <v>2197</v>
      </c>
      <c r="B267" s="2437" t="s">
        <v>14</v>
      </c>
      <c r="C267" s="2437" t="s">
        <v>2415</v>
      </c>
      <c r="D267" s="2437" t="s">
        <v>2416</v>
      </c>
      <c r="E267" s="2437" t="s">
        <v>2417</v>
      </c>
      <c r="F267" s="2437" t="s">
        <v>2223</v>
      </c>
      <c r="G267" s="2437" t="s">
        <v>24</v>
      </c>
      <c r="H267" s="2437" t="s">
        <v>24</v>
      </c>
      <c r="I267" s="2437" t="s">
        <v>831</v>
      </c>
    </row>
    <row customHeight="1" ht="11.25">
      <c r="A268" s="2437" t="s">
        <v>2197</v>
      </c>
      <c r="B268" s="2437" t="s">
        <v>14</v>
      </c>
      <c r="C268" s="2437" t="s">
        <v>2467</v>
      </c>
      <c r="D268" s="2437" t="s">
        <v>2468</v>
      </c>
      <c r="E268" s="2437" t="s">
        <v>2469</v>
      </c>
      <c r="F268" s="2437" t="s">
        <v>2470</v>
      </c>
      <c r="G268" s="2437" t="s">
        <v>2471</v>
      </c>
      <c r="H268" s="2437" t="s">
        <v>24</v>
      </c>
      <c r="I268" s="2437" t="s">
        <v>831</v>
      </c>
    </row>
    <row customHeight="1" ht="11.25">
      <c r="A269" s="2437" t="s">
        <v>2197</v>
      </c>
      <c r="B269" s="2437" t="s">
        <v>14</v>
      </c>
      <c r="C269" s="2437" t="s">
        <v>2766</v>
      </c>
      <c r="D269" s="2437" t="s">
        <v>2767</v>
      </c>
      <c r="E269" s="2437" t="s">
        <v>2469</v>
      </c>
      <c r="F269" s="2437" t="s">
        <v>2768</v>
      </c>
      <c r="G269" s="2437" t="s">
        <v>2769</v>
      </c>
      <c r="H269" s="2437" t="s">
        <v>24</v>
      </c>
      <c r="I269" s="2437" t="s">
        <v>831</v>
      </c>
    </row>
    <row customHeight="1" ht="11.25">
      <c r="A270" s="2437" t="s">
        <v>2197</v>
      </c>
      <c r="B270" s="2437" t="s">
        <v>14</v>
      </c>
      <c r="C270" s="2437" t="s">
        <v>2770</v>
      </c>
      <c r="D270" s="2437" t="s">
        <v>2771</v>
      </c>
      <c r="E270" s="2437" t="s">
        <v>2772</v>
      </c>
      <c r="F270" s="2437" t="s">
        <v>2391</v>
      </c>
      <c r="G270" s="2437" t="s">
        <v>24</v>
      </c>
      <c r="H270" s="2437" t="s">
        <v>24</v>
      </c>
      <c r="I270" s="2437" t="s">
        <v>831</v>
      </c>
    </row>
    <row customHeight="1" ht="11.25">
      <c r="A271" s="2437" t="s">
        <v>2197</v>
      </c>
      <c r="B271" s="2437" t="s">
        <v>14</v>
      </c>
      <c r="C271" s="2437" t="s">
        <v>2510</v>
      </c>
      <c r="D271" s="2437" t="s">
        <v>2511</v>
      </c>
      <c r="E271" s="2437" t="s">
        <v>2512</v>
      </c>
      <c r="F271" s="2437" t="s">
        <v>2513</v>
      </c>
      <c r="G271" s="2437" t="s">
        <v>24</v>
      </c>
      <c r="H271" s="2437" t="s">
        <v>24</v>
      </c>
      <c r="I271" s="2437" t="s">
        <v>831</v>
      </c>
    </row>
    <row customHeight="1" ht="11.25">
      <c r="A272" s="2437" t="s">
        <v>2197</v>
      </c>
      <c r="B272" s="2437" t="s">
        <v>14</v>
      </c>
      <c r="C272" s="2437" t="s">
        <v>2773</v>
      </c>
      <c r="D272" s="2437" t="s">
        <v>2774</v>
      </c>
      <c r="E272" s="2437" t="s">
        <v>2775</v>
      </c>
      <c r="F272" s="2437" t="s">
        <v>2395</v>
      </c>
      <c r="G272" s="2437" t="s">
        <v>24</v>
      </c>
      <c r="H272" s="2437" t="s">
        <v>24</v>
      </c>
      <c r="I272" s="2437" t="s">
        <v>831</v>
      </c>
    </row>
    <row customHeight="1" ht="11.25">
      <c r="A273" s="2437" t="s">
        <v>2197</v>
      </c>
      <c r="B273" s="2437" t="s">
        <v>14</v>
      </c>
      <c r="C273" s="2437" t="s">
        <v>2776</v>
      </c>
      <c r="D273" s="2437" t="s">
        <v>2777</v>
      </c>
      <c r="E273" s="2437" t="s">
        <v>2778</v>
      </c>
      <c r="F273" s="2437" t="s">
        <v>2227</v>
      </c>
      <c r="G273" s="2437" t="s">
        <v>24</v>
      </c>
      <c r="H273" s="2437" t="s">
        <v>24</v>
      </c>
      <c r="I273" s="2437" t="s">
        <v>831</v>
      </c>
    </row>
    <row customHeight="1" ht="11.25">
      <c r="A274" s="2437" t="s">
        <v>2197</v>
      </c>
      <c r="B274" s="2437" t="s">
        <v>14</v>
      </c>
      <c r="C274" s="2437" t="s">
        <v>2779</v>
      </c>
      <c r="D274" s="2437" t="s">
        <v>2780</v>
      </c>
      <c r="E274" s="2437" t="s">
        <v>2781</v>
      </c>
      <c r="F274" s="2437" t="s">
        <v>2227</v>
      </c>
      <c r="G274" s="2437" t="s">
        <v>24</v>
      </c>
      <c r="H274" s="2437" t="s">
        <v>24</v>
      </c>
      <c r="I274" s="2437" t="s">
        <v>831</v>
      </c>
    </row>
    <row customHeight="1" ht="11.25">
      <c r="A275" s="2437" t="s">
        <v>2197</v>
      </c>
      <c r="B275" s="2437" t="s">
        <v>14</v>
      </c>
      <c r="C275" s="2437" t="s">
        <v>2798</v>
      </c>
      <c r="D275" s="2437" t="s">
        <v>2799</v>
      </c>
      <c r="E275" s="2437" t="s">
        <v>2800</v>
      </c>
      <c r="F275" s="2437" t="s">
        <v>2216</v>
      </c>
      <c r="G275" s="2437" t="s">
        <v>24</v>
      </c>
      <c r="H275" s="2437" t="s">
        <v>24</v>
      </c>
      <c r="I275" s="2437" t="s">
        <v>831</v>
      </c>
    </row>
    <row customHeight="1" ht="11.25">
      <c r="A276" s="2437" t="s">
        <v>2197</v>
      </c>
      <c r="B276" s="2437" t="s">
        <v>14</v>
      </c>
      <c r="C276" s="2437" t="s">
        <v>2782</v>
      </c>
      <c r="D276" s="2437" t="s">
        <v>2783</v>
      </c>
      <c r="E276" s="2437" t="s">
        <v>2784</v>
      </c>
      <c r="F276" s="2437" t="s">
        <v>2296</v>
      </c>
      <c r="G276" s="2437" t="s">
        <v>24</v>
      </c>
      <c r="H276" s="2437" t="s">
        <v>24</v>
      </c>
      <c r="I276" s="2437" t="s">
        <v>831</v>
      </c>
    </row>
    <row customHeight="1" ht="11.25">
      <c r="A277" s="2437" t="s">
        <v>2197</v>
      </c>
      <c r="B277" s="2437" t="s">
        <v>14</v>
      </c>
      <c r="C277" s="2437" t="s">
        <v>2672</v>
      </c>
      <c r="D277" s="2437" t="s">
        <v>2673</v>
      </c>
      <c r="E277" s="2437" t="s">
        <v>2674</v>
      </c>
      <c r="F277" s="2437" t="s">
        <v>2296</v>
      </c>
      <c r="G277" s="2437" t="s">
        <v>24</v>
      </c>
      <c r="H277" s="2437" t="s">
        <v>24</v>
      </c>
      <c r="I277" s="2437" t="s">
        <v>831</v>
      </c>
    </row>
    <row customHeight="1" ht="11.25">
      <c r="A278" s="2437" t="s">
        <v>2197</v>
      </c>
      <c r="B278" s="2437" t="s">
        <v>14</v>
      </c>
      <c r="C278" s="2437" t="s">
        <v>2801</v>
      </c>
      <c r="D278" s="2437" t="s">
        <v>2802</v>
      </c>
      <c r="E278" s="2437" t="s">
        <v>2803</v>
      </c>
      <c r="F278" s="2437" t="s">
        <v>2300</v>
      </c>
      <c r="G278" s="2437" t="s">
        <v>24</v>
      </c>
      <c r="H278" s="2437" t="s">
        <v>24</v>
      </c>
      <c r="I278" s="2437" t="s">
        <v>831</v>
      </c>
    </row>
    <row customHeight="1" ht="11.25">
      <c r="A279" s="2437" t="s">
        <v>2197</v>
      </c>
      <c r="B279" s="2437" t="s">
        <v>14</v>
      </c>
      <c r="C279" s="2437" t="s">
        <v>2710</v>
      </c>
      <c r="D279" s="2437" t="s">
        <v>45</v>
      </c>
      <c r="E279" s="2437" t="s">
        <v>48</v>
      </c>
      <c r="F279" s="2437" t="s">
        <v>50</v>
      </c>
      <c r="G279" s="2437" t="s">
        <v>24</v>
      </c>
      <c r="H279" s="2437" t="s">
        <v>24</v>
      </c>
      <c r="I279" s="2437" t="s">
        <v>831</v>
      </c>
    </row>
    <row customHeight="1" ht="11.25">
      <c r="A280" s="2437" t="s">
        <v>2197</v>
      </c>
      <c r="B280" s="2437" t="s">
        <v>14</v>
      </c>
      <c r="C280" s="2437" t="s">
        <v>2714</v>
      </c>
      <c r="D280" s="2437" t="s">
        <v>2715</v>
      </c>
      <c r="E280" s="2437" t="s">
        <v>2716</v>
      </c>
      <c r="F280" s="2437" t="s">
        <v>2201</v>
      </c>
      <c r="G280" s="2437" t="s">
        <v>24</v>
      </c>
      <c r="H280" s="2437" t="s">
        <v>24</v>
      </c>
      <c r="I280" s="2437" t="s">
        <v>831</v>
      </c>
    </row>
    <row customHeight="1" ht="11.25">
      <c r="A281" s="2437" t="s">
        <v>2197</v>
      </c>
      <c r="B281" s="2437" t="s">
        <v>14</v>
      </c>
      <c r="C281" s="2437" t="s">
        <v>2785</v>
      </c>
      <c r="D281" s="2437" t="s">
        <v>2786</v>
      </c>
      <c r="E281" s="2437" t="s">
        <v>2787</v>
      </c>
      <c r="F281" s="2437" t="s">
        <v>2265</v>
      </c>
      <c r="G281" s="2437" t="s">
        <v>24</v>
      </c>
      <c r="H281" s="2437" t="s">
        <v>24</v>
      </c>
      <c r="I281" s="2437" t="s">
        <v>831</v>
      </c>
    </row>
    <row customHeight="1" ht="11.25">
      <c r="A282" s="2437" t="s">
        <v>2197</v>
      </c>
      <c r="B282" s="2437" t="s">
        <v>14</v>
      </c>
      <c r="C282" s="2437" t="s">
        <v>2723</v>
      </c>
      <c r="D282" s="2437" t="s">
        <v>2724</v>
      </c>
      <c r="E282" s="2437" t="s">
        <v>2725</v>
      </c>
      <c r="F282" s="2437" t="s">
        <v>2208</v>
      </c>
      <c r="G282" s="2437" t="s">
        <v>24</v>
      </c>
      <c r="H282" s="2437" t="s">
        <v>24</v>
      </c>
      <c r="I282" s="2437" t="s">
        <v>831</v>
      </c>
    </row>
    <row customHeight="1" ht="11.25">
      <c r="A283" s="2437" t="s">
        <v>2197</v>
      </c>
      <c r="B283" s="2437" t="s">
        <v>14</v>
      </c>
      <c r="C283" s="2437" t="s">
        <v>2754</v>
      </c>
      <c r="D283" s="2437" t="s">
        <v>2755</v>
      </c>
      <c r="E283" s="2437" t="s">
        <v>2756</v>
      </c>
      <c r="F283" s="2437" t="s">
        <v>2757</v>
      </c>
      <c r="G283" s="2437" t="s">
        <v>24</v>
      </c>
      <c r="H283" s="2437" t="s">
        <v>24</v>
      </c>
      <c r="I283" s="2437" t="s">
        <v>831</v>
      </c>
    </row>
    <row customHeight="1" ht="11.25">
      <c r="A284" s="2437" t="s">
        <v>2197</v>
      </c>
      <c r="B284" s="2437" t="s">
        <v>14</v>
      </c>
      <c r="C284" s="2437" t="s">
        <v>2758</v>
      </c>
      <c r="D284" s="2437" t="s">
        <v>2759</v>
      </c>
      <c r="E284" s="2437" t="s">
        <v>2746</v>
      </c>
      <c r="F284" s="2437" t="s">
        <v>2411</v>
      </c>
      <c r="G284" s="2437" t="s">
        <v>24</v>
      </c>
      <c r="H284" s="2437" t="s">
        <v>24</v>
      </c>
      <c r="I284" s="2437" t="s">
        <v>831</v>
      </c>
    </row>
    <row customHeight="1" ht="11.25">
      <c r="A285" s="2437" t="s">
        <v>2197</v>
      </c>
      <c r="B285" s="2437" t="s">
        <v>14</v>
      </c>
      <c r="C285" s="2437" t="s">
        <v>2804</v>
      </c>
      <c r="D285" s="2437" t="s">
        <v>2805</v>
      </c>
      <c r="E285" s="2437" t="s">
        <v>2806</v>
      </c>
      <c r="F285" s="2437" t="s">
        <v>2201</v>
      </c>
      <c r="G285" s="2437" t="s">
        <v>24</v>
      </c>
      <c r="H285" s="2437" t="s">
        <v>24</v>
      </c>
      <c r="I285" s="2437" t="s">
        <v>1637</v>
      </c>
    </row>
    <row customHeight="1" ht="11.25">
      <c r="A286" s="2437" t="s">
        <v>2197</v>
      </c>
      <c r="B286" s="2437" t="s">
        <v>14</v>
      </c>
      <c r="C286" s="2437" t="s">
        <v>2807</v>
      </c>
      <c r="D286" s="2437" t="s">
        <v>2808</v>
      </c>
      <c r="E286" s="2437" t="s">
        <v>2809</v>
      </c>
      <c r="F286" s="2437" t="s">
        <v>2238</v>
      </c>
      <c r="G286" s="2437" t="s">
        <v>24</v>
      </c>
      <c r="H286" s="2437" t="s">
        <v>24</v>
      </c>
      <c r="I286" s="2437" t="s">
        <v>1637</v>
      </c>
    </row>
    <row customHeight="1" ht="11.25">
      <c r="A287" s="2437" t="s">
        <v>2197</v>
      </c>
      <c r="B287" s="2437" t="s">
        <v>14</v>
      </c>
      <c r="C287" s="2437" t="s">
        <v>2810</v>
      </c>
      <c r="D287" s="2437" t="s">
        <v>2811</v>
      </c>
      <c r="E287" s="2437" t="s">
        <v>2812</v>
      </c>
      <c r="F287" s="2437" t="s">
        <v>2261</v>
      </c>
      <c r="G287" s="2437" t="s">
        <v>24</v>
      </c>
      <c r="H287" s="2437" t="s">
        <v>24</v>
      </c>
      <c r="I287" s="2437" t="s">
        <v>1637</v>
      </c>
    </row>
    <row customHeight="1" ht="11.25">
      <c r="A288" s="2437" t="s">
        <v>2197</v>
      </c>
      <c r="B288" s="2437" t="s">
        <v>14</v>
      </c>
      <c r="C288" s="2437" t="s">
        <v>2813</v>
      </c>
      <c r="D288" s="2437" t="s">
        <v>2814</v>
      </c>
      <c r="E288" s="2437" t="s">
        <v>2815</v>
      </c>
      <c r="F288" s="2437" t="s">
        <v>2816</v>
      </c>
      <c r="G288" s="2437" t="s">
        <v>24</v>
      </c>
      <c r="H288" s="2437" t="s">
        <v>24</v>
      </c>
      <c r="I288" s="2437" t="s">
        <v>1637</v>
      </c>
    </row>
    <row customHeight="1" ht="11.25">
      <c r="A289" s="2437" t="s">
        <v>2197</v>
      </c>
      <c r="B289" s="2437" t="s">
        <v>14</v>
      </c>
      <c r="C289" s="2437" t="s">
        <v>24</v>
      </c>
      <c r="D289" s="2437" t="s">
        <v>2406</v>
      </c>
      <c r="E289" s="2437" t="s">
        <v>2407</v>
      </c>
      <c r="F289" s="2437" t="s">
        <v>2279</v>
      </c>
      <c r="G289" s="2437" t="s">
        <v>24</v>
      </c>
      <c r="H289" s="2437" t="s">
        <v>24</v>
      </c>
      <c r="I289" s="2437" t="s">
        <v>1637</v>
      </c>
    </row>
    <row customHeight="1" ht="11.25">
      <c r="A290" s="2437" t="s">
        <v>2197</v>
      </c>
      <c r="B290" s="2437" t="s">
        <v>14</v>
      </c>
      <c r="C290" s="2437" t="s">
        <v>2817</v>
      </c>
      <c r="D290" s="2437" t="s">
        <v>2818</v>
      </c>
      <c r="E290" s="2437" t="s">
        <v>2819</v>
      </c>
      <c r="F290" s="2437" t="s">
        <v>2820</v>
      </c>
      <c r="G290" s="2437" t="s">
        <v>24</v>
      </c>
      <c r="H290" s="2437" t="s">
        <v>24</v>
      </c>
      <c r="I290" s="2437" t="s">
        <v>1637</v>
      </c>
    </row>
    <row customHeight="1" ht="11.25">
      <c r="A291" s="2437" t="s">
        <v>2197</v>
      </c>
      <c r="B291" s="2437" t="s">
        <v>14</v>
      </c>
      <c r="C291" s="2437" t="s">
        <v>2821</v>
      </c>
      <c r="D291" s="2437" t="s">
        <v>2822</v>
      </c>
      <c r="E291" s="2437" t="s">
        <v>2823</v>
      </c>
      <c r="F291" s="2437" t="s">
        <v>2238</v>
      </c>
      <c r="G291" s="2437" t="s">
        <v>24</v>
      </c>
      <c r="H291" s="2437" t="s">
        <v>24</v>
      </c>
      <c r="I291" s="2437" t="s">
        <v>1637</v>
      </c>
    </row>
    <row customHeight="1" ht="11.25">
      <c r="A292" s="2437" t="s">
        <v>2197</v>
      </c>
      <c r="B292" s="2437" t="s">
        <v>14</v>
      </c>
      <c r="C292" s="2437" t="s">
        <v>2824</v>
      </c>
      <c r="D292" s="2437" t="s">
        <v>2825</v>
      </c>
      <c r="E292" s="2437" t="s">
        <v>2826</v>
      </c>
      <c r="F292" s="2437" t="s">
        <v>2275</v>
      </c>
      <c r="G292" s="2437" t="s">
        <v>24</v>
      </c>
      <c r="H292" s="2437" t="s">
        <v>24</v>
      </c>
      <c r="I292" s="2437" t="s">
        <v>1637</v>
      </c>
    </row>
    <row customHeight="1" ht="11.25">
      <c r="A293" s="2437" t="s">
        <v>2197</v>
      </c>
      <c r="B293" s="2437" t="s">
        <v>14</v>
      </c>
      <c r="C293" s="2437" t="s">
        <v>2827</v>
      </c>
      <c r="D293" s="2437" t="s">
        <v>2828</v>
      </c>
      <c r="E293" s="2437" t="s">
        <v>2829</v>
      </c>
      <c r="F293" s="2437" t="s">
        <v>2830</v>
      </c>
      <c r="G293" s="2437" t="s">
        <v>24</v>
      </c>
      <c r="H293" s="2437" t="s">
        <v>24</v>
      </c>
      <c r="I293" s="2437" t="s">
        <v>1637</v>
      </c>
    </row>
    <row customHeight="1" ht="11.25">
      <c r="A294" s="2437" t="s">
        <v>2197</v>
      </c>
      <c r="B294" s="2437" t="s">
        <v>14</v>
      </c>
      <c r="C294" s="2437" t="s">
        <v>2831</v>
      </c>
      <c r="D294" s="2437" t="s">
        <v>2832</v>
      </c>
      <c r="E294" s="2437" t="s">
        <v>2833</v>
      </c>
      <c r="F294" s="2437" t="s">
        <v>2816</v>
      </c>
      <c r="G294" s="2437" t="s">
        <v>24</v>
      </c>
      <c r="H294" s="2437" t="s">
        <v>24</v>
      </c>
      <c r="I294" s="2437" t="s">
        <v>1637</v>
      </c>
    </row>
    <row customHeight="1" ht="11.25">
      <c r="A295" s="2437" t="s">
        <v>2197</v>
      </c>
      <c r="B295" s="2437" t="s">
        <v>14</v>
      </c>
      <c r="C295" s="2437" t="s">
        <v>2834</v>
      </c>
      <c r="D295" s="2437" t="s">
        <v>2835</v>
      </c>
      <c r="E295" s="2437" t="s">
        <v>2836</v>
      </c>
      <c r="F295" s="2437" t="s">
        <v>2238</v>
      </c>
      <c r="G295" s="2437" t="s">
        <v>2837</v>
      </c>
      <c r="H295" s="2437" t="s">
        <v>24</v>
      </c>
      <c r="I295" s="2437" t="s">
        <v>1637</v>
      </c>
    </row>
    <row customHeight="1" ht="11.25">
      <c r="A296" s="2437" t="s">
        <v>2197</v>
      </c>
      <c r="B296" s="2437" t="s">
        <v>14</v>
      </c>
      <c r="C296" s="2437" t="s">
        <v>2838</v>
      </c>
      <c r="D296" s="2437" t="s">
        <v>2839</v>
      </c>
      <c r="E296" s="2437" t="s">
        <v>2840</v>
      </c>
      <c r="F296" s="2437" t="s">
        <v>2583</v>
      </c>
      <c r="G296" s="2437" t="s">
        <v>24</v>
      </c>
      <c r="H296" s="2437" t="s">
        <v>24</v>
      </c>
      <c r="I296" s="2437" t="s">
        <v>1637</v>
      </c>
    </row>
    <row customHeight="1" ht="11.25">
      <c r="A297" s="2437" t="s">
        <v>2197</v>
      </c>
      <c r="B297" s="2437" t="s">
        <v>14</v>
      </c>
      <c r="C297" s="2437" t="s">
        <v>2841</v>
      </c>
      <c r="D297" s="2437" t="s">
        <v>2842</v>
      </c>
      <c r="E297" s="2437" t="s">
        <v>2843</v>
      </c>
      <c r="F297" s="2437" t="s">
        <v>2844</v>
      </c>
      <c r="G297" s="2437" t="s">
        <v>24</v>
      </c>
      <c r="H297" s="2437" t="s">
        <v>24</v>
      </c>
      <c r="I297" s="2437" t="s">
        <v>1637</v>
      </c>
    </row>
    <row customHeight="1" ht="11.25">
      <c r="A298" s="2437" t="s">
        <v>2197</v>
      </c>
      <c r="B298" s="2437" t="s">
        <v>14</v>
      </c>
      <c r="C298" s="2437" t="s">
        <v>2845</v>
      </c>
      <c r="D298" s="2437" t="s">
        <v>2846</v>
      </c>
      <c r="E298" s="2437" t="s">
        <v>2847</v>
      </c>
      <c r="F298" s="2437" t="s">
        <v>2296</v>
      </c>
      <c r="G298" s="2437" t="s">
        <v>2848</v>
      </c>
      <c r="H298" s="2437" t="s">
        <v>24</v>
      </c>
      <c r="I298" s="2437" t="s">
        <v>1637</v>
      </c>
    </row>
    <row customHeight="1" ht="11.25">
      <c r="A299" s="2437" t="s">
        <v>2197</v>
      </c>
      <c r="B299" s="2437" t="s">
        <v>14</v>
      </c>
      <c r="C299" s="2437" t="s">
        <v>2849</v>
      </c>
      <c r="D299" s="2437" t="s">
        <v>2850</v>
      </c>
      <c r="E299" s="2437" t="s">
        <v>2851</v>
      </c>
      <c r="F299" s="2437" t="s">
        <v>2830</v>
      </c>
      <c r="G299" s="2437" t="s">
        <v>24</v>
      </c>
      <c r="H299" s="2437" t="s">
        <v>24</v>
      </c>
      <c r="I299" s="2437" t="s">
        <v>1637</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27E0CB-DA27-C3BC-A9D3-4B066149F025}" mc:Ignorable="x14ac xr xr2 xr3">
  <sheetPr>
    <tabColor rgb="FFFFCC99"/>
  </sheetPr>
  <dimension ref="A1:G113"/>
  <sheetViews>
    <sheetView topLeftCell="A1" showGridLines="0" workbookViewId="0">
      <selection activeCell="A1" sqref="A1"/>
    </sheetView>
  </sheetViews>
  <sheetFormatPr customHeight="1" defaultRowHeight="11.25"/>
  <cols>
    <col min="1" max="1" style="2437" width="9.140625"/>
  </cols>
  <sheetData>
    <row customHeight="1" ht="11.25">
      <c r="A1" s="0" t="s">
        <v>2852</v>
      </c>
      <c r="B1" s="0" t="s">
        <v>2853</v>
      </c>
      <c r="C1" s="0" t="s">
        <v>2854</v>
      </c>
      <c r="D1" s="0" t="s">
        <v>2855</v>
      </c>
      <c r="E1" s="0" t="s">
        <v>2856</v>
      </c>
      <c r="F1" s="0" t="s">
        <v>2857</v>
      </c>
      <c r="G1" s="0" t="s">
        <v>2858</v>
      </c>
    </row>
    <row customHeight="1" ht="11.25">
      <c r="A2" s="0" t="s">
        <v>14</v>
      </c>
      <c r="B2" s="0" t="s">
        <v>99</v>
      </c>
      <c r="C2" s="0" t="s">
        <v>100</v>
      </c>
      <c r="D2" s="0" t="s">
        <v>2859</v>
      </c>
      <c r="E2" s="0" t="s">
        <v>2860</v>
      </c>
      <c r="F2" s="0" t="s">
        <v>2861</v>
      </c>
      <c r="G2" s="0" t="s">
        <v>108</v>
      </c>
    </row>
    <row customHeight="1" ht="11.25">
      <c r="A3" s="0" t="s">
        <v>14</v>
      </c>
      <c r="B3" s="0" t="s">
        <v>99</v>
      </c>
      <c r="C3" s="0" t="s">
        <v>100</v>
      </c>
      <c r="D3" s="0" t="s">
        <v>2862</v>
      </c>
      <c r="E3" s="0" t="s">
        <v>2863</v>
      </c>
      <c r="F3" s="0" t="s">
        <v>2861</v>
      </c>
      <c r="G3" s="0" t="s">
        <v>109</v>
      </c>
    </row>
    <row customHeight="1" ht="11.25">
      <c r="A4" s="0" t="s">
        <v>14</v>
      </c>
      <c r="B4" s="0" t="s">
        <v>99</v>
      </c>
      <c r="C4" s="0" t="s">
        <v>100</v>
      </c>
      <c r="D4" s="0" t="s">
        <v>2864</v>
      </c>
      <c r="E4" s="0" t="s">
        <v>2865</v>
      </c>
      <c r="F4" s="0" t="s">
        <v>2861</v>
      </c>
      <c r="G4" s="0" t="s">
        <v>89</v>
      </c>
    </row>
    <row customHeight="1" ht="11.25">
      <c r="A5" s="0" t="s">
        <v>14</v>
      </c>
      <c r="B5" s="0" t="s">
        <v>99</v>
      </c>
      <c r="C5" s="0" t="s">
        <v>100</v>
      </c>
      <c r="D5" s="0" t="s">
        <v>2866</v>
      </c>
      <c r="E5" s="0" t="s">
        <v>2867</v>
      </c>
      <c r="F5" s="0" t="s">
        <v>2861</v>
      </c>
      <c r="G5" s="0" t="s">
        <v>90</v>
      </c>
    </row>
    <row customHeight="1" ht="11.25">
      <c r="A6" s="0" t="s">
        <v>14</v>
      </c>
      <c r="B6" s="0" t="s">
        <v>99</v>
      </c>
      <c r="C6" s="0" t="s">
        <v>100</v>
      </c>
      <c r="D6" s="0" t="s">
        <v>2868</v>
      </c>
      <c r="E6" s="0" t="s">
        <v>2869</v>
      </c>
      <c r="F6" s="0" t="s">
        <v>2861</v>
      </c>
      <c r="G6" s="0" t="s">
        <v>110</v>
      </c>
    </row>
    <row customHeight="1" ht="11.25">
      <c r="A7" s="0" t="s">
        <v>14</v>
      </c>
      <c r="B7" s="0" t="s">
        <v>99</v>
      </c>
      <c r="C7" s="0" t="s">
        <v>100</v>
      </c>
      <c r="D7" s="0" t="s">
        <v>2870</v>
      </c>
      <c r="E7" s="0" t="s">
        <v>2871</v>
      </c>
      <c r="F7" s="0" t="s">
        <v>2861</v>
      </c>
      <c r="G7" s="0" t="s">
        <v>91</v>
      </c>
    </row>
    <row customHeight="1" ht="11.25">
      <c r="A8" s="0" t="s">
        <v>14</v>
      </c>
      <c r="B8" s="0" t="s">
        <v>99</v>
      </c>
      <c r="C8" s="0" t="s">
        <v>100</v>
      </c>
      <c r="D8" s="0" t="s">
        <v>2872</v>
      </c>
      <c r="E8" s="0" t="s">
        <v>2873</v>
      </c>
      <c r="F8" s="0" t="s">
        <v>2861</v>
      </c>
      <c r="G8" s="0" t="s">
        <v>92</v>
      </c>
    </row>
    <row customHeight="1" ht="11.25">
      <c r="A9" s="0" t="s">
        <v>14</v>
      </c>
      <c r="B9" s="0" t="s">
        <v>99</v>
      </c>
      <c r="C9" s="0" t="s">
        <v>100</v>
      </c>
      <c r="D9" s="0" t="s">
        <v>2874</v>
      </c>
      <c r="E9" s="0" t="s">
        <v>2875</v>
      </c>
      <c r="F9" s="0" t="s">
        <v>2861</v>
      </c>
      <c r="G9" s="0" t="s">
        <v>111</v>
      </c>
    </row>
    <row customHeight="1" ht="11.25">
      <c r="A10" s="0" t="s">
        <v>14</v>
      </c>
      <c r="B10" s="0" t="s">
        <v>99</v>
      </c>
      <c r="C10" s="0" t="s">
        <v>100</v>
      </c>
      <c r="D10" s="0" t="s">
        <v>99</v>
      </c>
      <c r="E10" s="0" t="s">
        <v>100</v>
      </c>
      <c r="F10" s="0" t="s">
        <v>2876</v>
      </c>
      <c r="G10" s="0" t="s">
        <v>98</v>
      </c>
    </row>
    <row customHeight="1" ht="11.25">
      <c r="A11" s="0" t="s">
        <v>14</v>
      </c>
      <c r="B11" s="0" t="s">
        <v>99</v>
      </c>
      <c r="C11" s="0" t="s">
        <v>100</v>
      </c>
      <c r="D11" s="0" t="s">
        <v>2877</v>
      </c>
      <c r="E11" s="0" t="s">
        <v>2878</v>
      </c>
      <c r="F11" s="0" t="s">
        <v>2861</v>
      </c>
      <c r="G11" s="0" t="s">
        <v>147</v>
      </c>
    </row>
    <row customHeight="1" ht="11.25">
      <c r="A12" s="0" t="s">
        <v>14</v>
      </c>
      <c r="B12" s="0" t="s">
        <v>99</v>
      </c>
      <c r="C12" s="0" t="s">
        <v>100</v>
      </c>
      <c r="D12" s="0" t="s">
        <v>2879</v>
      </c>
      <c r="E12" s="0" t="s">
        <v>2880</v>
      </c>
      <c r="F12" s="0" t="s">
        <v>2861</v>
      </c>
      <c r="G12" s="0" t="s">
        <v>148</v>
      </c>
    </row>
    <row customHeight="1" ht="11.25">
      <c r="A13" s="0" t="s">
        <v>14</v>
      </c>
      <c r="B13" s="0" t="s">
        <v>99</v>
      </c>
      <c r="C13" s="0" t="s">
        <v>100</v>
      </c>
      <c r="D13" s="0" t="s">
        <v>2881</v>
      </c>
      <c r="E13" s="0" t="s">
        <v>2882</v>
      </c>
      <c r="F13" s="0" t="s">
        <v>2861</v>
      </c>
      <c r="G13" s="0" t="s">
        <v>149</v>
      </c>
    </row>
    <row customHeight="1" ht="11.25">
      <c r="A14" s="0" t="s">
        <v>14</v>
      </c>
      <c r="B14" s="0" t="s">
        <v>99</v>
      </c>
      <c r="C14" s="0" t="s">
        <v>100</v>
      </c>
      <c r="D14" s="0" t="s">
        <v>2883</v>
      </c>
      <c r="E14" s="0" t="s">
        <v>2884</v>
      </c>
      <c r="F14" s="0" t="s">
        <v>2861</v>
      </c>
      <c r="G14" s="0" t="s">
        <v>150</v>
      </c>
    </row>
    <row customHeight="1" ht="11.25">
      <c r="A15" s="0" t="s">
        <v>14</v>
      </c>
      <c r="B15" s="0" t="s">
        <v>99</v>
      </c>
      <c r="C15" s="0" t="s">
        <v>100</v>
      </c>
      <c r="D15" s="0" t="s">
        <v>2885</v>
      </c>
      <c r="E15" s="0" t="s">
        <v>2886</v>
      </c>
      <c r="F15" s="0" t="s">
        <v>2861</v>
      </c>
      <c r="G15" s="0" t="s">
        <v>151</v>
      </c>
    </row>
    <row customHeight="1" ht="11.25">
      <c r="A16" s="0" t="s">
        <v>14</v>
      </c>
      <c r="B16" s="0" t="s">
        <v>99</v>
      </c>
      <c r="C16" s="0" t="s">
        <v>100</v>
      </c>
      <c r="D16" s="0" t="s">
        <v>2887</v>
      </c>
      <c r="E16" s="0" t="s">
        <v>2888</v>
      </c>
      <c r="F16" s="0" t="s">
        <v>2861</v>
      </c>
      <c r="G16" s="0" t="s">
        <v>1482</v>
      </c>
    </row>
    <row customHeight="1" ht="11.25">
      <c r="A17" s="0" t="s">
        <v>14</v>
      </c>
      <c r="B17" s="0" t="s">
        <v>99</v>
      </c>
      <c r="C17" s="0" t="s">
        <v>100</v>
      </c>
      <c r="D17" s="0" t="s">
        <v>2889</v>
      </c>
      <c r="E17" s="0" t="s">
        <v>2890</v>
      </c>
      <c r="F17" s="0" t="s">
        <v>2891</v>
      </c>
      <c r="G17" s="0" t="s">
        <v>1488</v>
      </c>
    </row>
    <row customHeight="1" ht="11.25">
      <c r="A18" s="0" t="s">
        <v>14</v>
      </c>
      <c r="B18" s="0" t="s">
        <v>99</v>
      </c>
      <c r="C18" s="0" t="s">
        <v>100</v>
      </c>
      <c r="D18" s="0" t="s">
        <v>2892</v>
      </c>
      <c r="E18" s="0" t="s">
        <v>2893</v>
      </c>
      <c r="F18" s="0" t="s">
        <v>2891</v>
      </c>
      <c r="G18" s="0" t="s">
        <v>1499</v>
      </c>
    </row>
    <row customHeight="1" ht="11.25">
      <c r="A19" s="0" t="s">
        <v>14</v>
      </c>
      <c r="B19" s="0" t="s">
        <v>99</v>
      </c>
      <c r="C19" s="0" t="s">
        <v>100</v>
      </c>
      <c r="D19" s="0" t="s">
        <v>2894</v>
      </c>
      <c r="E19" s="0" t="s">
        <v>2895</v>
      </c>
      <c r="F19" s="0" t="s">
        <v>2861</v>
      </c>
      <c r="G19" s="0" t="s">
        <v>1513</v>
      </c>
    </row>
    <row customHeight="1" ht="11.25">
      <c r="A20" s="0" t="s">
        <v>14</v>
      </c>
      <c r="B20" s="0" t="s">
        <v>99</v>
      </c>
      <c r="C20" s="0" t="s">
        <v>100</v>
      </c>
      <c r="D20" s="0" t="s">
        <v>2896</v>
      </c>
      <c r="E20" s="0" t="s">
        <v>2897</v>
      </c>
      <c r="F20" s="0" t="s">
        <v>2861</v>
      </c>
      <c r="G20" s="0" t="s">
        <v>1525</v>
      </c>
    </row>
    <row customHeight="1" ht="11.25">
      <c r="A21" s="0" t="s">
        <v>14</v>
      </c>
      <c r="B21" s="0" t="s">
        <v>99</v>
      </c>
      <c r="C21" s="0" t="s">
        <v>100</v>
      </c>
      <c r="D21" s="0" t="s">
        <v>2898</v>
      </c>
      <c r="E21" s="0" t="s">
        <v>2899</v>
      </c>
      <c r="F21" s="0" t="s">
        <v>2861</v>
      </c>
      <c r="G21" s="0" t="s">
        <v>1534</v>
      </c>
    </row>
    <row customHeight="1" ht="11.25">
      <c r="A22" s="0" t="s">
        <v>14</v>
      </c>
      <c r="B22" s="0" t="s">
        <v>99</v>
      </c>
      <c r="C22" s="0" t="s">
        <v>100</v>
      </c>
      <c r="D22" s="0" t="s">
        <v>2900</v>
      </c>
      <c r="E22" s="0" t="s">
        <v>2901</v>
      </c>
      <c r="F22" s="0" t="s">
        <v>2891</v>
      </c>
      <c r="G22" s="0" t="s">
        <v>1550</v>
      </c>
    </row>
    <row customHeight="1" ht="11.25">
      <c r="A23" s="0" t="s">
        <v>14</v>
      </c>
      <c r="B23" s="0" t="s">
        <v>99</v>
      </c>
      <c r="C23" s="0" t="s">
        <v>100</v>
      </c>
      <c r="D23" s="0" t="s">
        <v>2902</v>
      </c>
      <c r="E23" s="0" t="s">
        <v>2903</v>
      </c>
      <c r="F23" s="0" t="s">
        <v>2861</v>
      </c>
      <c r="G23" s="0" t="s">
        <v>1557</v>
      </c>
    </row>
    <row customHeight="1" ht="11.25">
      <c r="A24" s="0" t="s">
        <v>14</v>
      </c>
      <c r="B24" s="0" t="s">
        <v>99</v>
      </c>
      <c r="C24" s="0" t="s">
        <v>100</v>
      </c>
      <c r="D24" s="0" t="s">
        <v>2904</v>
      </c>
      <c r="E24" s="0" t="s">
        <v>2905</v>
      </c>
      <c r="F24" s="0" t="s">
        <v>2891</v>
      </c>
      <c r="G24" s="0" t="s">
        <v>1565</v>
      </c>
    </row>
    <row customHeight="1" ht="11.25">
      <c r="A25" s="0" t="s">
        <v>14</v>
      </c>
      <c r="B25" s="0" t="s">
        <v>99</v>
      </c>
      <c r="C25" s="0" t="s">
        <v>100</v>
      </c>
      <c r="D25" s="0" t="s">
        <v>2906</v>
      </c>
      <c r="E25" s="0" t="s">
        <v>2907</v>
      </c>
      <c r="F25" s="0" t="s">
        <v>2861</v>
      </c>
      <c r="G25" s="0" t="s">
        <v>1572</v>
      </c>
    </row>
    <row customHeight="1" ht="11.25">
      <c r="A26" s="0" t="s">
        <v>14</v>
      </c>
      <c r="B26" s="0" t="s">
        <v>99</v>
      </c>
      <c r="C26" s="0" t="s">
        <v>100</v>
      </c>
      <c r="D26" s="0" t="s">
        <v>2908</v>
      </c>
      <c r="E26" s="0" t="s">
        <v>2909</v>
      </c>
      <c r="F26" s="0" t="s">
        <v>2861</v>
      </c>
      <c r="G26" s="0" t="s">
        <v>1576</v>
      </c>
    </row>
    <row customHeight="1" ht="11.25">
      <c r="A27" s="0" t="s">
        <v>14</v>
      </c>
      <c r="B27" s="0" t="s">
        <v>99</v>
      </c>
      <c r="C27" s="0" t="s">
        <v>100</v>
      </c>
      <c r="D27" s="0" t="s">
        <v>2910</v>
      </c>
      <c r="E27" s="0" t="s">
        <v>2911</v>
      </c>
      <c r="F27" s="0" t="s">
        <v>2861</v>
      </c>
      <c r="G27" s="0" t="s">
        <v>1581</v>
      </c>
    </row>
    <row customHeight="1" ht="11.25">
      <c r="A28" s="0" t="s">
        <v>14</v>
      </c>
      <c r="B28" s="0" t="s">
        <v>99</v>
      </c>
      <c r="C28" s="0" t="s">
        <v>100</v>
      </c>
      <c r="D28" s="0" t="s">
        <v>2912</v>
      </c>
      <c r="E28" s="0" t="s">
        <v>2913</v>
      </c>
      <c r="F28" s="0" t="s">
        <v>2891</v>
      </c>
      <c r="G28" s="0" t="s">
        <v>1589</v>
      </c>
    </row>
    <row customHeight="1" ht="11.25">
      <c r="A29" s="0" t="s">
        <v>14</v>
      </c>
      <c r="B29" s="0" t="s">
        <v>99</v>
      </c>
      <c r="C29" s="0" t="s">
        <v>100</v>
      </c>
      <c r="D29" s="0" t="s">
        <v>2914</v>
      </c>
      <c r="E29" s="0" t="s">
        <v>2915</v>
      </c>
      <c r="F29" s="0" t="s">
        <v>2891</v>
      </c>
      <c r="G29" s="0" t="s">
        <v>1591</v>
      </c>
    </row>
    <row customHeight="1" ht="11.25">
      <c r="A30" s="0" t="s">
        <v>14</v>
      </c>
      <c r="B30" s="0" t="s">
        <v>99</v>
      </c>
      <c r="C30" s="0" t="s">
        <v>100</v>
      </c>
      <c r="D30" s="0" t="s">
        <v>2916</v>
      </c>
      <c r="E30" s="0" t="s">
        <v>2917</v>
      </c>
      <c r="F30" s="0" t="s">
        <v>2861</v>
      </c>
      <c r="G30" s="0" t="s">
        <v>1594</v>
      </c>
    </row>
    <row customHeight="1" ht="11.25">
      <c r="A31" s="0" t="s">
        <v>14</v>
      </c>
      <c r="B31" s="0" t="s">
        <v>99</v>
      </c>
      <c r="C31" s="0" t="s">
        <v>100</v>
      </c>
      <c r="D31" s="0" t="s">
        <v>2918</v>
      </c>
      <c r="E31" s="0" t="s">
        <v>2919</v>
      </c>
      <c r="F31" s="0" t="s">
        <v>2861</v>
      </c>
      <c r="G31" s="0" t="s">
        <v>1599</v>
      </c>
    </row>
    <row customHeight="1" ht="11.25">
      <c r="A32" s="0" t="s">
        <v>14</v>
      </c>
      <c r="B32" s="0" t="s">
        <v>99</v>
      </c>
      <c r="C32" s="0" t="s">
        <v>100</v>
      </c>
      <c r="D32" s="0" t="s">
        <v>2920</v>
      </c>
      <c r="E32" s="0" t="s">
        <v>2921</v>
      </c>
      <c r="F32" s="0" t="s">
        <v>2891</v>
      </c>
      <c r="G32" s="0" t="s">
        <v>1601</v>
      </c>
    </row>
    <row customHeight="1" ht="11.25">
      <c r="A33" s="0" t="s">
        <v>14</v>
      </c>
      <c r="B33" s="0" t="s">
        <v>99</v>
      </c>
      <c r="C33" s="0" t="s">
        <v>100</v>
      </c>
      <c r="D33" s="0" t="s">
        <v>2922</v>
      </c>
      <c r="E33" s="0" t="s">
        <v>2923</v>
      </c>
      <c r="F33" s="0" t="s">
        <v>2861</v>
      </c>
      <c r="G33" s="0" t="s">
        <v>1603</v>
      </c>
    </row>
    <row customHeight="1" ht="11.25">
      <c r="A34" s="0" t="s">
        <v>14</v>
      </c>
      <c r="B34" s="0" t="s">
        <v>99</v>
      </c>
      <c r="C34" s="0" t="s">
        <v>100</v>
      </c>
      <c r="D34" s="0" t="s">
        <v>2924</v>
      </c>
      <c r="E34" s="0" t="s">
        <v>2925</v>
      </c>
      <c r="F34" s="0" t="s">
        <v>2861</v>
      </c>
      <c r="G34" s="0" t="s">
        <v>1605</v>
      </c>
    </row>
    <row customHeight="1" ht="11.25">
      <c r="A35" s="0" t="s">
        <v>14</v>
      </c>
      <c r="B35" s="0" t="s">
        <v>99</v>
      </c>
      <c r="C35" s="0" t="s">
        <v>100</v>
      </c>
      <c r="D35" s="0" t="s">
        <v>2926</v>
      </c>
      <c r="E35" s="0" t="s">
        <v>2927</v>
      </c>
      <c r="F35" s="0" t="s">
        <v>2861</v>
      </c>
      <c r="G35" s="0" t="s">
        <v>1610</v>
      </c>
    </row>
    <row customHeight="1" ht="11.25">
      <c r="A36" s="0" t="s">
        <v>14</v>
      </c>
      <c r="B36" s="0" t="s">
        <v>99</v>
      </c>
      <c r="C36" s="0" t="s">
        <v>100</v>
      </c>
      <c r="D36" s="0" t="s">
        <v>2928</v>
      </c>
      <c r="E36" s="0" t="s">
        <v>2929</v>
      </c>
      <c r="F36" s="0" t="s">
        <v>2891</v>
      </c>
      <c r="G36" s="0" t="s">
        <v>1615</v>
      </c>
    </row>
    <row customHeight="1" ht="11.25">
      <c r="A37" s="0" t="s">
        <v>14</v>
      </c>
      <c r="B37" s="0" t="s">
        <v>99</v>
      </c>
      <c r="C37" s="0" t="s">
        <v>100</v>
      </c>
      <c r="D37" s="0" t="s">
        <v>2930</v>
      </c>
      <c r="E37" s="0" t="s">
        <v>2931</v>
      </c>
      <c r="F37" s="0" t="s">
        <v>2861</v>
      </c>
      <c r="G37" s="0" t="s">
        <v>1619</v>
      </c>
    </row>
    <row customHeight="1" ht="11.25">
      <c r="A38" s="0" t="s">
        <v>14</v>
      </c>
      <c r="B38" s="0" t="s">
        <v>99</v>
      </c>
      <c r="C38" s="0" t="s">
        <v>100</v>
      </c>
      <c r="D38" s="0" t="s">
        <v>2932</v>
      </c>
      <c r="E38" s="0" t="s">
        <v>2933</v>
      </c>
      <c r="F38" s="0" t="s">
        <v>2861</v>
      </c>
      <c r="G38" s="0" t="s">
        <v>1627</v>
      </c>
    </row>
    <row customHeight="1" ht="11.25">
      <c r="A39" s="0" t="s">
        <v>14</v>
      </c>
      <c r="B39" s="0" t="s">
        <v>99</v>
      </c>
      <c r="C39" s="0" t="s">
        <v>100</v>
      </c>
      <c r="D39" s="0" t="s">
        <v>2934</v>
      </c>
      <c r="E39" s="0" t="s">
        <v>2935</v>
      </c>
      <c r="F39" s="0" t="s">
        <v>2861</v>
      </c>
      <c r="G39" s="0" t="s">
        <v>1633</v>
      </c>
    </row>
    <row customHeight="1" ht="11.25">
      <c r="A40" s="0" t="s">
        <v>14</v>
      </c>
      <c r="B40" s="0" t="s">
        <v>99</v>
      </c>
      <c r="C40" s="0" t="s">
        <v>100</v>
      </c>
      <c r="D40" s="0" t="s">
        <v>2936</v>
      </c>
      <c r="E40" s="0" t="s">
        <v>2937</v>
      </c>
      <c r="F40" s="0" t="s">
        <v>2861</v>
      </c>
      <c r="G40" s="0" t="s">
        <v>1638</v>
      </c>
    </row>
    <row customHeight="1" ht="11.25">
      <c r="A41" s="0" t="s">
        <v>14</v>
      </c>
      <c r="B41" s="0" t="s">
        <v>99</v>
      </c>
      <c r="C41" s="0" t="s">
        <v>100</v>
      </c>
      <c r="D41" s="0" t="s">
        <v>2938</v>
      </c>
      <c r="E41" s="0" t="s">
        <v>2939</v>
      </c>
      <c r="F41" s="0" t="s">
        <v>2861</v>
      </c>
      <c r="G41" s="0" t="s">
        <v>1642</v>
      </c>
    </row>
    <row customHeight="1" ht="11.25">
      <c r="A42" s="0" t="s">
        <v>14</v>
      </c>
      <c r="B42" s="0" t="s">
        <v>99</v>
      </c>
      <c r="C42" s="0" t="s">
        <v>100</v>
      </c>
      <c r="D42" s="0" t="s">
        <v>2940</v>
      </c>
      <c r="E42" s="0" t="s">
        <v>2941</v>
      </c>
      <c r="F42" s="0" t="s">
        <v>2861</v>
      </c>
      <c r="G42" s="0" t="s">
        <v>1645</v>
      </c>
    </row>
    <row customHeight="1" ht="11.25">
      <c r="A43" s="0" t="s">
        <v>14</v>
      </c>
      <c r="B43" s="0" t="s">
        <v>99</v>
      </c>
      <c r="C43" s="0" t="s">
        <v>100</v>
      </c>
      <c r="D43" s="0" t="s">
        <v>2942</v>
      </c>
      <c r="E43" s="0" t="s">
        <v>2943</v>
      </c>
      <c r="F43" s="0" t="s">
        <v>2861</v>
      </c>
      <c r="G43" s="0" t="s">
        <v>1652</v>
      </c>
    </row>
    <row customHeight="1" ht="11.25">
      <c r="A44" s="0" t="s">
        <v>14</v>
      </c>
      <c r="B44" s="0" t="s">
        <v>99</v>
      </c>
      <c r="C44" s="0" t="s">
        <v>100</v>
      </c>
      <c r="D44" s="0" t="s">
        <v>2944</v>
      </c>
      <c r="E44" s="0" t="s">
        <v>2945</v>
      </c>
      <c r="F44" s="0" t="s">
        <v>2861</v>
      </c>
      <c r="G44" s="0" t="s">
        <v>1661</v>
      </c>
    </row>
    <row customHeight="1" ht="11.25">
      <c r="A45" s="0" t="s">
        <v>14</v>
      </c>
      <c r="B45" s="0" t="s">
        <v>99</v>
      </c>
      <c r="C45" s="0" t="s">
        <v>100</v>
      </c>
      <c r="D45" s="0" t="s">
        <v>2946</v>
      </c>
      <c r="E45" s="0" t="s">
        <v>2947</v>
      </c>
      <c r="F45" s="0" t="s">
        <v>2861</v>
      </c>
      <c r="G45" s="0" t="s">
        <v>1666</v>
      </c>
    </row>
    <row customHeight="1" ht="11.25">
      <c r="A46" s="0" t="s">
        <v>14</v>
      </c>
      <c r="B46" s="0" t="s">
        <v>99</v>
      </c>
      <c r="C46" s="0" t="s">
        <v>100</v>
      </c>
      <c r="D46" s="0" t="s">
        <v>2948</v>
      </c>
      <c r="E46" s="0" t="s">
        <v>2949</v>
      </c>
      <c r="F46" s="0" t="s">
        <v>2861</v>
      </c>
      <c r="G46" s="0" t="s">
        <v>1670</v>
      </c>
    </row>
    <row customHeight="1" ht="11.25">
      <c r="A47" s="0" t="s">
        <v>14</v>
      </c>
      <c r="B47" s="0" t="s">
        <v>99</v>
      </c>
      <c r="C47" s="0" t="s">
        <v>100</v>
      </c>
      <c r="D47" s="0" t="s">
        <v>2950</v>
      </c>
      <c r="E47" s="0" t="s">
        <v>2951</v>
      </c>
      <c r="F47" s="0" t="s">
        <v>2861</v>
      </c>
      <c r="G47" s="0" t="s">
        <v>1676</v>
      </c>
    </row>
    <row customHeight="1" ht="11.25">
      <c r="A48" s="0" t="s">
        <v>14</v>
      </c>
      <c r="B48" s="0" t="s">
        <v>99</v>
      </c>
      <c r="C48" s="0" t="s">
        <v>100</v>
      </c>
      <c r="D48" s="0" t="s">
        <v>2952</v>
      </c>
      <c r="E48" s="0" t="s">
        <v>2953</v>
      </c>
      <c r="F48" s="0" t="s">
        <v>2891</v>
      </c>
      <c r="G48" s="0" t="s">
        <v>1681</v>
      </c>
    </row>
    <row customHeight="1" ht="11.25">
      <c r="A49" s="0" t="s">
        <v>14</v>
      </c>
      <c r="B49" s="0" t="s">
        <v>99</v>
      </c>
      <c r="C49" s="0" t="s">
        <v>100</v>
      </c>
      <c r="D49" s="0" t="s">
        <v>2954</v>
      </c>
      <c r="E49" s="0" t="s">
        <v>2955</v>
      </c>
      <c r="F49" s="0" t="s">
        <v>2861</v>
      </c>
      <c r="G49" s="0" t="s">
        <v>1684</v>
      </c>
    </row>
    <row customHeight="1" ht="11.25">
      <c r="A50" s="0" t="s">
        <v>14</v>
      </c>
      <c r="B50" s="0" t="s">
        <v>99</v>
      </c>
      <c r="C50" s="0" t="s">
        <v>100</v>
      </c>
      <c r="D50" s="0" t="s">
        <v>2956</v>
      </c>
      <c r="E50" s="0" t="s">
        <v>2957</v>
      </c>
      <c r="F50" s="0" t="s">
        <v>2861</v>
      </c>
      <c r="G50" s="0" t="s">
        <v>1688</v>
      </c>
    </row>
    <row customHeight="1" ht="11.25">
      <c r="A51" s="0" t="s">
        <v>14</v>
      </c>
      <c r="B51" s="0" t="s">
        <v>99</v>
      </c>
      <c r="C51" s="0" t="s">
        <v>100</v>
      </c>
      <c r="D51" s="0" t="s">
        <v>2958</v>
      </c>
      <c r="E51" s="0" t="s">
        <v>2959</v>
      </c>
      <c r="F51" s="0" t="s">
        <v>2891</v>
      </c>
      <c r="G51" s="0" t="s">
        <v>1692</v>
      </c>
    </row>
    <row customHeight="1" ht="11.25">
      <c r="A52" s="0" t="s">
        <v>14</v>
      </c>
      <c r="B52" s="0" t="s">
        <v>99</v>
      </c>
      <c r="C52" s="0" t="s">
        <v>100</v>
      </c>
      <c r="D52" s="0" t="s">
        <v>2960</v>
      </c>
      <c r="E52" s="0" t="s">
        <v>2961</v>
      </c>
      <c r="F52" s="0" t="s">
        <v>2891</v>
      </c>
      <c r="G52" s="0" t="s">
        <v>1696</v>
      </c>
    </row>
    <row customHeight="1" ht="11.25">
      <c r="A53" s="0" t="s">
        <v>14</v>
      </c>
      <c r="B53" s="0" t="s">
        <v>99</v>
      </c>
      <c r="C53" s="0" t="s">
        <v>100</v>
      </c>
      <c r="D53" s="0" t="s">
        <v>2962</v>
      </c>
      <c r="E53" s="0" t="s">
        <v>2963</v>
      </c>
      <c r="F53" s="0" t="s">
        <v>2861</v>
      </c>
      <c r="G53" s="0" t="s">
        <v>1698</v>
      </c>
    </row>
    <row customHeight="1" ht="11.25">
      <c r="A54" s="0" t="s">
        <v>14</v>
      </c>
      <c r="B54" s="0" t="s">
        <v>99</v>
      </c>
      <c r="C54" s="0" t="s">
        <v>100</v>
      </c>
      <c r="D54" s="0" t="s">
        <v>2964</v>
      </c>
      <c r="E54" s="0" t="s">
        <v>2965</v>
      </c>
      <c r="F54" s="0" t="s">
        <v>2861</v>
      </c>
      <c r="G54" s="0" t="s">
        <v>1701</v>
      </c>
    </row>
    <row customHeight="1" ht="11.25">
      <c r="A55" s="0" t="s">
        <v>14</v>
      </c>
      <c r="B55" s="0" t="s">
        <v>99</v>
      </c>
      <c r="C55" s="0" t="s">
        <v>100</v>
      </c>
      <c r="D55" s="0" t="s">
        <v>2966</v>
      </c>
      <c r="E55" s="0" t="s">
        <v>2967</v>
      </c>
      <c r="F55" s="0" t="s">
        <v>2861</v>
      </c>
      <c r="G55" s="0" t="s">
        <v>1705</v>
      </c>
    </row>
    <row customHeight="1" ht="11.25">
      <c r="A56" s="0" t="s">
        <v>14</v>
      </c>
      <c r="B56" s="0" t="s">
        <v>99</v>
      </c>
      <c r="C56" s="0" t="s">
        <v>100</v>
      </c>
      <c r="D56" s="0" t="s">
        <v>2968</v>
      </c>
      <c r="E56" s="0" t="s">
        <v>2969</v>
      </c>
      <c r="F56" s="0" t="s">
        <v>2861</v>
      </c>
      <c r="G56" s="0" t="s">
        <v>1708</v>
      </c>
    </row>
    <row customHeight="1" ht="11.25">
      <c r="A57" s="0" t="s">
        <v>14</v>
      </c>
      <c r="B57" s="0" t="s">
        <v>99</v>
      </c>
      <c r="C57" s="0" t="s">
        <v>100</v>
      </c>
      <c r="D57" s="0" t="s">
        <v>2970</v>
      </c>
      <c r="E57" s="0" t="s">
        <v>2971</v>
      </c>
      <c r="F57" s="0" t="s">
        <v>2861</v>
      </c>
      <c r="G57" s="0" t="s">
        <v>1711</v>
      </c>
    </row>
    <row customHeight="1" ht="11.25">
      <c r="A58" s="0" t="s">
        <v>14</v>
      </c>
      <c r="B58" s="0" t="s">
        <v>99</v>
      </c>
      <c r="C58" s="0" t="s">
        <v>100</v>
      </c>
      <c r="D58" s="0" t="s">
        <v>2972</v>
      </c>
      <c r="E58" s="0" t="s">
        <v>2973</v>
      </c>
      <c r="F58" s="0" t="s">
        <v>2861</v>
      </c>
      <c r="G58" s="0" t="s">
        <v>1714</v>
      </c>
    </row>
    <row customHeight="1" ht="11.25">
      <c r="A59" s="0" t="s">
        <v>14</v>
      </c>
      <c r="B59" s="0" t="s">
        <v>99</v>
      </c>
      <c r="C59" s="0" t="s">
        <v>100</v>
      </c>
      <c r="D59" s="0" t="s">
        <v>2974</v>
      </c>
      <c r="E59" s="0" t="s">
        <v>2975</v>
      </c>
      <c r="F59" s="0" t="s">
        <v>2861</v>
      </c>
      <c r="G59" s="0" t="s">
        <v>1718</v>
      </c>
    </row>
    <row customHeight="1" ht="11.25">
      <c r="A60" s="0" t="s">
        <v>14</v>
      </c>
      <c r="B60" s="0" t="s">
        <v>99</v>
      </c>
      <c r="C60" s="0" t="s">
        <v>100</v>
      </c>
      <c r="D60" s="0" t="s">
        <v>2976</v>
      </c>
      <c r="E60" s="0" t="s">
        <v>2977</v>
      </c>
      <c r="F60" s="0" t="s">
        <v>2861</v>
      </c>
      <c r="G60" s="0" t="s">
        <v>1721</v>
      </c>
    </row>
    <row customHeight="1" ht="11.25">
      <c r="A61" s="0" t="s">
        <v>14</v>
      </c>
      <c r="B61" s="0" t="s">
        <v>99</v>
      </c>
      <c r="C61" s="0" t="s">
        <v>100</v>
      </c>
      <c r="D61" s="0" t="s">
        <v>2978</v>
      </c>
      <c r="E61" s="0" t="s">
        <v>2979</v>
      </c>
      <c r="F61" s="0" t="s">
        <v>2861</v>
      </c>
      <c r="G61" s="0" t="s">
        <v>2980</v>
      </c>
    </row>
    <row customHeight="1" ht="11.25">
      <c r="A62" s="0" t="s">
        <v>14</v>
      </c>
      <c r="B62" s="0" t="s">
        <v>99</v>
      </c>
      <c r="C62" s="0" t="s">
        <v>100</v>
      </c>
      <c r="D62" s="0" t="s">
        <v>2981</v>
      </c>
      <c r="E62" s="0" t="s">
        <v>2982</v>
      </c>
      <c r="F62" s="0" t="s">
        <v>2861</v>
      </c>
      <c r="G62" s="0" t="s">
        <v>2983</v>
      </c>
    </row>
    <row customHeight="1" ht="11.25">
      <c r="A63" s="0" t="s">
        <v>14</v>
      </c>
      <c r="B63" s="0" t="s">
        <v>99</v>
      </c>
      <c r="C63" s="0" t="s">
        <v>100</v>
      </c>
      <c r="D63" s="0" t="s">
        <v>2984</v>
      </c>
      <c r="E63" s="0" t="s">
        <v>2985</v>
      </c>
      <c r="F63" s="0" t="s">
        <v>2861</v>
      </c>
      <c r="G63" s="0" t="s">
        <v>2986</v>
      </c>
    </row>
    <row customHeight="1" ht="11.25">
      <c r="A64" s="0" t="s">
        <v>14</v>
      </c>
      <c r="B64" s="0" t="s">
        <v>99</v>
      </c>
      <c r="C64" s="0" t="s">
        <v>100</v>
      </c>
      <c r="D64" s="0" t="s">
        <v>2987</v>
      </c>
      <c r="E64" s="0" t="s">
        <v>2988</v>
      </c>
      <c r="F64" s="0" t="s">
        <v>2861</v>
      </c>
      <c r="G64" s="0" t="s">
        <v>2989</v>
      </c>
    </row>
    <row customHeight="1" ht="11.25">
      <c r="A65" s="0" t="s">
        <v>14</v>
      </c>
      <c r="B65" s="0" t="s">
        <v>99</v>
      </c>
      <c r="C65" s="0" t="s">
        <v>100</v>
      </c>
      <c r="D65" s="0" t="s">
        <v>2990</v>
      </c>
      <c r="E65" s="0" t="s">
        <v>2991</v>
      </c>
      <c r="F65" s="0" t="s">
        <v>2861</v>
      </c>
      <c r="G65" s="0" t="s">
        <v>2992</v>
      </c>
    </row>
    <row customHeight="1" ht="11.25">
      <c r="A66" s="0" t="s">
        <v>14</v>
      </c>
      <c r="B66" s="0" t="s">
        <v>99</v>
      </c>
      <c r="C66" s="0" t="s">
        <v>100</v>
      </c>
      <c r="D66" s="0" t="s">
        <v>2993</v>
      </c>
      <c r="E66" s="0" t="s">
        <v>2994</v>
      </c>
      <c r="F66" s="0" t="s">
        <v>2861</v>
      </c>
      <c r="G66" s="0" t="s">
        <v>2995</v>
      </c>
    </row>
    <row customHeight="1" ht="11.25">
      <c r="A67" s="0" t="s">
        <v>14</v>
      </c>
      <c r="B67" s="0" t="s">
        <v>99</v>
      </c>
      <c r="C67" s="0" t="s">
        <v>100</v>
      </c>
      <c r="D67" s="0" t="s">
        <v>2996</v>
      </c>
      <c r="E67" s="0" t="s">
        <v>2997</v>
      </c>
      <c r="F67" s="0" t="s">
        <v>2861</v>
      </c>
      <c r="G67" s="0" t="s">
        <v>1943</v>
      </c>
    </row>
    <row customHeight="1" ht="11.25">
      <c r="A68" s="0" t="s">
        <v>14</v>
      </c>
      <c r="B68" s="0" t="s">
        <v>99</v>
      </c>
      <c r="C68" s="0" t="s">
        <v>100</v>
      </c>
      <c r="D68" s="0" t="s">
        <v>2998</v>
      </c>
      <c r="E68" s="0" t="s">
        <v>2999</v>
      </c>
      <c r="F68" s="0" t="s">
        <v>2861</v>
      </c>
      <c r="G68" s="0" t="s">
        <v>3000</v>
      </c>
    </row>
    <row customHeight="1" ht="11.25">
      <c r="A69" s="0" t="s">
        <v>14</v>
      </c>
      <c r="B69" s="0" t="s">
        <v>99</v>
      </c>
      <c r="C69" s="0" t="s">
        <v>100</v>
      </c>
      <c r="D69" s="0" t="s">
        <v>3001</v>
      </c>
      <c r="E69" s="0" t="s">
        <v>3002</v>
      </c>
      <c r="F69" s="0" t="s">
        <v>2861</v>
      </c>
      <c r="G69" s="0" t="s">
        <v>2154</v>
      </c>
    </row>
    <row customHeight="1" ht="11.25">
      <c r="A70" s="0" t="s">
        <v>14</v>
      </c>
      <c r="B70" s="0" t="s">
        <v>99</v>
      </c>
      <c r="C70" s="0" t="s">
        <v>100</v>
      </c>
      <c r="D70" s="0" t="s">
        <v>3003</v>
      </c>
      <c r="E70" s="0" t="s">
        <v>3004</v>
      </c>
      <c r="F70" s="0" t="s">
        <v>2861</v>
      </c>
      <c r="G70" s="0" t="s">
        <v>3005</v>
      </c>
    </row>
    <row customHeight="1" ht="11.25">
      <c r="A71" s="0" t="s">
        <v>14</v>
      </c>
      <c r="B71" s="0" t="s">
        <v>99</v>
      </c>
      <c r="C71" s="0" t="s">
        <v>100</v>
      </c>
      <c r="D71" s="0" t="s">
        <v>3006</v>
      </c>
      <c r="E71" s="0" t="s">
        <v>3007</v>
      </c>
      <c r="F71" s="0" t="s">
        <v>2861</v>
      </c>
      <c r="G71" s="0" t="s">
        <v>3008</v>
      </c>
    </row>
    <row customHeight="1" ht="11.25">
      <c r="A72" s="0" t="s">
        <v>14</v>
      </c>
      <c r="B72" s="0" t="s">
        <v>99</v>
      </c>
      <c r="C72" s="0" t="s">
        <v>100</v>
      </c>
      <c r="D72" s="0" t="s">
        <v>3009</v>
      </c>
      <c r="E72" s="0" t="s">
        <v>3010</v>
      </c>
      <c r="F72" s="0" t="s">
        <v>2861</v>
      </c>
      <c r="G72" s="0" t="s">
        <v>3011</v>
      </c>
    </row>
    <row customHeight="1" ht="11.25">
      <c r="A73" s="0" t="s">
        <v>14</v>
      </c>
      <c r="B73" s="0" t="s">
        <v>99</v>
      </c>
      <c r="C73" s="0" t="s">
        <v>100</v>
      </c>
      <c r="D73" s="0" t="s">
        <v>3012</v>
      </c>
      <c r="E73" s="0" t="s">
        <v>3013</v>
      </c>
      <c r="F73" s="0" t="s">
        <v>2861</v>
      </c>
      <c r="G73" s="0" t="s">
        <v>3014</v>
      </c>
    </row>
    <row customHeight="1" ht="11.25">
      <c r="A74" s="0" t="s">
        <v>14</v>
      </c>
      <c r="B74" s="0" t="s">
        <v>99</v>
      </c>
      <c r="C74" s="0" t="s">
        <v>100</v>
      </c>
      <c r="D74" s="0" t="s">
        <v>3015</v>
      </c>
      <c r="E74" s="0" t="s">
        <v>3016</v>
      </c>
      <c r="F74" s="0" t="s">
        <v>2861</v>
      </c>
      <c r="G74" s="0" t="s">
        <v>3017</v>
      </c>
    </row>
    <row customHeight="1" ht="11.25">
      <c r="A75" s="0" t="s">
        <v>14</v>
      </c>
      <c r="B75" s="0" t="s">
        <v>99</v>
      </c>
      <c r="C75" s="0" t="s">
        <v>100</v>
      </c>
      <c r="D75" s="0" t="s">
        <v>3018</v>
      </c>
      <c r="E75" s="0" t="s">
        <v>3019</v>
      </c>
      <c r="F75" s="0" t="s">
        <v>2861</v>
      </c>
      <c r="G75" s="0" t="s">
        <v>3020</v>
      </c>
    </row>
    <row customHeight="1" ht="11.25">
      <c r="A76" s="0" t="s">
        <v>14</v>
      </c>
      <c r="B76" s="0" t="s">
        <v>99</v>
      </c>
      <c r="C76" s="0" t="s">
        <v>100</v>
      </c>
      <c r="D76" s="0" t="s">
        <v>3021</v>
      </c>
      <c r="E76" s="0" t="s">
        <v>3022</v>
      </c>
      <c r="F76" s="0" t="s">
        <v>2861</v>
      </c>
      <c r="G76" s="0" t="s">
        <v>3023</v>
      </c>
    </row>
    <row customHeight="1" ht="11.25">
      <c r="A77" s="0" t="s">
        <v>14</v>
      </c>
      <c r="B77" s="0" t="s">
        <v>99</v>
      </c>
      <c r="C77" s="0" t="s">
        <v>100</v>
      </c>
      <c r="D77" s="0" t="s">
        <v>3024</v>
      </c>
      <c r="E77" s="0" t="s">
        <v>3025</v>
      </c>
      <c r="F77" s="0" t="s">
        <v>2861</v>
      </c>
      <c r="G77" s="0" t="s">
        <v>3026</v>
      </c>
    </row>
    <row customHeight="1" ht="11.25">
      <c r="A78" s="0" t="s">
        <v>14</v>
      </c>
      <c r="B78" s="0" t="s">
        <v>99</v>
      </c>
      <c r="C78" s="0" t="s">
        <v>100</v>
      </c>
      <c r="D78" s="0" t="s">
        <v>3027</v>
      </c>
      <c r="E78" s="0" t="s">
        <v>3028</v>
      </c>
      <c r="F78" s="0" t="s">
        <v>2861</v>
      </c>
      <c r="G78" s="0" t="s">
        <v>3029</v>
      </c>
    </row>
    <row customHeight="1" ht="11.25">
      <c r="A79" s="0" t="s">
        <v>14</v>
      </c>
      <c r="B79" s="0" t="s">
        <v>99</v>
      </c>
      <c r="C79" s="0" t="s">
        <v>100</v>
      </c>
      <c r="D79" s="0" t="s">
        <v>3030</v>
      </c>
      <c r="E79" s="0" t="s">
        <v>3031</v>
      </c>
      <c r="F79" s="0" t="s">
        <v>2861</v>
      </c>
      <c r="G79" s="0" t="s">
        <v>3032</v>
      </c>
    </row>
    <row customHeight="1" ht="11.25">
      <c r="A80" s="0" t="s">
        <v>14</v>
      </c>
      <c r="B80" s="0" t="s">
        <v>99</v>
      </c>
      <c r="C80" s="0" t="s">
        <v>100</v>
      </c>
      <c r="D80" s="0" t="s">
        <v>3033</v>
      </c>
      <c r="E80" s="0" t="s">
        <v>3034</v>
      </c>
      <c r="F80" s="0" t="s">
        <v>2861</v>
      </c>
      <c r="G80" s="0" t="s">
        <v>3035</v>
      </c>
    </row>
    <row customHeight="1" ht="11.25">
      <c r="A81" s="0" t="s">
        <v>14</v>
      </c>
      <c r="B81" s="0" t="s">
        <v>99</v>
      </c>
      <c r="C81" s="0" t="s">
        <v>100</v>
      </c>
      <c r="D81" s="0" t="s">
        <v>3036</v>
      </c>
      <c r="E81" s="0" t="s">
        <v>3037</v>
      </c>
      <c r="F81" s="0" t="s">
        <v>2891</v>
      </c>
      <c r="G81" s="0" t="s">
        <v>3038</v>
      </c>
    </row>
    <row customHeight="1" ht="11.25">
      <c r="A82" s="0" t="s">
        <v>14</v>
      </c>
      <c r="B82" s="0" t="s">
        <v>99</v>
      </c>
      <c r="C82" s="0" t="s">
        <v>100</v>
      </c>
      <c r="D82" s="0" t="s">
        <v>3039</v>
      </c>
      <c r="E82" s="0" t="s">
        <v>3040</v>
      </c>
      <c r="F82" s="0" t="s">
        <v>2861</v>
      </c>
      <c r="G82" s="0" t="s">
        <v>3041</v>
      </c>
    </row>
    <row customHeight="1" ht="11.25">
      <c r="A83" s="0" t="s">
        <v>14</v>
      </c>
      <c r="B83" s="0" t="s">
        <v>99</v>
      </c>
      <c r="C83" s="0" t="s">
        <v>100</v>
      </c>
      <c r="D83" s="0" t="s">
        <v>3042</v>
      </c>
      <c r="E83" s="0" t="s">
        <v>3043</v>
      </c>
      <c r="F83" s="0" t="s">
        <v>2861</v>
      </c>
      <c r="G83" s="0" t="s">
        <v>3044</v>
      </c>
    </row>
    <row customHeight="1" ht="11.25">
      <c r="A84" s="0" t="s">
        <v>14</v>
      </c>
      <c r="B84" s="0" t="s">
        <v>99</v>
      </c>
      <c r="C84" s="0" t="s">
        <v>100</v>
      </c>
      <c r="D84" s="0" t="s">
        <v>3045</v>
      </c>
      <c r="E84" s="0" t="s">
        <v>3046</v>
      </c>
      <c r="F84" s="0" t="s">
        <v>2861</v>
      </c>
      <c r="G84" s="0" t="s">
        <v>3047</v>
      </c>
    </row>
    <row customHeight="1" ht="11.25">
      <c r="A85" s="0" t="s">
        <v>14</v>
      </c>
      <c r="B85" s="0" t="s">
        <v>99</v>
      </c>
      <c r="C85" s="0" t="s">
        <v>100</v>
      </c>
      <c r="D85" s="0" t="s">
        <v>3048</v>
      </c>
      <c r="E85" s="0" t="s">
        <v>3049</v>
      </c>
      <c r="F85" s="0" t="s">
        <v>2861</v>
      </c>
      <c r="G85" s="0" t="s">
        <v>3050</v>
      </c>
    </row>
    <row customHeight="1" ht="11.25">
      <c r="A86" s="0" t="s">
        <v>14</v>
      </c>
      <c r="B86" s="0" t="s">
        <v>99</v>
      </c>
      <c r="C86" s="0" t="s">
        <v>100</v>
      </c>
      <c r="D86" s="0" t="s">
        <v>3051</v>
      </c>
      <c r="E86" s="0" t="s">
        <v>3052</v>
      </c>
      <c r="F86" s="0" t="s">
        <v>2861</v>
      </c>
      <c r="G86" s="0" t="s">
        <v>3053</v>
      </c>
    </row>
    <row customHeight="1" ht="11.25">
      <c r="A87" s="0" t="s">
        <v>14</v>
      </c>
      <c r="B87" s="0" t="s">
        <v>99</v>
      </c>
      <c r="C87" s="0" t="s">
        <v>100</v>
      </c>
      <c r="D87" s="0" t="s">
        <v>3054</v>
      </c>
      <c r="E87" s="0" t="s">
        <v>3055</v>
      </c>
      <c r="F87" s="0" t="s">
        <v>2861</v>
      </c>
      <c r="G87" s="0" t="s">
        <v>3056</v>
      </c>
    </row>
    <row customHeight="1" ht="11.25">
      <c r="A88" s="0" t="s">
        <v>14</v>
      </c>
      <c r="B88" s="0" t="s">
        <v>99</v>
      </c>
      <c r="C88" s="0" t="s">
        <v>100</v>
      </c>
      <c r="D88" s="0" t="s">
        <v>3057</v>
      </c>
      <c r="E88" s="0" t="s">
        <v>3058</v>
      </c>
      <c r="F88" s="0" t="s">
        <v>2861</v>
      </c>
      <c r="G88" s="0" t="s">
        <v>3059</v>
      </c>
    </row>
    <row customHeight="1" ht="11.25">
      <c r="A89" s="0" t="s">
        <v>14</v>
      </c>
      <c r="B89" s="0" t="s">
        <v>99</v>
      </c>
      <c r="C89" s="0" t="s">
        <v>100</v>
      </c>
      <c r="D89" s="0" t="s">
        <v>3060</v>
      </c>
      <c r="E89" s="0" t="s">
        <v>3061</v>
      </c>
      <c r="F89" s="0" t="s">
        <v>2861</v>
      </c>
      <c r="G89" s="0" t="s">
        <v>3062</v>
      </c>
    </row>
    <row customHeight="1" ht="11.25">
      <c r="A90" s="0" t="s">
        <v>14</v>
      </c>
      <c r="B90" s="0" t="s">
        <v>99</v>
      </c>
      <c r="C90" s="0" t="s">
        <v>100</v>
      </c>
      <c r="D90" s="0" t="s">
        <v>3063</v>
      </c>
      <c r="E90" s="0" t="s">
        <v>3064</v>
      </c>
      <c r="F90" s="0" t="s">
        <v>2861</v>
      </c>
      <c r="G90" s="0" t="s">
        <v>3065</v>
      </c>
    </row>
    <row customHeight="1" ht="11.25">
      <c r="A91" s="0" t="s">
        <v>14</v>
      </c>
      <c r="B91" s="0" t="s">
        <v>99</v>
      </c>
      <c r="C91" s="0" t="s">
        <v>100</v>
      </c>
      <c r="D91" s="0" t="s">
        <v>3066</v>
      </c>
      <c r="E91" s="0" t="s">
        <v>3067</v>
      </c>
      <c r="F91" s="0" t="s">
        <v>2861</v>
      </c>
      <c r="G91" s="0" t="s">
        <v>3068</v>
      </c>
    </row>
    <row customHeight="1" ht="11.25">
      <c r="A92" s="0" t="s">
        <v>14</v>
      </c>
      <c r="B92" s="0" t="s">
        <v>99</v>
      </c>
      <c r="C92" s="0" t="s">
        <v>100</v>
      </c>
      <c r="D92" s="0" t="s">
        <v>3069</v>
      </c>
      <c r="E92" s="0" t="s">
        <v>3070</v>
      </c>
      <c r="F92" s="0" t="s">
        <v>2861</v>
      </c>
      <c r="G92" s="0" t="s">
        <v>3071</v>
      </c>
    </row>
    <row customHeight="1" ht="11.25">
      <c r="A93" s="0" t="s">
        <v>14</v>
      </c>
      <c r="B93" s="0" t="s">
        <v>99</v>
      </c>
      <c r="C93" s="0" t="s">
        <v>100</v>
      </c>
      <c r="D93" s="0" t="s">
        <v>3072</v>
      </c>
      <c r="E93" s="0" t="s">
        <v>3073</v>
      </c>
      <c r="F93" s="0" t="s">
        <v>2861</v>
      </c>
      <c r="G93" s="0" t="s">
        <v>3074</v>
      </c>
    </row>
    <row customHeight="1" ht="11.25">
      <c r="A94" s="0" t="s">
        <v>14</v>
      </c>
      <c r="B94" s="0" t="s">
        <v>99</v>
      </c>
      <c r="C94" s="0" t="s">
        <v>100</v>
      </c>
      <c r="D94" s="0" t="s">
        <v>3075</v>
      </c>
      <c r="E94" s="0" t="s">
        <v>3076</v>
      </c>
      <c r="F94" s="0" t="s">
        <v>2861</v>
      </c>
      <c r="G94" s="0" t="s">
        <v>3077</v>
      </c>
    </row>
    <row customHeight="1" ht="11.25">
      <c r="A95" s="0" t="s">
        <v>14</v>
      </c>
      <c r="B95" s="0" t="s">
        <v>99</v>
      </c>
      <c r="C95" s="0" t="s">
        <v>100</v>
      </c>
      <c r="D95" s="0" t="s">
        <v>3078</v>
      </c>
      <c r="E95" s="0" t="s">
        <v>3079</v>
      </c>
      <c r="F95" s="0" t="s">
        <v>2861</v>
      </c>
      <c r="G95" s="0" t="s">
        <v>3080</v>
      </c>
    </row>
    <row customHeight="1" ht="11.25">
      <c r="A96" s="0" t="s">
        <v>14</v>
      </c>
      <c r="B96" s="0" t="s">
        <v>99</v>
      </c>
      <c r="C96" s="0" t="s">
        <v>100</v>
      </c>
      <c r="D96" s="0" t="s">
        <v>3081</v>
      </c>
      <c r="E96" s="0" t="s">
        <v>3082</v>
      </c>
      <c r="F96" s="0" t="s">
        <v>2861</v>
      </c>
      <c r="G96" s="0" t="s">
        <v>3083</v>
      </c>
    </row>
    <row customHeight="1" ht="11.25">
      <c r="A97" s="0" t="s">
        <v>14</v>
      </c>
      <c r="B97" s="0" t="s">
        <v>99</v>
      </c>
      <c r="C97" s="0" t="s">
        <v>100</v>
      </c>
      <c r="D97" s="0" t="s">
        <v>3084</v>
      </c>
      <c r="E97" s="0" t="s">
        <v>3085</v>
      </c>
      <c r="F97" s="0" t="s">
        <v>2861</v>
      </c>
      <c r="G97" s="0" t="s">
        <v>3086</v>
      </c>
    </row>
    <row customHeight="1" ht="11.25">
      <c r="A98" s="0" t="s">
        <v>14</v>
      </c>
      <c r="B98" s="0" t="s">
        <v>99</v>
      </c>
      <c r="C98" s="0" t="s">
        <v>100</v>
      </c>
      <c r="D98" s="0" t="s">
        <v>3087</v>
      </c>
      <c r="E98" s="0" t="s">
        <v>3088</v>
      </c>
      <c r="F98" s="0" t="s">
        <v>2861</v>
      </c>
      <c r="G98" s="0" t="s">
        <v>3089</v>
      </c>
    </row>
    <row customHeight="1" ht="11.25">
      <c r="A99" s="0" t="s">
        <v>14</v>
      </c>
      <c r="B99" s="0" t="s">
        <v>99</v>
      </c>
      <c r="C99" s="0" t="s">
        <v>100</v>
      </c>
      <c r="D99" s="0" t="s">
        <v>3090</v>
      </c>
      <c r="E99" s="0" t="s">
        <v>3091</v>
      </c>
      <c r="F99" s="0" t="s">
        <v>2861</v>
      </c>
      <c r="G99" s="0" t="s">
        <v>3092</v>
      </c>
    </row>
    <row customHeight="1" ht="11.25">
      <c r="A100" s="0" t="s">
        <v>14</v>
      </c>
      <c r="B100" s="0" t="s">
        <v>99</v>
      </c>
      <c r="C100" s="0" t="s">
        <v>100</v>
      </c>
      <c r="D100" s="0" t="s">
        <v>3093</v>
      </c>
      <c r="E100" s="0" t="s">
        <v>3094</v>
      </c>
      <c r="F100" s="0" t="s">
        <v>2861</v>
      </c>
      <c r="G100" s="0" t="s">
        <v>3095</v>
      </c>
    </row>
    <row customHeight="1" ht="11.25">
      <c r="A101" s="0" t="s">
        <v>14</v>
      </c>
      <c r="B101" s="0" t="s">
        <v>99</v>
      </c>
      <c r="C101" s="0" t="s">
        <v>100</v>
      </c>
      <c r="D101" s="0" t="s">
        <v>3096</v>
      </c>
      <c r="E101" s="0" t="s">
        <v>3097</v>
      </c>
      <c r="F101" s="0" t="s">
        <v>2861</v>
      </c>
      <c r="G101" s="0" t="s">
        <v>3098</v>
      </c>
    </row>
    <row customHeight="1" ht="11.25">
      <c r="A102" s="0" t="s">
        <v>14</v>
      </c>
      <c r="B102" s="0" t="s">
        <v>99</v>
      </c>
      <c r="C102" s="0" t="s">
        <v>100</v>
      </c>
      <c r="D102" s="0" t="s">
        <v>3099</v>
      </c>
      <c r="E102" s="0" t="s">
        <v>3100</v>
      </c>
      <c r="F102" s="0" t="s">
        <v>2861</v>
      </c>
      <c r="G102" s="0" t="s">
        <v>3101</v>
      </c>
    </row>
    <row customHeight="1" ht="11.25">
      <c r="A103" s="0" t="s">
        <v>14</v>
      </c>
      <c r="B103" s="0" t="s">
        <v>99</v>
      </c>
      <c r="C103" s="0" t="s">
        <v>100</v>
      </c>
      <c r="D103" s="0" t="s">
        <v>3102</v>
      </c>
      <c r="E103" s="0" t="s">
        <v>3103</v>
      </c>
      <c r="F103" s="0" t="s">
        <v>2861</v>
      </c>
      <c r="G103" s="0" t="s">
        <v>3104</v>
      </c>
    </row>
    <row customHeight="1" ht="11.25">
      <c r="A104" s="0" t="s">
        <v>14</v>
      </c>
      <c r="B104" s="0" t="s">
        <v>99</v>
      </c>
      <c r="C104" s="0" t="s">
        <v>100</v>
      </c>
      <c r="D104" s="0" t="s">
        <v>3105</v>
      </c>
      <c r="E104" s="0" t="s">
        <v>3106</v>
      </c>
      <c r="F104" s="0" t="s">
        <v>2861</v>
      </c>
      <c r="G104" s="0" t="s">
        <v>3107</v>
      </c>
    </row>
    <row customHeight="1" ht="11.25">
      <c r="A105" s="0" t="s">
        <v>14</v>
      </c>
      <c r="B105" s="0" t="s">
        <v>99</v>
      </c>
      <c r="C105" s="0" t="s">
        <v>100</v>
      </c>
      <c r="D105" s="0" t="s">
        <v>3108</v>
      </c>
      <c r="E105" s="0" t="s">
        <v>3109</v>
      </c>
      <c r="F105" s="0" t="s">
        <v>2861</v>
      </c>
      <c r="G105" s="0" t="s">
        <v>3110</v>
      </c>
    </row>
    <row customHeight="1" ht="11.25">
      <c r="A106" s="0" t="s">
        <v>14</v>
      </c>
      <c r="B106" s="0" t="s">
        <v>99</v>
      </c>
      <c r="C106" s="0" t="s">
        <v>100</v>
      </c>
      <c r="D106" s="0" t="s">
        <v>3111</v>
      </c>
      <c r="E106" s="0" t="s">
        <v>3112</v>
      </c>
      <c r="F106" s="0" t="s">
        <v>2861</v>
      </c>
      <c r="G106" s="0" t="s">
        <v>3113</v>
      </c>
    </row>
    <row customHeight="1" ht="11.25">
      <c r="A107" s="0" t="s">
        <v>14</v>
      </c>
      <c r="B107" s="0" t="s">
        <v>99</v>
      </c>
      <c r="C107" s="0" t="s">
        <v>100</v>
      </c>
      <c r="D107" s="0" t="s">
        <v>3114</v>
      </c>
      <c r="E107" s="0" t="s">
        <v>3115</v>
      </c>
      <c r="F107" s="0" t="s">
        <v>2861</v>
      </c>
      <c r="G107" s="0" t="s">
        <v>3116</v>
      </c>
    </row>
    <row customHeight="1" ht="11.25">
      <c r="A108" s="0" t="s">
        <v>14</v>
      </c>
      <c r="B108" s="0" t="s">
        <v>99</v>
      </c>
      <c r="C108" s="0" t="s">
        <v>100</v>
      </c>
      <c r="D108" s="0" t="s">
        <v>3117</v>
      </c>
      <c r="E108" s="0" t="s">
        <v>3118</v>
      </c>
      <c r="F108" s="0" t="s">
        <v>2861</v>
      </c>
      <c r="G108" s="0" t="s">
        <v>3119</v>
      </c>
    </row>
    <row customHeight="1" ht="11.25">
      <c r="A109" s="0" t="s">
        <v>14</v>
      </c>
      <c r="B109" s="0" t="s">
        <v>99</v>
      </c>
      <c r="C109" s="0" t="s">
        <v>100</v>
      </c>
      <c r="D109" s="0" t="s">
        <v>3120</v>
      </c>
      <c r="E109" s="0" t="s">
        <v>3121</v>
      </c>
      <c r="F109" s="0" t="s">
        <v>2861</v>
      </c>
      <c r="G109" s="0" t="s">
        <v>3122</v>
      </c>
    </row>
    <row customHeight="1" ht="11.25">
      <c r="A110" s="0" t="s">
        <v>14</v>
      </c>
      <c r="B110" s="0" t="s">
        <v>99</v>
      </c>
      <c r="C110" s="0" t="s">
        <v>100</v>
      </c>
      <c r="D110" s="0" t="s">
        <v>3123</v>
      </c>
      <c r="E110" s="0" t="s">
        <v>3124</v>
      </c>
      <c r="F110" s="0" t="s">
        <v>2861</v>
      </c>
      <c r="G110" s="0" t="s">
        <v>3125</v>
      </c>
    </row>
    <row customHeight="1" ht="11.25">
      <c r="A111" s="0" t="s">
        <v>14</v>
      </c>
      <c r="B111" s="0" t="s">
        <v>99</v>
      </c>
      <c r="C111" s="0" t="s">
        <v>100</v>
      </c>
      <c r="D111" s="0" t="s">
        <v>3126</v>
      </c>
      <c r="E111" s="0" t="s">
        <v>3127</v>
      </c>
      <c r="F111" s="0" t="s">
        <v>2861</v>
      </c>
      <c r="G111" s="0" t="s">
        <v>3128</v>
      </c>
    </row>
    <row customHeight="1" ht="11.25">
      <c r="A112" s="0" t="s">
        <v>14</v>
      </c>
      <c r="B112" s="0" t="s">
        <v>99</v>
      </c>
      <c r="C112" s="0" t="s">
        <v>100</v>
      </c>
      <c r="D112" s="0" t="s">
        <v>3129</v>
      </c>
      <c r="E112" s="0" t="s">
        <v>3130</v>
      </c>
      <c r="F112" s="0" t="s">
        <v>2861</v>
      </c>
      <c r="G112" s="0" t="s">
        <v>3131</v>
      </c>
    </row>
    <row customHeight="1" ht="11.25">
      <c r="A113" s="0" t="s">
        <v>14</v>
      </c>
      <c r="B113" s="0" t="s">
        <v>99</v>
      </c>
      <c r="C113" s="0" t="s">
        <v>100</v>
      </c>
      <c r="D113" s="0" t="s">
        <v>3132</v>
      </c>
      <c r="E113" s="0" t="s">
        <v>3133</v>
      </c>
      <c r="F113" s="0" t="s">
        <v>2891</v>
      </c>
      <c r="G113" s="0" t="s">
        <v>3134</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15BE2A-F485-2802-3CBC-4D592EC77D32}" mc:Ignorable="x14ac xr xr2 xr3">
  <sheetPr>
    <tabColor rgb="FFFFCC99"/>
  </sheetPr>
  <dimension ref="A1:D20"/>
  <sheetViews>
    <sheetView topLeftCell="A1" showGridLines="0" workbookViewId="0">
      <selection activeCell="A1" sqref="A1"/>
    </sheetView>
  </sheetViews>
  <sheetFormatPr defaultColWidth="9.140625" customHeight="1" defaultRowHeight="11.25"/>
  <cols>
    <col min="1" max="4" style="1715" width="9.140625"/>
  </cols>
  <sheetData>
    <row customHeight="1" ht="11.25">
      <c r="A1" s="829" t="s">
        <v>3135</v>
      </c>
      <c r="B1" s="829" t="s">
        <v>3136</v>
      </c>
      <c r="C1" s="829" t="s">
        <v>3137</v>
      </c>
      <c r="D1" s="829" t="s">
        <v>3138</v>
      </c>
    </row>
    <row customHeight="1" ht="11.25">
      <c r="A2" s="1715" t="s">
        <v>108</v>
      </c>
      <c r="B2" s="1715" t="s">
        <v>3139</v>
      </c>
      <c r="C2" s="1715" t="s">
        <v>3140</v>
      </c>
      <c r="D2" s="1715" t="s">
        <v>3141</v>
      </c>
    </row>
    <row customHeight="1" ht="11.25">
      <c r="A3" s="1715" t="s">
        <v>109</v>
      </c>
      <c r="B3" s="1715" t="s">
        <v>3142</v>
      </c>
      <c r="C3" s="1715" t="s">
        <v>3143</v>
      </c>
      <c r="D3" s="1715" t="s">
        <v>3144</v>
      </c>
    </row>
    <row customHeight="1" ht="11.25">
      <c r="A4" s="1715" t="s">
        <v>89</v>
      </c>
      <c r="B4" s="1715" t="s">
        <v>3145</v>
      </c>
      <c r="C4" s="1715" t="s">
        <v>3146</v>
      </c>
      <c r="D4" s="1715" t="s">
        <v>3147</v>
      </c>
    </row>
    <row customHeight="1" ht="11.25">
      <c r="A5" s="1715" t="s">
        <v>90</v>
      </c>
      <c r="B5" s="1715" t="s">
        <v>3148</v>
      </c>
      <c r="C5" s="1715" t="s">
        <v>3146</v>
      </c>
      <c r="D5" s="1715" t="s">
        <v>3147</v>
      </c>
    </row>
    <row customHeight="1" ht="11.25">
      <c r="A6" s="1715" t="s">
        <v>110</v>
      </c>
      <c r="B6" s="1715" t="s">
        <v>3149</v>
      </c>
      <c r="C6" s="1715" t="s">
        <v>3143</v>
      </c>
      <c r="D6" s="1715" t="s">
        <v>3150</v>
      </c>
    </row>
    <row customHeight="1" ht="11.25">
      <c r="A7" s="1715" t="s">
        <v>91</v>
      </c>
      <c r="B7" s="1715" t="s">
        <v>3151</v>
      </c>
      <c r="C7" s="1715" t="s">
        <v>3146</v>
      </c>
      <c r="D7" s="1715" t="s">
        <v>3147</v>
      </c>
    </row>
    <row customHeight="1" ht="11.25">
      <c r="A8" s="1715" t="s">
        <v>92</v>
      </c>
      <c r="B8" s="1715" t="s">
        <v>3152</v>
      </c>
      <c r="C8" s="1715" t="s">
        <v>3146</v>
      </c>
      <c r="D8" s="1715" t="s">
        <v>3147</v>
      </c>
    </row>
    <row customHeight="1" ht="11.25">
      <c r="A9" s="1715" t="s">
        <v>111</v>
      </c>
      <c r="B9" s="1715" t="s">
        <v>3153</v>
      </c>
      <c r="C9" s="1715" t="s">
        <v>3146</v>
      </c>
      <c r="D9" s="1715" t="s">
        <v>3147</v>
      </c>
    </row>
    <row customHeight="1" ht="11.25">
      <c r="A10" s="1715" t="s">
        <v>98</v>
      </c>
      <c r="B10" s="1715" t="s">
        <v>3154</v>
      </c>
      <c r="C10" s="1715" t="s">
        <v>3146</v>
      </c>
      <c r="D10" s="1715" t="s">
        <v>3147</v>
      </c>
    </row>
    <row customHeight="1" ht="11.25">
      <c r="A11" s="1715" t="s">
        <v>147</v>
      </c>
      <c r="B11" s="1715" t="s">
        <v>3155</v>
      </c>
      <c r="C11" s="1715" t="s">
        <v>3156</v>
      </c>
      <c r="D11" s="1715" t="s">
        <v>3150</v>
      </c>
    </row>
    <row customHeight="1" ht="11.25">
      <c r="A12" s="1715" t="s">
        <v>148</v>
      </c>
      <c r="B12" s="1715" t="s">
        <v>3157</v>
      </c>
      <c r="C12" s="1715" t="s">
        <v>3158</v>
      </c>
      <c r="D12" s="1715" t="s">
        <v>3144</v>
      </c>
    </row>
    <row customHeight="1" ht="11.25">
      <c r="A13" s="1715" t="s">
        <v>149</v>
      </c>
      <c r="B13" s="1715" t="s">
        <v>3159</v>
      </c>
      <c r="C13" s="1715" t="s">
        <v>3160</v>
      </c>
      <c r="D13" s="1715" t="s">
        <v>3161</v>
      </c>
    </row>
    <row customHeight="1" ht="11.25">
      <c r="A14" s="1715" t="s">
        <v>150</v>
      </c>
      <c r="B14" s="1715" t="s">
        <v>3162</v>
      </c>
      <c r="C14" s="1715" t="s">
        <v>3143</v>
      </c>
      <c r="D14" s="1715" t="s">
        <v>3163</v>
      </c>
    </row>
    <row customHeight="1" ht="11.25">
      <c r="A15" s="1715" t="s">
        <v>151</v>
      </c>
      <c r="B15" s="1715" t="s">
        <v>3164</v>
      </c>
      <c r="C15" s="1715" t="s">
        <v>3143</v>
      </c>
      <c r="D15" s="1715" t="s">
        <v>3165</v>
      </c>
    </row>
    <row customHeight="1" ht="11.25">
      <c r="A16" s="1715" t="s">
        <v>1482</v>
      </c>
      <c r="B16" s="1715" t="s">
        <v>3166</v>
      </c>
      <c r="C16" s="1715" t="s">
        <v>3143</v>
      </c>
      <c r="D16" s="1715" t="s">
        <v>3165</v>
      </c>
    </row>
    <row customHeight="1" ht="11.25">
      <c r="A17" s="1715" t="s">
        <v>1488</v>
      </c>
      <c r="B17" s="1715" t="s">
        <v>3167</v>
      </c>
      <c r="C17" s="1715" t="s">
        <v>3143</v>
      </c>
      <c r="D17" s="1715" t="s">
        <v>3165</v>
      </c>
    </row>
    <row customHeight="1" ht="11.25">
      <c r="A18" s="1715" t="s">
        <v>1499</v>
      </c>
      <c r="B18" s="1715" t="s">
        <v>3168</v>
      </c>
      <c r="C18" s="1715" t="s">
        <v>3143</v>
      </c>
      <c r="D18" s="1715" t="s">
        <v>3165</v>
      </c>
    </row>
    <row customHeight="1" ht="11.25">
      <c r="A19" s="1715" t="s">
        <v>1513</v>
      </c>
      <c r="B19" s="1715" t="s">
        <v>3169</v>
      </c>
      <c r="C19" s="1715" t="s">
        <v>3143</v>
      </c>
      <c r="D19" s="1715" t="s">
        <v>3165</v>
      </c>
    </row>
    <row customHeight="1" ht="11.25">
      <c r="A20" s="1715" t="s">
        <v>1525</v>
      </c>
      <c r="B20" s="1715" t="s">
        <v>3170</v>
      </c>
      <c r="C20" s="1715" t="s">
        <v>3143</v>
      </c>
      <c r="D20" s="1715" t="s">
        <v>3165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833FAA-54FB-8773-3772-2823EAF203AF}"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61BA72-60C3-5561-7553-91D96AF62BAF}"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63" width="9.140625"/>
  </cols>
  <sheetData>
    <row customHeight="1" ht="11.25">
      <c r="A1" s="163" t="s">
        <v>129</v>
      </c>
      <c r="B1" s="163" t="s">
        <v>3171</v>
      </c>
    </row>
    <row customHeight="1" ht="11.25">
      <c r="A2" s="5604" t="s">
        <v>97</v>
      </c>
      <c r="B2" s="5604" t="s">
        <v>3172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14544F-9941-8CFB-3868-5D4D4B20350C}"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3173</v>
      </c>
      <c r="B1" s="829" t="s">
        <v>3174</v>
      </c>
    </row>
    <row customHeight="1" ht="11.25">
      <c r="A2" s="829">
        <v>4213775</v>
      </c>
      <c r="B2" s="829" t="s">
        <v>1245</v>
      </c>
    </row>
    <row customHeight="1" ht="11.25">
      <c r="A3" s="829">
        <v>4213784</v>
      </c>
      <c r="B3" s="829" t="s">
        <v>1278</v>
      </c>
    </row>
    <row customHeight="1" ht="11.25">
      <c r="A4" s="829">
        <v>4213781</v>
      </c>
      <c r="B4" s="829" t="s">
        <v>1271</v>
      </c>
    </row>
    <row customHeight="1" ht="11.25">
      <c r="A5" s="829">
        <v>4213776</v>
      </c>
      <c r="B5" s="829" t="s">
        <v>186</v>
      </c>
    </row>
    <row customHeight="1" ht="11.25">
      <c r="A6" s="829">
        <v>4213777</v>
      </c>
      <c r="B6" s="829" t="s">
        <v>194</v>
      </c>
    </row>
    <row customHeight="1" ht="11.25">
      <c r="A7" s="829">
        <v>4213778</v>
      </c>
      <c r="B7" s="829" t="s">
        <v>202</v>
      </c>
    </row>
    <row customHeight="1" ht="11.25">
      <c r="A8" s="829">
        <v>4213780</v>
      </c>
      <c r="B8" s="829" t="s">
        <v>208</v>
      </c>
    </row>
    <row customHeight="1" ht="11.25">
      <c r="A9" s="829">
        <v>4213779</v>
      </c>
      <c r="B9" s="829" t="s">
        <v>1409</v>
      </c>
    </row>
    <row customHeight="1" ht="11.25">
      <c r="A10" s="829">
        <v>4213783</v>
      </c>
      <c r="B10" s="829" t="s">
        <v>1423</v>
      </c>
    </row>
    <row customHeight="1" ht="11.25">
      <c r="A11" s="829">
        <v>4213782</v>
      </c>
      <c r="B11" s="829" t="s">
        <v>214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F6A0EF-FFC7-DDCE-19AB-E297525E6DFA}"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715" width="9.140625"/>
    <col min="2" max="2" style="1715" width="65.28125" customWidth="1"/>
  </cols>
  <sheetData>
    <row customHeight="1" ht="11.25">
      <c r="A1" s="829" t="s">
        <v>3173</v>
      </c>
      <c r="B1" s="829" t="s">
        <v>3175</v>
      </c>
    </row>
    <row customHeight="1" ht="11.25">
      <c r="A2" s="829" t="s">
        <v>3176</v>
      </c>
      <c r="B2" s="829" t="s">
        <v>1519</v>
      </c>
    </row>
    <row customHeight="1" ht="11.25">
      <c r="A3" s="829" t="s">
        <v>3177</v>
      </c>
      <c r="B3" s="829" t="s">
        <v>1529</v>
      </c>
    </row>
    <row customHeight="1" ht="11.25">
      <c r="A4" s="829" t="s">
        <v>3178</v>
      </c>
      <c r="B4" s="829" t="s">
        <v>1538</v>
      </c>
    </row>
    <row customHeight="1" ht="11.25">
      <c r="A5" s="829" t="s">
        <v>188</v>
      </c>
      <c r="B5" s="829" t="s">
        <v>1547</v>
      </c>
    </row>
    <row customHeight="1" ht="11.25">
      <c r="A6" s="829" t="s">
        <v>3179</v>
      </c>
      <c r="B6" s="829" t="s">
        <v>1553</v>
      </c>
    </row>
    <row customHeight="1" ht="11.25">
      <c r="A7" s="829" t="s">
        <v>3180</v>
      </c>
      <c r="B7" s="829" t="s">
        <v>1561</v>
      </c>
    </row>
    <row customHeight="1" ht="11.25">
      <c r="A8" s="829" t="s">
        <v>3181</v>
      </c>
      <c r="B8" s="829" t="s">
        <v>1568</v>
      </c>
    </row>
    <row customHeight="1" ht="11.25">
      <c r="A9" s="829" t="s">
        <v>3182</v>
      </c>
      <c r="B9" s="829" t="s">
        <v>1574</v>
      </c>
    </row>
    <row customHeight="1" ht="11.25">
      <c r="A10" s="829" t="s">
        <v>3183</v>
      </c>
      <c r="B10" s="829" t="s">
        <v>1578</v>
      </c>
    </row>
    <row customHeight="1" ht="11.25">
      <c r="A11" s="829" t="s">
        <v>216</v>
      </c>
      <c r="B11" s="829" t="s">
        <v>1585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2C74A8-C5DF-D369-6266-E7FA2324DFF6}" mc:Ignorable="x14ac xr xr2 xr3">
  <sheetPr>
    <tabColor rgb="FFFFCC99"/>
  </sheetPr>
  <dimension ref="A1:G113"/>
  <sheetViews>
    <sheetView topLeftCell="A1" showGridLines="0" workbookViewId="0">
      <selection activeCell="A1" sqref="A1"/>
    </sheetView>
  </sheetViews>
  <sheetFormatPr customHeight="1" defaultRowHeight="11.25"/>
  <sheetData>
    <row customHeight="1" ht="11.25">
      <c r="A1" s="0" t="s">
        <v>2852</v>
      </c>
      <c r="B1" s="0" t="s">
        <v>2853</v>
      </c>
      <c r="C1" s="0" t="s">
        <v>2854</v>
      </c>
      <c r="D1" s="0" t="s">
        <v>2855</v>
      </c>
      <c r="E1" s="0" t="s">
        <v>2856</v>
      </c>
      <c r="F1" s="0" t="s">
        <v>2857</v>
      </c>
      <c r="G1" s="0" t="s">
        <v>2858</v>
      </c>
    </row>
    <row customHeight="1" ht="11.25">
      <c r="A2" s="0" t="s">
        <v>14</v>
      </c>
      <c r="B2" s="0" t="s">
        <v>99</v>
      </c>
      <c r="C2" s="0" t="s">
        <v>100</v>
      </c>
      <c r="D2" s="0" t="s">
        <v>2859</v>
      </c>
      <c r="E2" s="0" t="s">
        <v>2860</v>
      </c>
      <c r="F2" s="0" t="s">
        <v>2861</v>
      </c>
      <c r="G2" s="0" t="s">
        <v>108</v>
      </c>
    </row>
    <row customHeight="1" ht="11.25">
      <c r="A3" s="0" t="s">
        <v>14</v>
      </c>
      <c r="B3" s="0" t="s">
        <v>99</v>
      </c>
      <c r="C3" s="0" t="s">
        <v>100</v>
      </c>
      <c r="D3" s="0" t="s">
        <v>2862</v>
      </c>
      <c r="E3" s="0" t="s">
        <v>2863</v>
      </c>
      <c r="F3" s="0" t="s">
        <v>2861</v>
      </c>
      <c r="G3" s="0" t="s">
        <v>109</v>
      </c>
    </row>
    <row customHeight="1" ht="11.25">
      <c r="A4" s="0" t="s">
        <v>14</v>
      </c>
      <c r="B4" s="0" t="s">
        <v>99</v>
      </c>
      <c r="C4" s="0" t="s">
        <v>100</v>
      </c>
      <c r="D4" s="0" t="s">
        <v>2864</v>
      </c>
      <c r="E4" s="0" t="s">
        <v>2865</v>
      </c>
      <c r="F4" s="0" t="s">
        <v>2861</v>
      </c>
      <c r="G4" s="0" t="s">
        <v>89</v>
      </c>
    </row>
    <row customHeight="1" ht="11.25">
      <c r="A5" s="0" t="s">
        <v>14</v>
      </c>
      <c r="B5" s="0" t="s">
        <v>99</v>
      </c>
      <c r="C5" s="0" t="s">
        <v>100</v>
      </c>
      <c r="D5" s="0" t="s">
        <v>2866</v>
      </c>
      <c r="E5" s="0" t="s">
        <v>2867</v>
      </c>
      <c r="F5" s="0" t="s">
        <v>2861</v>
      </c>
      <c r="G5" s="0" t="s">
        <v>90</v>
      </c>
    </row>
    <row customHeight="1" ht="11.25">
      <c r="A6" s="0" t="s">
        <v>14</v>
      </c>
      <c r="B6" s="0" t="s">
        <v>99</v>
      </c>
      <c r="C6" s="0" t="s">
        <v>100</v>
      </c>
      <c r="D6" s="0" t="s">
        <v>2868</v>
      </c>
      <c r="E6" s="0" t="s">
        <v>2869</v>
      </c>
      <c r="F6" s="0" t="s">
        <v>2861</v>
      </c>
      <c r="G6" s="0" t="s">
        <v>110</v>
      </c>
    </row>
    <row customHeight="1" ht="11.25">
      <c r="A7" s="0" t="s">
        <v>14</v>
      </c>
      <c r="B7" s="0" t="s">
        <v>99</v>
      </c>
      <c r="C7" s="0" t="s">
        <v>100</v>
      </c>
      <c r="D7" s="0" t="s">
        <v>2870</v>
      </c>
      <c r="E7" s="0" t="s">
        <v>2871</v>
      </c>
      <c r="F7" s="0" t="s">
        <v>2861</v>
      </c>
      <c r="G7" s="0" t="s">
        <v>91</v>
      </c>
    </row>
    <row customHeight="1" ht="11.25">
      <c r="A8" s="0" t="s">
        <v>14</v>
      </c>
      <c r="B8" s="0" t="s">
        <v>99</v>
      </c>
      <c r="C8" s="0" t="s">
        <v>100</v>
      </c>
      <c r="D8" s="0" t="s">
        <v>2872</v>
      </c>
      <c r="E8" s="0" t="s">
        <v>2873</v>
      </c>
      <c r="F8" s="0" t="s">
        <v>2861</v>
      </c>
      <c r="G8" s="0" t="s">
        <v>92</v>
      </c>
    </row>
    <row customHeight="1" ht="11.25">
      <c r="A9" s="0" t="s">
        <v>14</v>
      </c>
      <c r="B9" s="0" t="s">
        <v>99</v>
      </c>
      <c r="C9" s="0" t="s">
        <v>100</v>
      </c>
      <c r="D9" s="0" t="s">
        <v>2874</v>
      </c>
      <c r="E9" s="0" t="s">
        <v>2875</v>
      </c>
      <c r="F9" s="0" t="s">
        <v>2861</v>
      </c>
      <c r="G9" s="0" t="s">
        <v>111</v>
      </c>
    </row>
    <row customHeight="1" ht="11.25">
      <c r="A10" s="0" t="s">
        <v>14</v>
      </c>
      <c r="B10" s="0" t="s">
        <v>99</v>
      </c>
      <c r="C10" s="0" t="s">
        <v>100</v>
      </c>
      <c r="D10" s="0" t="s">
        <v>99</v>
      </c>
      <c r="E10" s="0" t="s">
        <v>100</v>
      </c>
      <c r="F10" s="0" t="s">
        <v>2876</v>
      </c>
      <c r="G10" s="0" t="s">
        <v>98</v>
      </c>
    </row>
    <row customHeight="1" ht="11.25">
      <c r="A11" s="0" t="s">
        <v>14</v>
      </c>
      <c r="B11" s="0" t="s">
        <v>99</v>
      </c>
      <c r="C11" s="0" t="s">
        <v>100</v>
      </c>
      <c r="D11" s="0" t="s">
        <v>2877</v>
      </c>
      <c r="E11" s="0" t="s">
        <v>2878</v>
      </c>
      <c r="F11" s="0" t="s">
        <v>2861</v>
      </c>
      <c r="G11" s="0" t="s">
        <v>147</v>
      </c>
    </row>
    <row customHeight="1" ht="11.25">
      <c r="A12" s="0" t="s">
        <v>14</v>
      </c>
      <c r="B12" s="0" t="s">
        <v>99</v>
      </c>
      <c r="C12" s="0" t="s">
        <v>100</v>
      </c>
      <c r="D12" s="0" t="s">
        <v>2879</v>
      </c>
      <c r="E12" s="0" t="s">
        <v>2880</v>
      </c>
      <c r="F12" s="0" t="s">
        <v>2861</v>
      </c>
      <c r="G12" s="0" t="s">
        <v>148</v>
      </c>
    </row>
    <row customHeight="1" ht="11.25">
      <c r="A13" s="0" t="s">
        <v>14</v>
      </c>
      <c r="B13" s="0" t="s">
        <v>99</v>
      </c>
      <c r="C13" s="0" t="s">
        <v>100</v>
      </c>
      <c r="D13" s="0" t="s">
        <v>2881</v>
      </c>
      <c r="E13" s="0" t="s">
        <v>2882</v>
      </c>
      <c r="F13" s="0" t="s">
        <v>2861</v>
      </c>
      <c r="G13" s="0" t="s">
        <v>149</v>
      </c>
    </row>
    <row customHeight="1" ht="11.25">
      <c r="A14" s="0" t="s">
        <v>14</v>
      </c>
      <c r="B14" s="0" t="s">
        <v>99</v>
      </c>
      <c r="C14" s="0" t="s">
        <v>100</v>
      </c>
      <c r="D14" s="0" t="s">
        <v>2883</v>
      </c>
      <c r="E14" s="0" t="s">
        <v>2884</v>
      </c>
      <c r="F14" s="0" t="s">
        <v>2861</v>
      </c>
      <c r="G14" s="0" t="s">
        <v>150</v>
      </c>
    </row>
    <row customHeight="1" ht="11.25">
      <c r="A15" s="0" t="s">
        <v>14</v>
      </c>
      <c r="B15" s="0" t="s">
        <v>99</v>
      </c>
      <c r="C15" s="0" t="s">
        <v>100</v>
      </c>
      <c r="D15" s="0" t="s">
        <v>2885</v>
      </c>
      <c r="E15" s="0" t="s">
        <v>2886</v>
      </c>
      <c r="F15" s="0" t="s">
        <v>2861</v>
      </c>
      <c r="G15" s="0" t="s">
        <v>151</v>
      </c>
    </row>
    <row customHeight="1" ht="11.25">
      <c r="A16" s="0" t="s">
        <v>14</v>
      </c>
      <c r="B16" s="0" t="s">
        <v>99</v>
      </c>
      <c r="C16" s="0" t="s">
        <v>100</v>
      </c>
      <c r="D16" s="0" t="s">
        <v>2887</v>
      </c>
      <c r="E16" s="0" t="s">
        <v>2888</v>
      </c>
      <c r="F16" s="0" t="s">
        <v>2861</v>
      </c>
      <c r="G16" s="0" t="s">
        <v>1482</v>
      </c>
    </row>
    <row customHeight="1" ht="11.25">
      <c r="A17" s="0" t="s">
        <v>14</v>
      </c>
      <c r="B17" s="0" t="s">
        <v>99</v>
      </c>
      <c r="C17" s="0" t="s">
        <v>100</v>
      </c>
      <c r="D17" s="0" t="s">
        <v>2889</v>
      </c>
      <c r="E17" s="0" t="s">
        <v>2890</v>
      </c>
      <c r="F17" s="0" t="s">
        <v>2891</v>
      </c>
      <c r="G17" s="0" t="s">
        <v>1488</v>
      </c>
    </row>
    <row customHeight="1" ht="11.25">
      <c r="A18" s="0" t="s">
        <v>14</v>
      </c>
      <c r="B18" s="0" t="s">
        <v>99</v>
      </c>
      <c r="C18" s="0" t="s">
        <v>100</v>
      </c>
      <c r="D18" s="0" t="s">
        <v>2892</v>
      </c>
      <c r="E18" s="0" t="s">
        <v>2893</v>
      </c>
      <c r="F18" s="0" t="s">
        <v>2891</v>
      </c>
      <c r="G18" s="0" t="s">
        <v>1499</v>
      </c>
    </row>
    <row customHeight="1" ht="11.25">
      <c r="A19" s="0" t="s">
        <v>14</v>
      </c>
      <c r="B19" s="0" t="s">
        <v>99</v>
      </c>
      <c r="C19" s="0" t="s">
        <v>100</v>
      </c>
      <c r="D19" s="0" t="s">
        <v>2894</v>
      </c>
      <c r="E19" s="0" t="s">
        <v>2895</v>
      </c>
      <c r="F19" s="0" t="s">
        <v>2861</v>
      </c>
      <c r="G19" s="0" t="s">
        <v>1513</v>
      </c>
    </row>
    <row customHeight="1" ht="11.25">
      <c r="A20" s="0" t="s">
        <v>14</v>
      </c>
      <c r="B20" s="0" t="s">
        <v>99</v>
      </c>
      <c r="C20" s="0" t="s">
        <v>100</v>
      </c>
      <c r="D20" s="0" t="s">
        <v>2896</v>
      </c>
      <c r="E20" s="0" t="s">
        <v>2897</v>
      </c>
      <c r="F20" s="0" t="s">
        <v>2861</v>
      </c>
      <c r="G20" s="0" t="s">
        <v>1525</v>
      </c>
    </row>
    <row customHeight="1" ht="11.25">
      <c r="A21" s="0" t="s">
        <v>14</v>
      </c>
      <c r="B21" s="0" t="s">
        <v>99</v>
      </c>
      <c r="C21" s="0" t="s">
        <v>100</v>
      </c>
      <c r="D21" s="0" t="s">
        <v>2898</v>
      </c>
      <c r="E21" s="0" t="s">
        <v>2899</v>
      </c>
      <c r="F21" s="0" t="s">
        <v>2861</v>
      </c>
      <c r="G21" s="0" t="s">
        <v>1534</v>
      </c>
    </row>
    <row customHeight="1" ht="11.25">
      <c r="A22" s="0" t="s">
        <v>14</v>
      </c>
      <c r="B22" s="0" t="s">
        <v>99</v>
      </c>
      <c r="C22" s="0" t="s">
        <v>100</v>
      </c>
      <c r="D22" s="0" t="s">
        <v>2900</v>
      </c>
      <c r="E22" s="0" t="s">
        <v>2901</v>
      </c>
      <c r="F22" s="0" t="s">
        <v>2891</v>
      </c>
      <c r="G22" s="0" t="s">
        <v>1550</v>
      </c>
    </row>
    <row customHeight="1" ht="11.25">
      <c r="A23" s="0" t="s">
        <v>14</v>
      </c>
      <c r="B23" s="0" t="s">
        <v>99</v>
      </c>
      <c r="C23" s="0" t="s">
        <v>100</v>
      </c>
      <c r="D23" s="0" t="s">
        <v>2902</v>
      </c>
      <c r="E23" s="0" t="s">
        <v>2903</v>
      </c>
      <c r="F23" s="0" t="s">
        <v>2861</v>
      </c>
      <c r="G23" s="0" t="s">
        <v>1557</v>
      </c>
    </row>
    <row customHeight="1" ht="11.25">
      <c r="A24" s="0" t="s">
        <v>14</v>
      </c>
      <c r="B24" s="0" t="s">
        <v>99</v>
      </c>
      <c r="C24" s="0" t="s">
        <v>100</v>
      </c>
      <c r="D24" s="0" t="s">
        <v>2904</v>
      </c>
      <c r="E24" s="0" t="s">
        <v>2905</v>
      </c>
      <c r="F24" s="0" t="s">
        <v>2891</v>
      </c>
      <c r="G24" s="0" t="s">
        <v>1565</v>
      </c>
    </row>
    <row customHeight="1" ht="11.25">
      <c r="A25" s="0" t="s">
        <v>14</v>
      </c>
      <c r="B25" s="0" t="s">
        <v>99</v>
      </c>
      <c r="C25" s="0" t="s">
        <v>100</v>
      </c>
      <c r="D25" s="0" t="s">
        <v>2906</v>
      </c>
      <c r="E25" s="0" t="s">
        <v>2907</v>
      </c>
      <c r="F25" s="0" t="s">
        <v>2861</v>
      </c>
      <c r="G25" s="0" t="s">
        <v>1572</v>
      </c>
    </row>
    <row customHeight="1" ht="11.25">
      <c r="A26" s="0" t="s">
        <v>14</v>
      </c>
      <c r="B26" s="0" t="s">
        <v>99</v>
      </c>
      <c r="C26" s="0" t="s">
        <v>100</v>
      </c>
      <c r="D26" s="0" t="s">
        <v>2908</v>
      </c>
      <c r="E26" s="0" t="s">
        <v>2909</v>
      </c>
      <c r="F26" s="0" t="s">
        <v>2861</v>
      </c>
      <c r="G26" s="0" t="s">
        <v>1576</v>
      </c>
    </row>
    <row customHeight="1" ht="11.25">
      <c r="A27" s="0" t="s">
        <v>14</v>
      </c>
      <c r="B27" s="0" t="s">
        <v>99</v>
      </c>
      <c r="C27" s="0" t="s">
        <v>100</v>
      </c>
      <c r="D27" s="0" t="s">
        <v>2910</v>
      </c>
      <c r="E27" s="0" t="s">
        <v>2911</v>
      </c>
      <c r="F27" s="0" t="s">
        <v>2861</v>
      </c>
      <c r="G27" s="0" t="s">
        <v>1581</v>
      </c>
    </row>
    <row customHeight="1" ht="11.25">
      <c r="A28" s="0" t="s">
        <v>14</v>
      </c>
      <c r="B28" s="0" t="s">
        <v>99</v>
      </c>
      <c r="C28" s="0" t="s">
        <v>100</v>
      </c>
      <c r="D28" s="0" t="s">
        <v>2912</v>
      </c>
      <c r="E28" s="0" t="s">
        <v>2913</v>
      </c>
      <c r="F28" s="0" t="s">
        <v>2891</v>
      </c>
      <c r="G28" s="0" t="s">
        <v>1589</v>
      </c>
    </row>
    <row customHeight="1" ht="11.25">
      <c r="A29" s="0" t="s">
        <v>14</v>
      </c>
      <c r="B29" s="0" t="s">
        <v>99</v>
      </c>
      <c r="C29" s="0" t="s">
        <v>100</v>
      </c>
      <c r="D29" s="0" t="s">
        <v>2914</v>
      </c>
      <c r="E29" s="0" t="s">
        <v>2915</v>
      </c>
      <c r="F29" s="0" t="s">
        <v>2891</v>
      </c>
      <c r="G29" s="0" t="s">
        <v>1591</v>
      </c>
    </row>
    <row customHeight="1" ht="11.25">
      <c r="A30" s="0" t="s">
        <v>14</v>
      </c>
      <c r="B30" s="0" t="s">
        <v>99</v>
      </c>
      <c r="C30" s="0" t="s">
        <v>100</v>
      </c>
      <c r="D30" s="0" t="s">
        <v>2916</v>
      </c>
      <c r="E30" s="0" t="s">
        <v>2917</v>
      </c>
      <c r="F30" s="0" t="s">
        <v>2861</v>
      </c>
      <c r="G30" s="0" t="s">
        <v>1594</v>
      </c>
    </row>
    <row customHeight="1" ht="11.25">
      <c r="A31" s="0" t="s">
        <v>14</v>
      </c>
      <c r="B31" s="0" t="s">
        <v>99</v>
      </c>
      <c r="C31" s="0" t="s">
        <v>100</v>
      </c>
      <c r="D31" s="0" t="s">
        <v>2918</v>
      </c>
      <c r="E31" s="0" t="s">
        <v>2919</v>
      </c>
      <c r="F31" s="0" t="s">
        <v>2861</v>
      </c>
      <c r="G31" s="0" t="s">
        <v>1599</v>
      </c>
    </row>
    <row customHeight="1" ht="11.25">
      <c r="A32" s="0" t="s">
        <v>14</v>
      </c>
      <c r="B32" s="0" t="s">
        <v>99</v>
      </c>
      <c r="C32" s="0" t="s">
        <v>100</v>
      </c>
      <c r="D32" s="0" t="s">
        <v>2920</v>
      </c>
      <c r="E32" s="0" t="s">
        <v>2921</v>
      </c>
      <c r="F32" s="0" t="s">
        <v>2891</v>
      </c>
      <c r="G32" s="0" t="s">
        <v>1601</v>
      </c>
    </row>
    <row customHeight="1" ht="11.25">
      <c r="A33" s="0" t="s">
        <v>14</v>
      </c>
      <c r="B33" s="0" t="s">
        <v>99</v>
      </c>
      <c r="C33" s="0" t="s">
        <v>100</v>
      </c>
      <c r="D33" s="0" t="s">
        <v>2922</v>
      </c>
      <c r="E33" s="0" t="s">
        <v>2923</v>
      </c>
      <c r="F33" s="0" t="s">
        <v>2861</v>
      </c>
      <c r="G33" s="0" t="s">
        <v>1603</v>
      </c>
    </row>
    <row customHeight="1" ht="11.25">
      <c r="A34" s="0" t="s">
        <v>14</v>
      </c>
      <c r="B34" s="0" t="s">
        <v>99</v>
      </c>
      <c r="C34" s="0" t="s">
        <v>100</v>
      </c>
      <c r="D34" s="0" t="s">
        <v>2924</v>
      </c>
      <c r="E34" s="0" t="s">
        <v>2925</v>
      </c>
      <c r="F34" s="0" t="s">
        <v>2861</v>
      </c>
      <c r="G34" s="0" t="s">
        <v>1605</v>
      </c>
    </row>
    <row customHeight="1" ht="11.25">
      <c r="A35" s="0" t="s">
        <v>14</v>
      </c>
      <c r="B35" s="0" t="s">
        <v>99</v>
      </c>
      <c r="C35" s="0" t="s">
        <v>100</v>
      </c>
      <c r="D35" s="0" t="s">
        <v>2926</v>
      </c>
      <c r="E35" s="0" t="s">
        <v>2927</v>
      </c>
      <c r="F35" s="0" t="s">
        <v>2861</v>
      </c>
      <c r="G35" s="0" t="s">
        <v>1610</v>
      </c>
    </row>
    <row customHeight="1" ht="11.25">
      <c r="A36" s="0" t="s">
        <v>14</v>
      </c>
      <c r="B36" s="0" t="s">
        <v>99</v>
      </c>
      <c r="C36" s="0" t="s">
        <v>100</v>
      </c>
      <c r="D36" s="0" t="s">
        <v>2928</v>
      </c>
      <c r="E36" s="0" t="s">
        <v>2929</v>
      </c>
      <c r="F36" s="0" t="s">
        <v>2891</v>
      </c>
      <c r="G36" s="0" t="s">
        <v>1615</v>
      </c>
    </row>
    <row customHeight="1" ht="11.25">
      <c r="A37" s="0" t="s">
        <v>14</v>
      </c>
      <c r="B37" s="0" t="s">
        <v>99</v>
      </c>
      <c r="C37" s="0" t="s">
        <v>100</v>
      </c>
      <c r="D37" s="0" t="s">
        <v>2930</v>
      </c>
      <c r="E37" s="0" t="s">
        <v>2931</v>
      </c>
      <c r="F37" s="0" t="s">
        <v>2861</v>
      </c>
      <c r="G37" s="0" t="s">
        <v>1619</v>
      </c>
    </row>
    <row customHeight="1" ht="11.25">
      <c r="A38" s="0" t="s">
        <v>14</v>
      </c>
      <c r="B38" s="0" t="s">
        <v>99</v>
      </c>
      <c r="C38" s="0" t="s">
        <v>100</v>
      </c>
      <c r="D38" s="0" t="s">
        <v>2932</v>
      </c>
      <c r="E38" s="0" t="s">
        <v>2933</v>
      </c>
      <c r="F38" s="0" t="s">
        <v>2861</v>
      </c>
      <c r="G38" s="0" t="s">
        <v>1627</v>
      </c>
    </row>
    <row customHeight="1" ht="11.25">
      <c r="A39" s="0" t="s">
        <v>14</v>
      </c>
      <c r="B39" s="0" t="s">
        <v>99</v>
      </c>
      <c r="C39" s="0" t="s">
        <v>100</v>
      </c>
      <c r="D39" s="0" t="s">
        <v>2934</v>
      </c>
      <c r="E39" s="0" t="s">
        <v>2935</v>
      </c>
      <c r="F39" s="0" t="s">
        <v>2861</v>
      </c>
      <c r="G39" s="0" t="s">
        <v>1633</v>
      </c>
    </row>
    <row customHeight="1" ht="11.25">
      <c r="A40" s="0" t="s">
        <v>14</v>
      </c>
      <c r="B40" s="0" t="s">
        <v>99</v>
      </c>
      <c r="C40" s="0" t="s">
        <v>100</v>
      </c>
      <c r="D40" s="0" t="s">
        <v>2936</v>
      </c>
      <c r="E40" s="0" t="s">
        <v>2937</v>
      </c>
      <c r="F40" s="0" t="s">
        <v>2861</v>
      </c>
      <c r="G40" s="0" t="s">
        <v>1638</v>
      </c>
    </row>
    <row customHeight="1" ht="11.25">
      <c r="A41" s="0" t="s">
        <v>14</v>
      </c>
      <c r="B41" s="0" t="s">
        <v>99</v>
      </c>
      <c r="C41" s="0" t="s">
        <v>100</v>
      </c>
      <c r="D41" s="0" t="s">
        <v>2938</v>
      </c>
      <c r="E41" s="0" t="s">
        <v>2939</v>
      </c>
      <c r="F41" s="0" t="s">
        <v>2861</v>
      </c>
      <c r="G41" s="0" t="s">
        <v>1642</v>
      </c>
    </row>
    <row customHeight="1" ht="11.25">
      <c r="A42" s="0" t="s">
        <v>14</v>
      </c>
      <c r="B42" s="0" t="s">
        <v>99</v>
      </c>
      <c r="C42" s="0" t="s">
        <v>100</v>
      </c>
      <c r="D42" s="0" t="s">
        <v>2940</v>
      </c>
      <c r="E42" s="0" t="s">
        <v>2941</v>
      </c>
      <c r="F42" s="0" t="s">
        <v>2861</v>
      </c>
      <c r="G42" s="0" t="s">
        <v>1645</v>
      </c>
    </row>
    <row customHeight="1" ht="11.25">
      <c r="A43" s="0" t="s">
        <v>14</v>
      </c>
      <c r="B43" s="0" t="s">
        <v>99</v>
      </c>
      <c r="C43" s="0" t="s">
        <v>100</v>
      </c>
      <c r="D43" s="0" t="s">
        <v>2942</v>
      </c>
      <c r="E43" s="0" t="s">
        <v>2943</v>
      </c>
      <c r="F43" s="0" t="s">
        <v>2861</v>
      </c>
      <c r="G43" s="0" t="s">
        <v>1652</v>
      </c>
    </row>
    <row customHeight="1" ht="11.25">
      <c r="A44" s="0" t="s">
        <v>14</v>
      </c>
      <c r="B44" s="0" t="s">
        <v>99</v>
      </c>
      <c r="C44" s="0" t="s">
        <v>100</v>
      </c>
      <c r="D44" s="0" t="s">
        <v>2944</v>
      </c>
      <c r="E44" s="0" t="s">
        <v>2945</v>
      </c>
      <c r="F44" s="0" t="s">
        <v>2861</v>
      </c>
      <c r="G44" s="0" t="s">
        <v>1661</v>
      </c>
    </row>
    <row customHeight="1" ht="11.25">
      <c r="A45" s="0" t="s">
        <v>14</v>
      </c>
      <c r="B45" s="0" t="s">
        <v>99</v>
      </c>
      <c r="C45" s="0" t="s">
        <v>100</v>
      </c>
      <c r="D45" s="0" t="s">
        <v>2946</v>
      </c>
      <c r="E45" s="0" t="s">
        <v>2947</v>
      </c>
      <c r="F45" s="0" t="s">
        <v>2861</v>
      </c>
      <c r="G45" s="0" t="s">
        <v>1666</v>
      </c>
    </row>
    <row customHeight="1" ht="11.25">
      <c r="A46" s="0" t="s">
        <v>14</v>
      </c>
      <c r="B46" s="0" t="s">
        <v>99</v>
      </c>
      <c r="C46" s="0" t="s">
        <v>100</v>
      </c>
      <c r="D46" s="0" t="s">
        <v>2948</v>
      </c>
      <c r="E46" s="0" t="s">
        <v>2949</v>
      </c>
      <c r="F46" s="0" t="s">
        <v>2861</v>
      </c>
      <c r="G46" s="0" t="s">
        <v>1670</v>
      </c>
    </row>
    <row customHeight="1" ht="11.25">
      <c r="A47" s="0" t="s">
        <v>14</v>
      </c>
      <c r="B47" s="0" t="s">
        <v>99</v>
      </c>
      <c r="C47" s="0" t="s">
        <v>100</v>
      </c>
      <c r="D47" s="0" t="s">
        <v>2950</v>
      </c>
      <c r="E47" s="0" t="s">
        <v>2951</v>
      </c>
      <c r="F47" s="0" t="s">
        <v>2861</v>
      </c>
      <c r="G47" s="0" t="s">
        <v>1676</v>
      </c>
    </row>
    <row customHeight="1" ht="11.25">
      <c r="A48" s="0" t="s">
        <v>14</v>
      </c>
      <c r="B48" s="0" t="s">
        <v>99</v>
      </c>
      <c r="C48" s="0" t="s">
        <v>100</v>
      </c>
      <c r="D48" s="0" t="s">
        <v>2952</v>
      </c>
      <c r="E48" s="0" t="s">
        <v>2953</v>
      </c>
      <c r="F48" s="0" t="s">
        <v>2891</v>
      </c>
      <c r="G48" s="0" t="s">
        <v>1681</v>
      </c>
    </row>
    <row customHeight="1" ht="11.25">
      <c r="A49" s="0" t="s">
        <v>14</v>
      </c>
      <c r="B49" s="0" t="s">
        <v>99</v>
      </c>
      <c r="C49" s="0" t="s">
        <v>100</v>
      </c>
      <c r="D49" s="0" t="s">
        <v>2954</v>
      </c>
      <c r="E49" s="0" t="s">
        <v>2955</v>
      </c>
      <c r="F49" s="0" t="s">
        <v>2861</v>
      </c>
      <c r="G49" s="0" t="s">
        <v>1684</v>
      </c>
    </row>
    <row customHeight="1" ht="11.25">
      <c r="A50" s="0" t="s">
        <v>14</v>
      </c>
      <c r="B50" s="0" t="s">
        <v>99</v>
      </c>
      <c r="C50" s="0" t="s">
        <v>100</v>
      </c>
      <c r="D50" s="0" t="s">
        <v>2956</v>
      </c>
      <c r="E50" s="0" t="s">
        <v>2957</v>
      </c>
      <c r="F50" s="0" t="s">
        <v>2861</v>
      </c>
      <c r="G50" s="0" t="s">
        <v>1688</v>
      </c>
    </row>
    <row customHeight="1" ht="11.25">
      <c r="A51" s="0" t="s">
        <v>14</v>
      </c>
      <c r="B51" s="0" t="s">
        <v>99</v>
      </c>
      <c r="C51" s="0" t="s">
        <v>100</v>
      </c>
      <c r="D51" s="0" t="s">
        <v>2958</v>
      </c>
      <c r="E51" s="0" t="s">
        <v>2959</v>
      </c>
      <c r="F51" s="0" t="s">
        <v>2891</v>
      </c>
      <c r="G51" s="0" t="s">
        <v>1692</v>
      </c>
    </row>
    <row customHeight="1" ht="11.25">
      <c r="A52" s="0" t="s">
        <v>14</v>
      </c>
      <c r="B52" s="0" t="s">
        <v>99</v>
      </c>
      <c r="C52" s="0" t="s">
        <v>100</v>
      </c>
      <c r="D52" s="0" t="s">
        <v>2960</v>
      </c>
      <c r="E52" s="0" t="s">
        <v>2961</v>
      </c>
      <c r="F52" s="0" t="s">
        <v>2891</v>
      </c>
      <c r="G52" s="0" t="s">
        <v>1696</v>
      </c>
    </row>
    <row customHeight="1" ht="11.25">
      <c r="A53" s="0" t="s">
        <v>14</v>
      </c>
      <c r="B53" s="0" t="s">
        <v>99</v>
      </c>
      <c r="C53" s="0" t="s">
        <v>100</v>
      </c>
      <c r="D53" s="0" t="s">
        <v>2962</v>
      </c>
      <c r="E53" s="0" t="s">
        <v>2963</v>
      </c>
      <c r="F53" s="0" t="s">
        <v>2861</v>
      </c>
      <c r="G53" s="0" t="s">
        <v>1698</v>
      </c>
    </row>
    <row customHeight="1" ht="11.25">
      <c r="A54" s="0" t="s">
        <v>14</v>
      </c>
      <c r="B54" s="0" t="s">
        <v>99</v>
      </c>
      <c r="C54" s="0" t="s">
        <v>100</v>
      </c>
      <c r="D54" s="0" t="s">
        <v>2964</v>
      </c>
      <c r="E54" s="0" t="s">
        <v>2965</v>
      </c>
      <c r="F54" s="0" t="s">
        <v>2861</v>
      </c>
      <c r="G54" s="0" t="s">
        <v>1701</v>
      </c>
    </row>
    <row customHeight="1" ht="11.25">
      <c r="A55" s="0" t="s">
        <v>14</v>
      </c>
      <c r="B55" s="0" t="s">
        <v>99</v>
      </c>
      <c r="C55" s="0" t="s">
        <v>100</v>
      </c>
      <c r="D55" s="0" t="s">
        <v>2966</v>
      </c>
      <c r="E55" s="0" t="s">
        <v>2967</v>
      </c>
      <c r="F55" s="0" t="s">
        <v>2861</v>
      </c>
      <c r="G55" s="0" t="s">
        <v>1705</v>
      </c>
    </row>
    <row customHeight="1" ht="11.25">
      <c r="A56" s="0" t="s">
        <v>14</v>
      </c>
      <c r="B56" s="0" t="s">
        <v>99</v>
      </c>
      <c r="C56" s="0" t="s">
        <v>100</v>
      </c>
      <c r="D56" s="0" t="s">
        <v>2968</v>
      </c>
      <c r="E56" s="0" t="s">
        <v>2969</v>
      </c>
      <c r="F56" s="0" t="s">
        <v>2861</v>
      </c>
      <c r="G56" s="0" t="s">
        <v>1708</v>
      </c>
    </row>
    <row customHeight="1" ht="11.25">
      <c r="A57" s="0" t="s">
        <v>14</v>
      </c>
      <c r="B57" s="0" t="s">
        <v>99</v>
      </c>
      <c r="C57" s="0" t="s">
        <v>100</v>
      </c>
      <c r="D57" s="0" t="s">
        <v>2970</v>
      </c>
      <c r="E57" s="0" t="s">
        <v>2971</v>
      </c>
      <c r="F57" s="0" t="s">
        <v>2861</v>
      </c>
      <c r="G57" s="0" t="s">
        <v>1711</v>
      </c>
    </row>
    <row customHeight="1" ht="11.25">
      <c r="A58" s="0" t="s">
        <v>14</v>
      </c>
      <c r="B58" s="0" t="s">
        <v>99</v>
      </c>
      <c r="C58" s="0" t="s">
        <v>100</v>
      </c>
      <c r="D58" s="0" t="s">
        <v>2972</v>
      </c>
      <c r="E58" s="0" t="s">
        <v>2973</v>
      </c>
      <c r="F58" s="0" t="s">
        <v>2861</v>
      </c>
      <c r="G58" s="0" t="s">
        <v>1714</v>
      </c>
    </row>
    <row customHeight="1" ht="11.25">
      <c r="A59" s="0" t="s">
        <v>14</v>
      </c>
      <c r="B59" s="0" t="s">
        <v>99</v>
      </c>
      <c r="C59" s="0" t="s">
        <v>100</v>
      </c>
      <c r="D59" s="0" t="s">
        <v>2974</v>
      </c>
      <c r="E59" s="0" t="s">
        <v>2975</v>
      </c>
      <c r="F59" s="0" t="s">
        <v>2861</v>
      </c>
      <c r="G59" s="0" t="s">
        <v>1718</v>
      </c>
    </row>
    <row customHeight="1" ht="11.25">
      <c r="A60" s="0" t="s">
        <v>14</v>
      </c>
      <c r="B60" s="0" t="s">
        <v>99</v>
      </c>
      <c r="C60" s="0" t="s">
        <v>100</v>
      </c>
      <c r="D60" s="0" t="s">
        <v>2976</v>
      </c>
      <c r="E60" s="0" t="s">
        <v>2977</v>
      </c>
      <c r="F60" s="0" t="s">
        <v>2861</v>
      </c>
      <c r="G60" s="0" t="s">
        <v>1721</v>
      </c>
    </row>
    <row customHeight="1" ht="11.25">
      <c r="A61" s="0" t="s">
        <v>14</v>
      </c>
      <c r="B61" s="0" t="s">
        <v>99</v>
      </c>
      <c r="C61" s="0" t="s">
        <v>100</v>
      </c>
      <c r="D61" s="0" t="s">
        <v>2978</v>
      </c>
      <c r="E61" s="0" t="s">
        <v>2979</v>
      </c>
      <c r="F61" s="0" t="s">
        <v>2861</v>
      </c>
      <c r="G61" s="0" t="s">
        <v>2980</v>
      </c>
    </row>
    <row customHeight="1" ht="11.25">
      <c r="A62" s="0" t="s">
        <v>14</v>
      </c>
      <c r="B62" s="0" t="s">
        <v>99</v>
      </c>
      <c r="C62" s="0" t="s">
        <v>100</v>
      </c>
      <c r="D62" s="0" t="s">
        <v>2981</v>
      </c>
      <c r="E62" s="0" t="s">
        <v>2982</v>
      </c>
      <c r="F62" s="0" t="s">
        <v>2861</v>
      </c>
      <c r="G62" s="0" t="s">
        <v>2983</v>
      </c>
    </row>
    <row customHeight="1" ht="11.25">
      <c r="A63" s="0" t="s">
        <v>14</v>
      </c>
      <c r="B63" s="0" t="s">
        <v>99</v>
      </c>
      <c r="C63" s="0" t="s">
        <v>100</v>
      </c>
      <c r="D63" s="0" t="s">
        <v>2984</v>
      </c>
      <c r="E63" s="0" t="s">
        <v>2985</v>
      </c>
      <c r="F63" s="0" t="s">
        <v>2861</v>
      </c>
      <c r="G63" s="0" t="s">
        <v>2986</v>
      </c>
    </row>
    <row customHeight="1" ht="11.25">
      <c r="A64" s="0" t="s">
        <v>14</v>
      </c>
      <c r="B64" s="0" t="s">
        <v>99</v>
      </c>
      <c r="C64" s="0" t="s">
        <v>100</v>
      </c>
      <c r="D64" s="0" t="s">
        <v>2987</v>
      </c>
      <c r="E64" s="0" t="s">
        <v>2988</v>
      </c>
      <c r="F64" s="0" t="s">
        <v>2861</v>
      </c>
      <c r="G64" s="0" t="s">
        <v>2989</v>
      </c>
    </row>
    <row customHeight="1" ht="11.25">
      <c r="A65" s="0" t="s">
        <v>14</v>
      </c>
      <c r="B65" s="0" t="s">
        <v>99</v>
      </c>
      <c r="C65" s="0" t="s">
        <v>100</v>
      </c>
      <c r="D65" s="0" t="s">
        <v>2990</v>
      </c>
      <c r="E65" s="0" t="s">
        <v>2991</v>
      </c>
      <c r="F65" s="0" t="s">
        <v>2861</v>
      </c>
      <c r="G65" s="0" t="s">
        <v>2992</v>
      </c>
    </row>
    <row customHeight="1" ht="11.25">
      <c r="A66" s="0" t="s">
        <v>14</v>
      </c>
      <c r="B66" s="0" t="s">
        <v>99</v>
      </c>
      <c r="C66" s="0" t="s">
        <v>100</v>
      </c>
      <c r="D66" s="0" t="s">
        <v>2993</v>
      </c>
      <c r="E66" s="0" t="s">
        <v>2994</v>
      </c>
      <c r="F66" s="0" t="s">
        <v>2861</v>
      </c>
      <c r="G66" s="0" t="s">
        <v>2995</v>
      </c>
    </row>
    <row customHeight="1" ht="11.25">
      <c r="A67" s="0" t="s">
        <v>14</v>
      </c>
      <c r="B67" s="0" t="s">
        <v>99</v>
      </c>
      <c r="C67" s="0" t="s">
        <v>100</v>
      </c>
      <c r="D67" s="0" t="s">
        <v>2996</v>
      </c>
      <c r="E67" s="0" t="s">
        <v>2997</v>
      </c>
      <c r="F67" s="0" t="s">
        <v>2861</v>
      </c>
      <c r="G67" s="0" t="s">
        <v>1943</v>
      </c>
    </row>
    <row customHeight="1" ht="11.25">
      <c r="A68" s="0" t="s">
        <v>14</v>
      </c>
      <c r="B68" s="0" t="s">
        <v>99</v>
      </c>
      <c r="C68" s="0" t="s">
        <v>100</v>
      </c>
      <c r="D68" s="0" t="s">
        <v>2998</v>
      </c>
      <c r="E68" s="0" t="s">
        <v>2999</v>
      </c>
      <c r="F68" s="0" t="s">
        <v>2861</v>
      </c>
      <c r="G68" s="0" t="s">
        <v>3000</v>
      </c>
    </row>
    <row customHeight="1" ht="11.25">
      <c r="A69" s="0" t="s">
        <v>14</v>
      </c>
      <c r="B69" s="0" t="s">
        <v>99</v>
      </c>
      <c r="C69" s="0" t="s">
        <v>100</v>
      </c>
      <c r="D69" s="0" t="s">
        <v>3001</v>
      </c>
      <c r="E69" s="0" t="s">
        <v>3002</v>
      </c>
      <c r="F69" s="0" t="s">
        <v>2861</v>
      </c>
      <c r="G69" s="0" t="s">
        <v>2154</v>
      </c>
    </row>
    <row customHeight="1" ht="11.25">
      <c r="A70" s="0" t="s">
        <v>14</v>
      </c>
      <c r="B70" s="0" t="s">
        <v>99</v>
      </c>
      <c r="C70" s="0" t="s">
        <v>100</v>
      </c>
      <c r="D70" s="0" t="s">
        <v>3003</v>
      </c>
      <c r="E70" s="0" t="s">
        <v>3004</v>
      </c>
      <c r="F70" s="0" t="s">
        <v>2861</v>
      </c>
      <c r="G70" s="0" t="s">
        <v>3005</v>
      </c>
    </row>
    <row customHeight="1" ht="11.25">
      <c r="A71" s="0" t="s">
        <v>14</v>
      </c>
      <c r="B71" s="0" t="s">
        <v>99</v>
      </c>
      <c r="C71" s="0" t="s">
        <v>100</v>
      </c>
      <c r="D71" s="0" t="s">
        <v>3006</v>
      </c>
      <c r="E71" s="0" t="s">
        <v>3007</v>
      </c>
      <c r="F71" s="0" t="s">
        <v>2861</v>
      </c>
      <c r="G71" s="0" t="s">
        <v>3008</v>
      </c>
    </row>
    <row customHeight="1" ht="11.25">
      <c r="A72" s="0" t="s">
        <v>14</v>
      </c>
      <c r="B72" s="0" t="s">
        <v>99</v>
      </c>
      <c r="C72" s="0" t="s">
        <v>100</v>
      </c>
      <c r="D72" s="0" t="s">
        <v>3009</v>
      </c>
      <c r="E72" s="0" t="s">
        <v>3010</v>
      </c>
      <c r="F72" s="0" t="s">
        <v>2861</v>
      </c>
      <c r="G72" s="0" t="s">
        <v>3011</v>
      </c>
    </row>
    <row customHeight="1" ht="11.25">
      <c r="A73" s="0" t="s">
        <v>14</v>
      </c>
      <c r="B73" s="0" t="s">
        <v>99</v>
      </c>
      <c r="C73" s="0" t="s">
        <v>100</v>
      </c>
      <c r="D73" s="0" t="s">
        <v>3012</v>
      </c>
      <c r="E73" s="0" t="s">
        <v>3013</v>
      </c>
      <c r="F73" s="0" t="s">
        <v>2861</v>
      </c>
      <c r="G73" s="0" t="s">
        <v>3014</v>
      </c>
    </row>
    <row customHeight="1" ht="11.25">
      <c r="A74" s="0" t="s">
        <v>14</v>
      </c>
      <c r="B74" s="0" t="s">
        <v>99</v>
      </c>
      <c r="C74" s="0" t="s">
        <v>100</v>
      </c>
      <c r="D74" s="0" t="s">
        <v>3015</v>
      </c>
      <c r="E74" s="0" t="s">
        <v>3016</v>
      </c>
      <c r="F74" s="0" t="s">
        <v>2861</v>
      </c>
      <c r="G74" s="0" t="s">
        <v>3017</v>
      </c>
    </row>
    <row customHeight="1" ht="11.25">
      <c r="A75" s="0" t="s">
        <v>14</v>
      </c>
      <c r="B75" s="0" t="s">
        <v>99</v>
      </c>
      <c r="C75" s="0" t="s">
        <v>100</v>
      </c>
      <c r="D75" s="0" t="s">
        <v>3018</v>
      </c>
      <c r="E75" s="0" t="s">
        <v>3019</v>
      </c>
      <c r="F75" s="0" t="s">
        <v>2861</v>
      </c>
      <c r="G75" s="0" t="s">
        <v>3020</v>
      </c>
    </row>
    <row customHeight="1" ht="11.25">
      <c r="A76" s="0" t="s">
        <v>14</v>
      </c>
      <c r="B76" s="0" t="s">
        <v>99</v>
      </c>
      <c r="C76" s="0" t="s">
        <v>100</v>
      </c>
      <c r="D76" s="0" t="s">
        <v>3021</v>
      </c>
      <c r="E76" s="0" t="s">
        <v>3022</v>
      </c>
      <c r="F76" s="0" t="s">
        <v>2861</v>
      </c>
      <c r="G76" s="0" t="s">
        <v>3023</v>
      </c>
    </row>
    <row customHeight="1" ht="11.25">
      <c r="A77" s="0" t="s">
        <v>14</v>
      </c>
      <c r="B77" s="0" t="s">
        <v>99</v>
      </c>
      <c r="C77" s="0" t="s">
        <v>100</v>
      </c>
      <c r="D77" s="0" t="s">
        <v>3024</v>
      </c>
      <c r="E77" s="0" t="s">
        <v>3025</v>
      </c>
      <c r="F77" s="0" t="s">
        <v>2861</v>
      </c>
      <c r="G77" s="0" t="s">
        <v>3026</v>
      </c>
    </row>
    <row customHeight="1" ht="11.25">
      <c r="A78" s="0" t="s">
        <v>14</v>
      </c>
      <c r="B78" s="0" t="s">
        <v>99</v>
      </c>
      <c r="C78" s="0" t="s">
        <v>100</v>
      </c>
      <c r="D78" s="0" t="s">
        <v>3027</v>
      </c>
      <c r="E78" s="0" t="s">
        <v>3028</v>
      </c>
      <c r="F78" s="0" t="s">
        <v>2861</v>
      </c>
      <c r="G78" s="0" t="s">
        <v>3029</v>
      </c>
    </row>
    <row customHeight="1" ht="11.25">
      <c r="A79" s="0" t="s">
        <v>14</v>
      </c>
      <c r="B79" s="0" t="s">
        <v>99</v>
      </c>
      <c r="C79" s="0" t="s">
        <v>100</v>
      </c>
      <c r="D79" s="0" t="s">
        <v>3030</v>
      </c>
      <c r="E79" s="0" t="s">
        <v>3031</v>
      </c>
      <c r="F79" s="0" t="s">
        <v>2861</v>
      </c>
      <c r="G79" s="0" t="s">
        <v>3032</v>
      </c>
    </row>
    <row customHeight="1" ht="11.25">
      <c r="A80" s="0" t="s">
        <v>14</v>
      </c>
      <c r="B80" s="0" t="s">
        <v>99</v>
      </c>
      <c r="C80" s="0" t="s">
        <v>100</v>
      </c>
      <c r="D80" s="0" t="s">
        <v>3033</v>
      </c>
      <c r="E80" s="0" t="s">
        <v>3034</v>
      </c>
      <c r="F80" s="0" t="s">
        <v>2861</v>
      </c>
      <c r="G80" s="0" t="s">
        <v>3035</v>
      </c>
    </row>
    <row customHeight="1" ht="11.25">
      <c r="A81" s="0" t="s">
        <v>14</v>
      </c>
      <c r="B81" s="0" t="s">
        <v>99</v>
      </c>
      <c r="C81" s="0" t="s">
        <v>100</v>
      </c>
      <c r="D81" s="0" t="s">
        <v>3036</v>
      </c>
      <c r="E81" s="0" t="s">
        <v>3037</v>
      </c>
      <c r="F81" s="0" t="s">
        <v>2891</v>
      </c>
      <c r="G81" s="0" t="s">
        <v>3038</v>
      </c>
    </row>
    <row customHeight="1" ht="11.25">
      <c r="A82" s="0" t="s">
        <v>14</v>
      </c>
      <c r="B82" s="0" t="s">
        <v>99</v>
      </c>
      <c r="C82" s="0" t="s">
        <v>100</v>
      </c>
      <c r="D82" s="0" t="s">
        <v>3039</v>
      </c>
      <c r="E82" s="0" t="s">
        <v>3040</v>
      </c>
      <c r="F82" s="0" t="s">
        <v>2861</v>
      </c>
      <c r="G82" s="0" t="s">
        <v>3041</v>
      </c>
    </row>
    <row customHeight="1" ht="11.25">
      <c r="A83" s="0" t="s">
        <v>14</v>
      </c>
      <c r="B83" s="0" t="s">
        <v>99</v>
      </c>
      <c r="C83" s="0" t="s">
        <v>100</v>
      </c>
      <c r="D83" s="0" t="s">
        <v>3042</v>
      </c>
      <c r="E83" s="0" t="s">
        <v>3043</v>
      </c>
      <c r="F83" s="0" t="s">
        <v>2861</v>
      </c>
      <c r="G83" s="0" t="s">
        <v>3044</v>
      </c>
    </row>
    <row customHeight="1" ht="11.25">
      <c r="A84" s="0" t="s">
        <v>14</v>
      </c>
      <c r="B84" s="0" t="s">
        <v>99</v>
      </c>
      <c r="C84" s="0" t="s">
        <v>100</v>
      </c>
      <c r="D84" s="0" t="s">
        <v>3045</v>
      </c>
      <c r="E84" s="0" t="s">
        <v>3046</v>
      </c>
      <c r="F84" s="0" t="s">
        <v>2861</v>
      </c>
      <c r="G84" s="0" t="s">
        <v>3047</v>
      </c>
    </row>
    <row customHeight="1" ht="11.25">
      <c r="A85" s="0" t="s">
        <v>14</v>
      </c>
      <c r="B85" s="0" t="s">
        <v>99</v>
      </c>
      <c r="C85" s="0" t="s">
        <v>100</v>
      </c>
      <c r="D85" s="0" t="s">
        <v>3048</v>
      </c>
      <c r="E85" s="0" t="s">
        <v>3049</v>
      </c>
      <c r="F85" s="0" t="s">
        <v>2861</v>
      </c>
      <c r="G85" s="0" t="s">
        <v>3050</v>
      </c>
    </row>
    <row customHeight="1" ht="11.25">
      <c r="A86" s="0" t="s">
        <v>14</v>
      </c>
      <c r="B86" s="0" t="s">
        <v>99</v>
      </c>
      <c r="C86" s="0" t="s">
        <v>100</v>
      </c>
      <c r="D86" s="0" t="s">
        <v>3051</v>
      </c>
      <c r="E86" s="0" t="s">
        <v>3052</v>
      </c>
      <c r="F86" s="0" t="s">
        <v>2861</v>
      </c>
      <c r="G86" s="0" t="s">
        <v>3053</v>
      </c>
    </row>
    <row customHeight="1" ht="11.25">
      <c r="A87" s="0" t="s">
        <v>14</v>
      </c>
      <c r="B87" s="0" t="s">
        <v>99</v>
      </c>
      <c r="C87" s="0" t="s">
        <v>100</v>
      </c>
      <c r="D87" s="0" t="s">
        <v>3054</v>
      </c>
      <c r="E87" s="0" t="s">
        <v>3055</v>
      </c>
      <c r="F87" s="0" t="s">
        <v>2861</v>
      </c>
      <c r="G87" s="0" t="s">
        <v>3056</v>
      </c>
    </row>
    <row customHeight="1" ht="11.25">
      <c r="A88" s="0" t="s">
        <v>14</v>
      </c>
      <c r="B88" s="0" t="s">
        <v>99</v>
      </c>
      <c r="C88" s="0" t="s">
        <v>100</v>
      </c>
      <c r="D88" s="0" t="s">
        <v>3057</v>
      </c>
      <c r="E88" s="0" t="s">
        <v>3058</v>
      </c>
      <c r="F88" s="0" t="s">
        <v>2861</v>
      </c>
      <c r="G88" s="0" t="s">
        <v>3059</v>
      </c>
    </row>
    <row customHeight="1" ht="11.25">
      <c r="A89" s="0" t="s">
        <v>14</v>
      </c>
      <c r="B89" s="0" t="s">
        <v>99</v>
      </c>
      <c r="C89" s="0" t="s">
        <v>100</v>
      </c>
      <c r="D89" s="0" t="s">
        <v>3060</v>
      </c>
      <c r="E89" s="0" t="s">
        <v>3061</v>
      </c>
      <c r="F89" s="0" t="s">
        <v>2861</v>
      </c>
      <c r="G89" s="0" t="s">
        <v>3062</v>
      </c>
    </row>
    <row customHeight="1" ht="11.25">
      <c r="A90" s="0" t="s">
        <v>14</v>
      </c>
      <c r="B90" s="0" t="s">
        <v>99</v>
      </c>
      <c r="C90" s="0" t="s">
        <v>100</v>
      </c>
      <c r="D90" s="0" t="s">
        <v>3063</v>
      </c>
      <c r="E90" s="0" t="s">
        <v>3064</v>
      </c>
      <c r="F90" s="0" t="s">
        <v>2861</v>
      </c>
      <c r="G90" s="0" t="s">
        <v>3065</v>
      </c>
    </row>
    <row customHeight="1" ht="11.25">
      <c r="A91" s="0" t="s">
        <v>14</v>
      </c>
      <c r="B91" s="0" t="s">
        <v>99</v>
      </c>
      <c r="C91" s="0" t="s">
        <v>100</v>
      </c>
      <c r="D91" s="0" t="s">
        <v>3066</v>
      </c>
      <c r="E91" s="0" t="s">
        <v>3067</v>
      </c>
      <c r="F91" s="0" t="s">
        <v>2861</v>
      </c>
      <c r="G91" s="0" t="s">
        <v>3068</v>
      </c>
    </row>
    <row customHeight="1" ht="11.25">
      <c r="A92" s="0" t="s">
        <v>14</v>
      </c>
      <c r="B92" s="0" t="s">
        <v>99</v>
      </c>
      <c r="C92" s="0" t="s">
        <v>100</v>
      </c>
      <c r="D92" s="0" t="s">
        <v>3069</v>
      </c>
      <c r="E92" s="0" t="s">
        <v>3070</v>
      </c>
      <c r="F92" s="0" t="s">
        <v>2861</v>
      </c>
      <c r="G92" s="0" t="s">
        <v>3071</v>
      </c>
    </row>
    <row customHeight="1" ht="11.25">
      <c r="A93" s="0" t="s">
        <v>14</v>
      </c>
      <c r="B93" s="0" t="s">
        <v>99</v>
      </c>
      <c r="C93" s="0" t="s">
        <v>100</v>
      </c>
      <c r="D93" s="0" t="s">
        <v>3072</v>
      </c>
      <c r="E93" s="0" t="s">
        <v>3073</v>
      </c>
      <c r="F93" s="0" t="s">
        <v>2861</v>
      </c>
      <c r="G93" s="0" t="s">
        <v>3074</v>
      </c>
    </row>
    <row customHeight="1" ht="11.25">
      <c r="A94" s="0" t="s">
        <v>14</v>
      </c>
      <c r="B94" s="0" t="s">
        <v>99</v>
      </c>
      <c r="C94" s="0" t="s">
        <v>100</v>
      </c>
      <c r="D94" s="0" t="s">
        <v>3075</v>
      </c>
      <c r="E94" s="0" t="s">
        <v>3076</v>
      </c>
      <c r="F94" s="0" t="s">
        <v>2861</v>
      </c>
      <c r="G94" s="0" t="s">
        <v>3077</v>
      </c>
    </row>
    <row customHeight="1" ht="11.25">
      <c r="A95" s="0" t="s">
        <v>14</v>
      </c>
      <c r="B95" s="0" t="s">
        <v>99</v>
      </c>
      <c r="C95" s="0" t="s">
        <v>100</v>
      </c>
      <c r="D95" s="0" t="s">
        <v>3078</v>
      </c>
      <c r="E95" s="0" t="s">
        <v>3079</v>
      </c>
      <c r="F95" s="0" t="s">
        <v>2861</v>
      </c>
      <c r="G95" s="0" t="s">
        <v>3080</v>
      </c>
    </row>
    <row customHeight="1" ht="11.25">
      <c r="A96" s="0" t="s">
        <v>14</v>
      </c>
      <c r="B96" s="0" t="s">
        <v>99</v>
      </c>
      <c r="C96" s="0" t="s">
        <v>100</v>
      </c>
      <c r="D96" s="0" t="s">
        <v>3081</v>
      </c>
      <c r="E96" s="0" t="s">
        <v>3082</v>
      </c>
      <c r="F96" s="0" t="s">
        <v>2861</v>
      </c>
      <c r="G96" s="0" t="s">
        <v>3083</v>
      </c>
    </row>
    <row customHeight="1" ht="11.25">
      <c r="A97" s="0" t="s">
        <v>14</v>
      </c>
      <c r="B97" s="0" t="s">
        <v>99</v>
      </c>
      <c r="C97" s="0" t="s">
        <v>100</v>
      </c>
      <c r="D97" s="0" t="s">
        <v>3084</v>
      </c>
      <c r="E97" s="0" t="s">
        <v>3085</v>
      </c>
      <c r="F97" s="0" t="s">
        <v>2861</v>
      </c>
      <c r="G97" s="0" t="s">
        <v>3086</v>
      </c>
    </row>
    <row customHeight="1" ht="11.25">
      <c r="A98" s="0" t="s">
        <v>14</v>
      </c>
      <c r="B98" s="0" t="s">
        <v>99</v>
      </c>
      <c r="C98" s="0" t="s">
        <v>100</v>
      </c>
      <c r="D98" s="0" t="s">
        <v>3087</v>
      </c>
      <c r="E98" s="0" t="s">
        <v>3088</v>
      </c>
      <c r="F98" s="0" t="s">
        <v>2861</v>
      </c>
      <c r="G98" s="0" t="s">
        <v>3089</v>
      </c>
    </row>
    <row customHeight="1" ht="11.25">
      <c r="A99" s="0" t="s">
        <v>14</v>
      </c>
      <c r="B99" s="0" t="s">
        <v>99</v>
      </c>
      <c r="C99" s="0" t="s">
        <v>100</v>
      </c>
      <c r="D99" s="0" t="s">
        <v>3090</v>
      </c>
      <c r="E99" s="0" t="s">
        <v>3091</v>
      </c>
      <c r="F99" s="0" t="s">
        <v>2861</v>
      </c>
      <c r="G99" s="0" t="s">
        <v>3092</v>
      </c>
    </row>
    <row customHeight="1" ht="11.25">
      <c r="A100" s="0" t="s">
        <v>14</v>
      </c>
      <c r="B100" s="0" t="s">
        <v>99</v>
      </c>
      <c r="C100" s="0" t="s">
        <v>100</v>
      </c>
      <c r="D100" s="0" t="s">
        <v>3093</v>
      </c>
      <c r="E100" s="0" t="s">
        <v>3094</v>
      </c>
      <c r="F100" s="0" t="s">
        <v>2861</v>
      </c>
      <c r="G100" s="0" t="s">
        <v>3095</v>
      </c>
    </row>
    <row customHeight="1" ht="11.25">
      <c r="A101" s="0" t="s">
        <v>14</v>
      </c>
      <c r="B101" s="0" t="s">
        <v>99</v>
      </c>
      <c r="C101" s="0" t="s">
        <v>100</v>
      </c>
      <c r="D101" s="0" t="s">
        <v>3096</v>
      </c>
      <c r="E101" s="0" t="s">
        <v>3097</v>
      </c>
      <c r="F101" s="0" t="s">
        <v>2861</v>
      </c>
      <c r="G101" s="0" t="s">
        <v>3098</v>
      </c>
    </row>
    <row customHeight="1" ht="11.25">
      <c r="A102" s="0" t="s">
        <v>14</v>
      </c>
      <c r="B102" s="0" t="s">
        <v>99</v>
      </c>
      <c r="C102" s="0" t="s">
        <v>100</v>
      </c>
      <c r="D102" s="0" t="s">
        <v>3099</v>
      </c>
      <c r="E102" s="0" t="s">
        <v>3100</v>
      </c>
      <c r="F102" s="0" t="s">
        <v>2861</v>
      </c>
      <c r="G102" s="0" t="s">
        <v>3101</v>
      </c>
    </row>
    <row customHeight="1" ht="11.25">
      <c r="A103" s="0" t="s">
        <v>14</v>
      </c>
      <c r="B103" s="0" t="s">
        <v>99</v>
      </c>
      <c r="C103" s="0" t="s">
        <v>100</v>
      </c>
      <c r="D103" s="0" t="s">
        <v>3102</v>
      </c>
      <c r="E103" s="0" t="s">
        <v>3103</v>
      </c>
      <c r="F103" s="0" t="s">
        <v>2861</v>
      </c>
      <c r="G103" s="0" t="s">
        <v>3104</v>
      </c>
    </row>
    <row customHeight="1" ht="11.25">
      <c r="A104" s="0" t="s">
        <v>14</v>
      </c>
      <c r="B104" s="0" t="s">
        <v>99</v>
      </c>
      <c r="C104" s="0" t="s">
        <v>100</v>
      </c>
      <c r="D104" s="0" t="s">
        <v>3105</v>
      </c>
      <c r="E104" s="0" t="s">
        <v>3106</v>
      </c>
      <c r="F104" s="0" t="s">
        <v>2861</v>
      </c>
      <c r="G104" s="0" t="s">
        <v>3107</v>
      </c>
    </row>
    <row customHeight="1" ht="11.25">
      <c r="A105" s="0" t="s">
        <v>14</v>
      </c>
      <c r="B105" s="0" t="s">
        <v>99</v>
      </c>
      <c r="C105" s="0" t="s">
        <v>100</v>
      </c>
      <c r="D105" s="0" t="s">
        <v>3108</v>
      </c>
      <c r="E105" s="0" t="s">
        <v>3109</v>
      </c>
      <c r="F105" s="0" t="s">
        <v>2861</v>
      </c>
      <c r="G105" s="0" t="s">
        <v>3110</v>
      </c>
    </row>
    <row customHeight="1" ht="11.25">
      <c r="A106" s="0" t="s">
        <v>14</v>
      </c>
      <c r="B106" s="0" t="s">
        <v>99</v>
      </c>
      <c r="C106" s="0" t="s">
        <v>100</v>
      </c>
      <c r="D106" s="0" t="s">
        <v>3111</v>
      </c>
      <c r="E106" s="0" t="s">
        <v>3112</v>
      </c>
      <c r="F106" s="0" t="s">
        <v>2861</v>
      </c>
      <c r="G106" s="0" t="s">
        <v>3113</v>
      </c>
    </row>
    <row customHeight="1" ht="11.25">
      <c r="A107" s="0" t="s">
        <v>14</v>
      </c>
      <c r="B107" s="0" t="s">
        <v>99</v>
      </c>
      <c r="C107" s="0" t="s">
        <v>100</v>
      </c>
      <c r="D107" s="0" t="s">
        <v>3114</v>
      </c>
      <c r="E107" s="0" t="s">
        <v>3115</v>
      </c>
      <c r="F107" s="0" t="s">
        <v>2861</v>
      </c>
      <c r="G107" s="0" t="s">
        <v>3116</v>
      </c>
    </row>
    <row customHeight="1" ht="11.25">
      <c r="A108" s="0" t="s">
        <v>14</v>
      </c>
      <c r="B108" s="0" t="s">
        <v>99</v>
      </c>
      <c r="C108" s="0" t="s">
        <v>100</v>
      </c>
      <c r="D108" s="0" t="s">
        <v>3117</v>
      </c>
      <c r="E108" s="0" t="s">
        <v>3118</v>
      </c>
      <c r="F108" s="0" t="s">
        <v>2861</v>
      </c>
      <c r="G108" s="0" t="s">
        <v>3119</v>
      </c>
    </row>
    <row customHeight="1" ht="11.25">
      <c r="A109" s="0" t="s">
        <v>14</v>
      </c>
      <c r="B109" s="0" t="s">
        <v>99</v>
      </c>
      <c r="C109" s="0" t="s">
        <v>100</v>
      </c>
      <c r="D109" s="0" t="s">
        <v>3120</v>
      </c>
      <c r="E109" s="0" t="s">
        <v>3121</v>
      </c>
      <c r="F109" s="0" t="s">
        <v>2861</v>
      </c>
      <c r="G109" s="0" t="s">
        <v>3122</v>
      </c>
    </row>
    <row customHeight="1" ht="11.25">
      <c r="A110" s="0" t="s">
        <v>14</v>
      </c>
      <c r="B110" s="0" t="s">
        <v>99</v>
      </c>
      <c r="C110" s="0" t="s">
        <v>100</v>
      </c>
      <c r="D110" s="0" t="s">
        <v>3123</v>
      </c>
      <c r="E110" s="0" t="s">
        <v>3124</v>
      </c>
      <c r="F110" s="0" t="s">
        <v>2861</v>
      </c>
      <c r="G110" s="0" t="s">
        <v>3125</v>
      </c>
    </row>
    <row customHeight="1" ht="11.25">
      <c r="A111" s="0" t="s">
        <v>14</v>
      </c>
      <c r="B111" s="0" t="s">
        <v>99</v>
      </c>
      <c r="C111" s="0" t="s">
        <v>100</v>
      </c>
      <c r="D111" s="0" t="s">
        <v>3126</v>
      </c>
      <c r="E111" s="0" t="s">
        <v>3127</v>
      </c>
      <c r="F111" s="0" t="s">
        <v>2861</v>
      </c>
      <c r="G111" s="0" t="s">
        <v>3128</v>
      </c>
    </row>
    <row customHeight="1" ht="11.25">
      <c r="A112" s="0" t="s">
        <v>14</v>
      </c>
      <c r="B112" s="0" t="s">
        <v>99</v>
      </c>
      <c r="C112" s="0" t="s">
        <v>100</v>
      </c>
      <c r="D112" s="0" t="s">
        <v>3129</v>
      </c>
      <c r="E112" s="0" t="s">
        <v>3130</v>
      </c>
      <c r="F112" s="0" t="s">
        <v>2861</v>
      </c>
      <c r="G112" s="0" t="s">
        <v>3131</v>
      </c>
    </row>
    <row customHeight="1" ht="11.25">
      <c r="A113" s="0" t="s">
        <v>14</v>
      </c>
      <c r="B113" s="0" t="s">
        <v>99</v>
      </c>
      <c r="C113" s="0" t="s">
        <v>100</v>
      </c>
      <c r="D113" s="0" t="s">
        <v>3132</v>
      </c>
      <c r="E113" s="0" t="s">
        <v>3133</v>
      </c>
      <c r="F113" s="0" t="s">
        <v>2891</v>
      </c>
      <c r="G113" s="0" t="s">
        <v>3134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2EC7A4-BDD1-6C56-969D-975B2B9E18BB}"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715" width="9.140625"/>
    <col min="2" max="2" style="1715" width="84.28125" customWidth="1"/>
    <col min="3" max="3" style="1715" width="9.140625"/>
  </cols>
  <sheetData>
    <row customHeight="1" ht="11.25">
      <c r="A1" s="829" t="s">
        <v>3184</v>
      </c>
      <c r="B1" s="829" t="s">
        <v>3185</v>
      </c>
      <c r="C1" s="829" t="s">
        <v>1193</v>
      </c>
    </row>
    <row customHeight="1" ht="11.25">
      <c r="A2" s="829">
        <v>4189678</v>
      </c>
      <c r="B2" s="829" t="s">
        <v>3186</v>
      </c>
      <c r="C2" s="829" t="s">
        <v>3187</v>
      </c>
    </row>
    <row customHeight="1" ht="11.25">
      <c r="A3" s="829">
        <v>4190415</v>
      </c>
      <c r="B3" s="829" t="s">
        <v>3188</v>
      </c>
      <c r="C3" s="829" t="s">
        <v>3187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5A9A2B-C5F5-3775-8BB9-BBC472C540BF}"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42" width="38.421875" customWidth="1"/>
    <col min="2" max="5" style="142" width="9.140625"/>
  </cols>
  <sheetData>
    <row customHeight="1" ht="15">
      <c r="A1" s="143" t="s">
        <v>3189</v>
      </c>
      <c r="B1" s="143" t="s">
        <v>3190</v>
      </c>
      <c r="C1" s="143"/>
      <c r="D1" s="143"/>
      <c r="E1" s="143"/>
    </row>
    <row customHeight="1" ht="15">
      <c r="A2" s="143"/>
      <c r="B2" s="143"/>
      <c r="C2" s="143"/>
      <c r="D2" s="143"/>
      <c r="E2" s="143"/>
    </row>
    <row customHeight="1" ht="15">
      <c r="A3" s="143"/>
      <c r="B3" s="143"/>
      <c r="C3" s="143"/>
      <c r="D3" s="143"/>
      <c r="E3" s="143"/>
    </row>
    <row customHeight="1" ht="15">
      <c r="A4" s="143"/>
      <c r="B4" s="143"/>
      <c r="C4" s="143"/>
      <c r="D4" s="143"/>
      <c r="E4" s="143"/>
    </row>
    <row customHeight="1" ht="15">
      <c r="A5" s="143"/>
      <c r="B5" s="143"/>
      <c r="C5" s="143"/>
      <c r="D5" s="143"/>
      <c r="E5" s="143"/>
    </row>
    <row customHeight="1" ht="15">
      <c r="A6" s="143"/>
      <c r="B6" s="143"/>
      <c r="C6" s="143"/>
      <c r="D6" s="143"/>
      <c r="E6" s="143"/>
    </row>
    <row customHeight="1" ht="15">
      <c r="A7" s="143"/>
      <c r="B7" s="143"/>
      <c r="C7" s="143"/>
      <c r="D7" s="143"/>
      <c r="E7" s="143"/>
    </row>
    <row customHeight="1" ht="15">
      <c r="A8" s="143"/>
      <c r="B8" s="143"/>
      <c r="C8" s="143"/>
      <c r="D8" s="143"/>
      <c r="E8" s="14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BD648BD-1718-FE31-4A28-2B5D2DB45B8C}"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3191</v>
      </c>
      <c r="B1" s="0" t="b">
        <v>1</v>
      </c>
    </row>
    <row customHeight="1" ht="11.25">
      <c r="A2" s="0" t="s">
        <v>3192</v>
      </c>
      <c r="B2" s="0" t="b">
        <v>0</v>
      </c>
    </row>
    <row customHeight="1" ht="11.25">
      <c r="A3" s="0" t="s">
        <v>3193</v>
      </c>
      <c r="B3" s="0" t="b">
        <v>1</v>
      </c>
    </row>
    <row customHeight="1" ht="11.25">
      <c r="A4" s="0" t="s">
        <v>3194</v>
      </c>
      <c r="B4" s="0" t="b">
        <v>0</v>
      </c>
    </row>
    <row customHeight="1" ht="11.25">
      <c r="A5" s="0" t="s">
        <v>3195</v>
      </c>
      <c r="B5" s="0" t="b">
        <v>0</v>
      </c>
    </row>
    <row customHeight="1" ht="11.25">
      <c r="A6" s="0" t="s">
        <v>3196</v>
      </c>
      <c r="B6" s="0" t="b">
        <v>0</v>
      </c>
    </row>
    <row customHeight="1" ht="11.25">
      <c r="A7" s="0" t="s">
        <v>3197</v>
      </c>
      <c r="B7" s="0" t="b">
        <v>0</v>
      </c>
    </row>
    <row customHeight="1" ht="11.25">
      <c r="A8" s="0" t="s">
        <v>3198</v>
      </c>
      <c r="B8" s="0" t="b">
        <v>0</v>
      </c>
    </row>
    <row customHeight="1" ht="11.25">
      <c r="A9" s="0" t="s">
        <v>3199</v>
      </c>
      <c r="B9" s="0" t="b">
        <v>1</v>
      </c>
    </row>
    <row customHeight="1" ht="11.25">
      <c r="A10" s="0" t="s">
        <v>3200</v>
      </c>
      <c r="B10" s="0" t="b">
        <v>0</v>
      </c>
    </row>
    <row customHeight="1" ht="11.25">
      <c r="A11" s="0" t="s">
        <v>3201</v>
      </c>
      <c r="B11" s="0" t="b">
        <v>0</v>
      </c>
    </row>
    <row customHeight="1" ht="11.25">
      <c r="A12" s="0" t="s">
        <v>3202</v>
      </c>
      <c r="B12" s="0" t="b">
        <v>0</v>
      </c>
    </row>
    <row customHeight="1" ht="11.25">
      <c r="A13" s="0" t="s">
        <v>3203</v>
      </c>
      <c r="B13" s="0" t="b">
        <v>0</v>
      </c>
    </row>
    <row customHeight="1" ht="11.25">
      <c r="A14" s="0" t="s">
        <v>3204</v>
      </c>
      <c r="B14" s="0" t="b">
        <v>0</v>
      </c>
    </row>
    <row customHeight="1" ht="11.25">
      <c r="A15" s="0" t="s">
        <v>3205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243833-3B1C-4119-5044-B8D660A6EFF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28" width="9.140625"/>
  </cols>
  <sheetData>
    <row customHeight="1" ht="12.75">
      <c r="A1" s="74"/>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016E63-9486-6382-EEE5-7B89BBFC80C6}"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2437" width="36.28125" customWidth="1"/>
    <col min="2" max="2" style="2437" width="21.140625" customWidth="1"/>
  </cols>
  <sheetData>
    <row customHeight="1" ht="11.25">
      <c r="A1" s="49" t="s">
        <v>3206</v>
      </c>
      <c r="B1" s="49" t="s">
        <v>3207</v>
      </c>
    </row>
    <row customHeight="1" ht="11.25">
      <c r="A2" s="0" t="s">
        <v>3208</v>
      </c>
      <c r="B2" s="0" t="s">
        <v>3209</v>
      </c>
    </row>
    <row customHeight="1" ht="11.25">
      <c r="A3" s="0" t="s">
        <v>3210</v>
      </c>
      <c r="B3" s="0" t="s">
        <v>3211</v>
      </c>
    </row>
    <row customHeight="1" ht="11.25">
      <c r="A4" s="0" t="s">
        <v>3212</v>
      </c>
      <c r="B4" s="0" t="s">
        <v>3213</v>
      </c>
    </row>
    <row customHeight="1" ht="11.25">
      <c r="A5" s="0" t="s">
        <v>3214</v>
      </c>
      <c r="B5" s="0" t="s">
        <v>3215</v>
      </c>
    </row>
    <row customHeight="1" ht="11.25">
      <c r="A6" s="0" t="s">
        <v>3216</v>
      </c>
      <c r="B6" s="0" t="s">
        <v>3217</v>
      </c>
    </row>
    <row customHeight="1" ht="11.25">
      <c r="A7" s="0" t="s">
        <v>3218</v>
      </c>
      <c r="B7" s="0" t="s">
        <v>3219</v>
      </c>
    </row>
    <row customHeight="1" ht="11.25">
      <c r="A8" s="0" t="s">
        <v>3220</v>
      </c>
      <c r="B8" s="0" t="s">
        <v>3221</v>
      </c>
    </row>
    <row customHeight="1" ht="11.25">
      <c r="A9" s="0" t="s">
        <v>3222</v>
      </c>
      <c r="B9" s="0" t="s">
        <v>3223</v>
      </c>
    </row>
    <row customHeight="1" ht="11.25">
      <c r="A10" s="0" t="s">
        <v>3224</v>
      </c>
      <c r="B10" s="0" t="s">
        <v>3225</v>
      </c>
    </row>
    <row customHeight="1" ht="11.25">
      <c r="A11" s="0" t="s">
        <v>3226</v>
      </c>
      <c r="B11" s="0" t="s">
        <v>3227</v>
      </c>
    </row>
    <row customHeight="1" ht="11.25">
      <c r="A12" s="0" t="s">
        <v>3228</v>
      </c>
      <c r="B12" s="0" t="s">
        <v>3229</v>
      </c>
    </row>
    <row customHeight="1" ht="11.25">
      <c r="A13" s="0" t="s">
        <v>3230</v>
      </c>
      <c r="B13" s="0" t="s">
        <v>3231</v>
      </c>
    </row>
    <row customHeight="1" ht="11.25">
      <c r="A14" s="0" t="s">
        <v>3232</v>
      </c>
      <c r="B14" s="0" t="s">
        <v>3233</v>
      </c>
    </row>
    <row customHeight="1" ht="11.25">
      <c r="A15" s="0" t="s">
        <v>3234</v>
      </c>
      <c r="B15" s="0" t="s">
        <v>3235</v>
      </c>
    </row>
    <row customHeight="1" ht="11.25">
      <c r="A16" s="0" t="s">
        <v>3236</v>
      </c>
      <c r="B16" s="0" t="s">
        <v>3237</v>
      </c>
    </row>
    <row customHeight="1" ht="11.25">
      <c r="A17" s="0" t="s">
        <v>3238</v>
      </c>
      <c r="B17" s="0" t="s">
        <v>3239</v>
      </c>
    </row>
    <row customHeight="1" ht="11.25">
      <c r="A18" s="0" t="s">
        <v>3240</v>
      </c>
      <c r="B18" s="0" t="s">
        <v>3241</v>
      </c>
    </row>
    <row customHeight="1" ht="11.25">
      <c r="A19" s="0" t="s">
        <v>3242</v>
      </c>
      <c r="B19" s="0" t="s">
        <v>3243</v>
      </c>
    </row>
    <row customHeight="1" ht="11.25">
      <c r="A20" s="0" t="s">
        <v>3244</v>
      </c>
      <c r="B20" s="0" t="s">
        <v>3245</v>
      </c>
    </row>
    <row customHeight="1" ht="11.25">
      <c r="A21" s="0" t="s">
        <v>3246</v>
      </c>
      <c r="B21" s="0" t="s">
        <v>3247</v>
      </c>
    </row>
    <row customHeight="1" ht="11.25">
      <c r="A22" s="0" t="s">
        <v>3248</v>
      </c>
      <c r="B22" s="0" t="s">
        <v>3249</v>
      </c>
    </row>
    <row customHeight="1" ht="11.25">
      <c r="A23" s="0" t="s">
        <v>3250</v>
      </c>
      <c r="B23" s="0" t="s">
        <v>3251</v>
      </c>
    </row>
    <row customHeight="1" ht="11.25">
      <c r="A24" s="0" t="s">
        <v>3252</v>
      </c>
      <c r="B24" s="0" t="s">
        <v>3253</v>
      </c>
    </row>
    <row customHeight="1" ht="11.25">
      <c r="A25" s="0" t="s">
        <v>3254</v>
      </c>
      <c r="B25" s="0" t="s">
        <v>3255</v>
      </c>
    </row>
    <row customHeight="1" ht="11.25">
      <c r="A26" s="0" t="s">
        <v>3256</v>
      </c>
      <c r="B26" s="0" t="s">
        <v>3257</v>
      </c>
    </row>
    <row customHeight="1" ht="11.25">
      <c r="A27" s="0" t="s">
        <v>3258</v>
      </c>
      <c r="B27" s="0" t="s">
        <v>3259</v>
      </c>
    </row>
    <row customHeight="1" ht="11.25">
      <c r="A28" s="0" t="s">
        <v>3260</v>
      </c>
      <c r="B28" s="0" t="s">
        <v>3261</v>
      </c>
    </row>
    <row customHeight="1" ht="11.25">
      <c r="A29" s="0" t="s">
        <v>3262</v>
      </c>
      <c r="B29" s="0" t="s">
        <v>3263</v>
      </c>
    </row>
    <row customHeight="1" ht="11.25">
      <c r="A30" s="0" t="s">
        <v>3264</v>
      </c>
      <c r="B30" s="0" t="s">
        <v>3265</v>
      </c>
    </row>
    <row customHeight="1" ht="11.25">
      <c r="A31" s="0" t="s">
        <v>3266</v>
      </c>
      <c r="B31" s="0" t="s">
        <v>3267</v>
      </c>
    </row>
    <row customHeight="1" ht="11.25">
      <c r="A32" s="0" t="s">
        <v>3268</v>
      </c>
      <c r="B32" s="0" t="s">
        <v>3269</v>
      </c>
    </row>
    <row customHeight="1" ht="11.25">
      <c r="A33" s="0" t="s">
        <v>3270</v>
      </c>
      <c r="B33" s="0" t="s">
        <v>3271</v>
      </c>
    </row>
    <row customHeight="1" ht="11.25">
      <c r="A34" s="0" t="s">
        <v>3272</v>
      </c>
      <c r="B34" s="0" t="s">
        <v>3273</v>
      </c>
    </row>
    <row customHeight="1" ht="11.25">
      <c r="A35" s="0" t="s">
        <v>3274</v>
      </c>
      <c r="B35" s="0" t="s">
        <v>3275</v>
      </c>
    </row>
    <row customHeight="1" ht="11.25">
      <c r="A36" s="0" t="s">
        <v>3276</v>
      </c>
      <c r="B36" s="0" t="s">
        <v>3277</v>
      </c>
    </row>
    <row customHeight="1" ht="11.25">
      <c r="A37" s="0" t="s">
        <v>3278</v>
      </c>
      <c r="B37" s="0" t="s">
        <v>3279</v>
      </c>
    </row>
    <row customHeight="1" ht="11.25">
      <c r="A38" s="0" t="s">
        <v>3280</v>
      </c>
      <c r="B38" s="0" t="s">
        <v>3281</v>
      </c>
    </row>
    <row customHeight="1" ht="11.25">
      <c r="A39" s="0" t="s">
        <v>3282</v>
      </c>
      <c r="B39" s="0" t="s">
        <v>3283</v>
      </c>
    </row>
    <row customHeight="1" ht="11.25">
      <c r="A40" s="0" t="s">
        <v>3284</v>
      </c>
      <c r="B40" s="0" t="s">
        <v>3285</v>
      </c>
    </row>
    <row customHeight="1" ht="11.25">
      <c r="A41" s="0" t="s">
        <v>3286</v>
      </c>
      <c r="B41" s="0" t="s">
        <v>3287</v>
      </c>
    </row>
    <row customHeight="1" ht="11.25">
      <c r="A42" s="0" t="s">
        <v>3288</v>
      </c>
      <c r="B42" s="0" t="s">
        <v>3289</v>
      </c>
    </row>
    <row customHeight="1" ht="11.25">
      <c r="A43" s="0" t="s">
        <v>3290</v>
      </c>
      <c r="B43" s="0" t="s">
        <v>3291</v>
      </c>
    </row>
    <row customHeight="1" ht="11.25">
      <c r="A44" s="0" t="s">
        <v>3292</v>
      </c>
      <c r="B44" s="0" t="s">
        <v>3293</v>
      </c>
    </row>
    <row customHeight="1" ht="11.25">
      <c r="A45" s="0" t="s">
        <v>3294</v>
      </c>
      <c r="B45" s="0" t="s">
        <v>3295</v>
      </c>
    </row>
    <row customHeight="1" ht="11.25">
      <c r="A46" s="0" t="s">
        <v>3296</v>
      </c>
      <c r="B46" s="0" t="s">
        <v>3297</v>
      </c>
    </row>
    <row customHeight="1" ht="11.25">
      <c r="A47" s="0" t="s">
        <v>3298</v>
      </c>
      <c r="B47" s="0" t="s">
        <v>3299</v>
      </c>
    </row>
    <row customHeight="1" ht="11.25">
      <c r="A48" s="0" t="s">
        <v>3300</v>
      </c>
      <c r="B48" s="0" t="s">
        <v>3301</v>
      </c>
    </row>
    <row customHeight="1" ht="11.25">
      <c r="A49" s="0" t="s">
        <v>3302</v>
      </c>
      <c r="B49" s="0" t="s">
        <v>3303</v>
      </c>
    </row>
    <row customHeight="1" ht="11.25">
      <c r="A50" s="0" t="s">
        <v>3304</v>
      </c>
      <c r="B50" s="0" t="s">
        <v>3305</v>
      </c>
    </row>
    <row customHeight="1" ht="11.25">
      <c r="A51" s="0" t="s">
        <v>3306</v>
      </c>
      <c r="B51" s="0" t="s">
        <v>3307</v>
      </c>
    </row>
    <row customHeight="1" ht="11.25">
      <c r="A52" s="0" t="s">
        <v>3308</v>
      </c>
      <c r="B52" s="0" t="s">
        <v>3309</v>
      </c>
    </row>
    <row customHeight="1" ht="11.25">
      <c r="A53" s="0" t="s">
        <v>3310</v>
      </c>
      <c r="B53" s="0" t="s">
        <v>3311</v>
      </c>
    </row>
    <row customHeight="1" ht="11.25">
      <c r="A54" s="0" t="s">
        <v>3312</v>
      </c>
      <c r="B54" s="0" t="s">
        <v>3313</v>
      </c>
    </row>
    <row customHeight="1" ht="11.25">
      <c r="A55" s="0" t="s">
        <v>3314</v>
      </c>
      <c r="B55" s="0" t="s">
        <v>3315</v>
      </c>
    </row>
    <row customHeight="1" ht="11.25">
      <c r="A56" s="0" t="s">
        <v>3316</v>
      </c>
      <c r="B56" s="0" t="s">
        <v>3317</v>
      </c>
    </row>
    <row customHeight="1" ht="11.25">
      <c r="A57" s="0" t="s">
        <v>3318</v>
      </c>
      <c r="B57" s="0" t="s">
        <v>3319</v>
      </c>
    </row>
    <row customHeight="1" ht="11.25">
      <c r="A58" s="0" t="s">
        <v>3320</v>
      </c>
      <c r="B58" s="0" t="s">
        <v>3321</v>
      </c>
    </row>
    <row customHeight="1" ht="11.25">
      <c r="A59" s="0" t="s">
        <v>3322</v>
      </c>
      <c r="B59" s="0" t="s">
        <v>3323</v>
      </c>
    </row>
    <row customHeight="1" ht="11.25">
      <c r="A60" s="0" t="s">
        <v>3324</v>
      </c>
      <c r="B60" s="0" t="s">
        <v>3325</v>
      </c>
    </row>
    <row customHeight="1" ht="11.25">
      <c r="A61" s="0"/>
      <c r="B61" s="0" t="s">
        <v>3326</v>
      </c>
    </row>
    <row customHeight="1" ht="11.25">
      <c r="A62" s="0"/>
      <c r="B62" s="0" t="s">
        <v>3327</v>
      </c>
    </row>
    <row customHeight="1" ht="11.25">
      <c r="A63" s="0"/>
      <c r="B63" s="0" t="s">
        <v>3328</v>
      </c>
    </row>
    <row customHeight="1" ht="11.25">
      <c r="A64" s="0"/>
      <c r="B64" s="0" t="s">
        <v>3329</v>
      </c>
    </row>
    <row customHeight="1" ht="11.25">
      <c r="A65" s="0"/>
      <c r="B65" s="0" t="s">
        <v>3330</v>
      </c>
    </row>
    <row customHeight="1" ht="11.25">
      <c r="A66" s="0"/>
      <c r="B66" s="0" t="s">
        <v>3331</v>
      </c>
    </row>
    <row customHeight="1" ht="11.25">
      <c r="A67" s="0"/>
      <c r="B67" s="0" t="s">
        <v>3332</v>
      </c>
    </row>
    <row customHeight="1" ht="11.25">
      <c r="A68" s="0"/>
      <c r="B68" s="0" t="s">
        <v>3333</v>
      </c>
    </row>
    <row customHeight="1" ht="11.25">
      <c r="A69" s="0"/>
      <c r="B69" s="0" t="s">
        <v>3334</v>
      </c>
    </row>
    <row customHeight="1" ht="11.25">
      <c r="A70" s="0"/>
      <c r="B70" s="0" t="s">
        <v>3335</v>
      </c>
    </row>
    <row customHeight="1" ht="11.25">
      <c r="A71" s="0"/>
      <c r="B71" s="0"/>
    </row>
    <row customHeight="1" ht="11.25">
      <c r="A72" s="0"/>
      <c r="B72" s="0"/>
    </row>
    <row customHeight="1" ht="11.25">
      <c r="A73" s="0"/>
      <c r="B73" s="0"/>
    </row>
    <row customHeight="1" ht="11.25">
      <c r="A74" s="0"/>
      <c r="B74" s="0"/>
    </row>
    <row customHeight="1" ht="11.25">
      <c r="A75" s="0"/>
      <c r="B75" s="0"/>
    </row>
    <row customHeight="1" ht="11.25">
      <c r="A76" s="0"/>
      <c r="B76" s="0"/>
    </row>
    <row customHeight="1" ht="11.25">
      <c r="A77" s="0"/>
      <c r="B77" s="0"/>
    </row>
    <row customHeight="1" ht="11.25">
      <c r="A78" s="0"/>
      <c r="B78" s="0"/>
    </row>
    <row customHeight="1" ht="11.25">
      <c r="A79" s="0"/>
      <c r="B79" s="0"/>
    </row>
    <row customHeight="1" ht="11.25">
      <c r="A80" s="0"/>
      <c r="B80" s="0"/>
    </row>
    <row customHeight="1" ht="11.25">
      <c r="A81" s="0"/>
      <c r="B81" s="0"/>
    </row>
    <row customHeight="1" ht="11.25">
      <c r="A82" s="0"/>
      <c r="B82" s="0"/>
    </row>
    <row customHeight="1" ht="11.25">
      <c r="A83" s="0"/>
      <c r="B83" s="0"/>
    </row>
    <row customHeight="1" ht="11.25">
      <c r="A84" s="0"/>
      <c r="B84" s="0"/>
    </row>
    <row customHeight="1" ht="11.25">
      <c r="A85" s="0"/>
      <c r="B85" s="0"/>
    </row>
    <row customHeight="1" ht="11.25">
      <c r="A86" s="0"/>
      <c r="B86" s="0"/>
    </row>
    <row customHeight="1" ht="11.25">
      <c r="A87" s="0"/>
      <c r="B87" s="0"/>
    </row>
    <row customHeight="1" ht="11.25">
      <c r="A88" s="0"/>
      <c r="B88" s="0"/>
    </row>
    <row customHeight="1" ht="11.25">
      <c r="A89" s="0"/>
      <c r="B89" s="0"/>
    </row>
    <row customHeight="1" ht="11.25">
      <c r="A90" s="0"/>
      <c r="B90" s="0"/>
    </row>
    <row customHeight="1" ht="11.25">
      <c r="A91" s="0"/>
      <c r="B91" s="0"/>
    </row>
    <row customHeight="1" ht="11.25">
      <c r="A92" s="0"/>
      <c r="B92" s="0"/>
    </row>
    <row customHeight="1" ht="11.25">
      <c r="A93" s="0"/>
      <c r="B93" s="0"/>
    </row>
    <row customHeight="1" ht="11.25">
      <c r="A94" s="0"/>
      <c r="B94" s="0"/>
    </row>
    <row customHeight="1" ht="11.25">
      <c r="A95" s="0"/>
      <c r="B95" s="0"/>
    </row>
    <row customHeight="1" ht="11.25">
      <c r="A96" s="0"/>
      <c r="B96" s="0"/>
    </row>
    <row customHeight="1" ht="11.25">
      <c r="A97" s="0"/>
      <c r="B97" s="0"/>
    </row>
    <row customHeight="1" ht="11.25">
      <c r="A98" s="0"/>
      <c r="B98" s="0"/>
    </row>
    <row customHeight="1" ht="11.25">
      <c r="A99" s="0"/>
      <c r="B99" s="0"/>
    </row>
    <row customHeight="1" ht="11.25">
      <c r="A100" s="0"/>
      <c r="B100" s="0"/>
    </row>
    <row customHeight="1" ht="11.25">
      <c r="A101" s="0"/>
      <c r="B101" s="0"/>
    </row>
    <row customHeight="1" ht="11.25">
      <c r="A102" s="0"/>
      <c r="B102" s="0"/>
    </row>
    <row customHeight="1" ht="11.25">
      <c r="A103" s="0"/>
      <c r="B103" s="0"/>
    </row>
    <row customHeight="1" ht="11.25">
      <c r="A104" s="0"/>
      <c r="B104" s="0"/>
    </row>
    <row customHeight="1" ht="11.25">
      <c r="A105" s="0"/>
      <c r="B105" s="0"/>
    </row>
    <row customHeight="1" ht="11.25">
      <c r="A106" s="0"/>
      <c r="B106" s="0"/>
    </row>
    <row customHeight="1" ht="11.25">
      <c r="A107" s="0"/>
      <c r="B107" s="0"/>
    </row>
    <row customHeight="1" ht="11.25">
      <c r="A108" s="0"/>
      <c r="B108" s="0"/>
    </row>
    <row customHeight="1" ht="11.25">
      <c r="A109" s="0"/>
      <c r="B109" s="0"/>
    </row>
    <row customHeight="1" ht="11.25">
      <c r="A110" s="0"/>
      <c r="B110" s="0"/>
    </row>
    <row customHeight="1" ht="11.25">
      <c r="A111" s="0"/>
      <c r="B111" s="0"/>
    </row>
    <row customHeight="1" ht="11.25">
      <c r="A112" s="0"/>
      <c r="B112" s="0"/>
    </row>
    <row customHeight="1" ht="11.25">
      <c r="A113" s="0"/>
      <c r="B113" s="0"/>
    </row>
    <row customHeight="1" ht="11.25">
      <c r="A114" s="0"/>
      <c r="B114" s="0"/>
    </row>
    <row customHeight="1" ht="11.25">
      <c r="A115" s="0"/>
      <c r="B115" s="0"/>
    </row>
    <row customHeight="1" ht="11.25">
      <c r="A116" s="0"/>
      <c r="B116" s="0"/>
    </row>
    <row customHeight="1" ht="11.25">
      <c r="A117" s="0"/>
      <c r="B117" s="0"/>
    </row>
    <row customHeight="1" ht="11.25">
      <c r="A118" s="0"/>
      <c r="B118" s="0"/>
    </row>
    <row customHeight="1" ht="11.25">
      <c r="A119" s="0"/>
      <c r="B119" s="0"/>
    </row>
    <row customHeight="1" ht="11.25">
      <c r="A120" s="0"/>
      <c r="B120" s="0"/>
    </row>
    <row customHeight="1" ht="11.25">
      <c r="A121" s="0"/>
      <c r="B121" s="0"/>
    </row>
    <row customHeight="1" ht="11.25">
      <c r="A122" s="0"/>
      <c r="B122" s="0"/>
    </row>
    <row customHeight="1" ht="11.25">
      <c r="A123" s="0"/>
      <c r="B123" s="0"/>
    </row>
    <row customHeight="1" ht="11.25">
      <c r="A124" s="0"/>
      <c r="B124" s="0"/>
    </row>
    <row customHeight="1" ht="11.25">
      <c r="A125" s="0"/>
      <c r="B125" s="0"/>
    </row>
    <row customHeight="1" ht="11.25">
      <c r="A126" s="0"/>
      <c r="B126" s="0"/>
    </row>
    <row customHeight="1" ht="11.25">
      <c r="A127" s="0"/>
      <c r="B127" s="0"/>
    </row>
    <row customHeight="1" ht="11.25">
      <c r="A128" s="0"/>
      <c r="B128" s="0"/>
    </row>
    <row customHeight="1" ht="11.25">
      <c r="A129" s="0"/>
      <c r="B129" s="0"/>
    </row>
    <row customHeight="1" ht="11.25">
      <c r="A130" s="0"/>
      <c r="B130" s="0"/>
    </row>
    <row customHeight="1" ht="11.25">
      <c r="A131" s="0"/>
      <c r="B131" s="0"/>
    </row>
    <row customHeight="1" ht="11.25">
      <c r="A132" s="0"/>
      <c r="B132" s="0"/>
    </row>
    <row customHeight="1" ht="11.25">
      <c r="A133" s="0"/>
      <c r="B133" s="0"/>
    </row>
    <row customHeight="1" ht="11.25">
      <c r="A134" s="0"/>
      <c r="B134" s="0"/>
    </row>
    <row customHeight="1" ht="11.25">
      <c r="A135" s="0"/>
      <c r="B135" s="0"/>
    </row>
    <row customHeight="1" ht="11.25">
      <c r="A136" s="0"/>
      <c r="B136" s="0"/>
    </row>
    <row customHeight="1" ht="11.25">
      <c r="A137" s="0"/>
      <c r="B137" s="0"/>
    </row>
    <row customHeight="1" ht="11.25">
      <c r="A138" s="0"/>
      <c r="B138" s="0"/>
    </row>
    <row customHeight="1" ht="11.25">
      <c r="A139" s="0"/>
      <c r="B139" s="0"/>
    </row>
    <row customHeight="1" ht="11.25">
      <c r="A140" s="0"/>
      <c r="B140" s="0"/>
    </row>
    <row customHeight="1" ht="11.25">
      <c r="A141" s="0"/>
      <c r="B141" s="0"/>
    </row>
    <row customHeight="1" ht="11.25">
      <c r="A142" s="0"/>
      <c r="B142" s="0"/>
    </row>
    <row customHeight="1" ht="11.25">
      <c r="A143" s="0"/>
      <c r="B143" s="0"/>
    </row>
    <row customHeight="1" ht="11.25">
      <c r="A144" s="0"/>
      <c r="B144" s="0"/>
    </row>
    <row customHeight="1" ht="11.25">
      <c r="A145" s="0"/>
      <c r="B145" s="0"/>
    </row>
    <row customHeight="1" ht="11.25">
      <c r="A146" s="0"/>
      <c r="B146" s="0"/>
    </row>
    <row customHeight="1" ht="11.25">
      <c r="A147" s="0"/>
      <c r="B147" s="0"/>
    </row>
    <row customHeight="1" ht="11.25">
      <c r="A148" s="0"/>
      <c r="B148" s="0"/>
    </row>
    <row customHeight="1" ht="11.25">
      <c r="A149" s="0"/>
      <c r="B149" s="0"/>
    </row>
    <row customHeight="1" ht="11.25">
      <c r="A150" s="0"/>
      <c r="B150" s="0"/>
    </row>
    <row customHeight="1" ht="11.25">
      <c r="A151" s="0"/>
      <c r="B151" s="0"/>
    </row>
    <row customHeight="1" ht="11.25">
      <c r="A152" s="0"/>
      <c r="B152" s="0"/>
    </row>
    <row customHeight="1" ht="11.25">
      <c r="A153" s="0"/>
      <c r="B153" s="0"/>
    </row>
    <row customHeight="1" ht="11.25">
      <c r="A154" s="0"/>
      <c r="B154" s="0"/>
    </row>
    <row customHeight="1" ht="11.25">
      <c r="A155" s="0"/>
      <c r="B155" s="0"/>
    </row>
    <row customHeight="1" ht="11.25">
      <c r="A156" s="0"/>
      <c r="B156" s="0"/>
    </row>
    <row customHeight="1" ht="11.25">
      <c r="A157" s="0"/>
      <c r="B157" s="0"/>
    </row>
    <row customHeight="1" ht="11.25">
      <c r="A158" s="0"/>
      <c r="B158" s="0"/>
    </row>
    <row customHeight="1" ht="11.25">
      <c r="A159" s="0"/>
      <c r="B159" s="0"/>
    </row>
    <row customHeight="1" ht="11.25">
      <c r="A160" s="0"/>
      <c r="B160" s="0"/>
    </row>
    <row customHeight="1" ht="11.25">
      <c r="A161" s="0"/>
      <c r="B161" s="0"/>
    </row>
    <row customHeight="1" ht="11.25">
      <c r="A162" s="0"/>
      <c r="B162" s="0"/>
    </row>
    <row customHeight="1" ht="11.25">
      <c r="A163" s="0"/>
      <c r="B163" s="0"/>
    </row>
    <row customHeight="1" ht="11.25">
      <c r="A164" s="0"/>
      <c r="B164" s="0"/>
    </row>
    <row customHeight="1" ht="11.25">
      <c r="A165" s="0"/>
      <c r="B165" s="0"/>
    </row>
    <row customHeight="1" ht="11.25">
      <c r="A166" s="0"/>
      <c r="B166" s="0"/>
    </row>
    <row customHeight="1" ht="11.25">
      <c r="A167" s="0"/>
      <c r="B167" s="0"/>
    </row>
    <row customHeight="1" ht="11.25">
      <c r="A168" s="0"/>
      <c r="B168" s="0"/>
    </row>
    <row customHeight="1" ht="11.25">
      <c r="A169" s="0"/>
      <c r="B169" s="0"/>
    </row>
    <row customHeight="1" ht="11.25">
      <c r="A170" s="0"/>
      <c r="B170" s="0"/>
    </row>
    <row customHeight="1" ht="11.25">
      <c r="A171" s="0"/>
      <c r="B171" s="0"/>
    </row>
    <row customHeight="1" ht="11.25">
      <c r="A172" s="0"/>
      <c r="B172" s="0"/>
    </row>
    <row customHeight="1" ht="11.25">
      <c r="A173" s="0"/>
      <c r="B173" s="0"/>
    </row>
    <row customHeight="1" ht="11.25">
      <c r="A174" s="0"/>
      <c r="B174" s="0"/>
    </row>
    <row customHeight="1" ht="11.25">
      <c r="A175" s="0"/>
      <c r="B175" s="0"/>
    </row>
    <row customHeight="1" ht="11.25">
      <c r="A176" s="0"/>
      <c r="B176" s="0"/>
    </row>
    <row customHeight="1" ht="11.25">
      <c r="A177" s="0"/>
      <c r="B177" s="0"/>
    </row>
    <row customHeight="1" ht="11.25">
      <c r="A178" s="0"/>
      <c r="B178" s="0"/>
    </row>
    <row customHeight="1" ht="11.25">
      <c r="A179" s="0"/>
      <c r="B179" s="0"/>
    </row>
    <row customHeight="1" ht="11.25">
      <c r="A180" s="0"/>
      <c r="B180" s="0"/>
    </row>
    <row customHeight="1" ht="11.25">
      <c r="A181" s="0"/>
      <c r="B181" s="0"/>
    </row>
    <row customHeight="1" ht="11.25">
      <c r="A182" s="0"/>
      <c r="B182" s="0"/>
    </row>
    <row customHeight="1" ht="11.25">
      <c r="A183" s="0"/>
      <c r="B183" s="0"/>
    </row>
    <row customHeight="1" ht="11.25">
      <c r="A184" s="0"/>
      <c r="B184" s="0"/>
    </row>
    <row customHeight="1" ht="11.25">
      <c r="A185" s="0"/>
      <c r="B185" s="0"/>
    </row>
    <row customHeight="1" ht="11.25">
      <c r="A186" s="0"/>
      <c r="B186" s="0"/>
    </row>
    <row customHeight="1" ht="11.25">
      <c r="A187" s="0"/>
      <c r="B187" s="0"/>
    </row>
    <row customHeight="1" ht="11.25">
      <c r="A188" s="0"/>
      <c r="B188" s="0"/>
    </row>
    <row customHeight="1" ht="11.25">
      <c r="A189" s="0"/>
      <c r="B189" s="0"/>
    </row>
    <row customHeight="1" ht="11.25">
      <c r="A190" s="0"/>
      <c r="B190" s="0"/>
    </row>
    <row customHeight="1" ht="11.25">
      <c r="A191" s="0"/>
      <c r="B191" s="0"/>
    </row>
    <row customHeight="1" ht="11.25">
      <c r="A192" s="0"/>
      <c r="B192" s="0"/>
    </row>
    <row customHeight="1" ht="11.25">
      <c r="A193" s="0"/>
      <c r="B193" s="0"/>
    </row>
    <row customHeight="1" ht="11.25">
      <c r="A194" s="0"/>
      <c r="B194" s="0"/>
    </row>
    <row customHeight="1" ht="11.25">
      <c r="A195" s="0"/>
      <c r="B195" s="0"/>
    </row>
    <row customHeight="1" ht="11.25">
      <c r="A196" s="0"/>
      <c r="B196" s="0"/>
    </row>
    <row customHeight="1" ht="11.25">
      <c r="A197" s="0"/>
      <c r="B197" s="0"/>
    </row>
    <row customHeight="1" ht="11.25">
      <c r="A198" s="0"/>
      <c r="B198" s="0"/>
    </row>
    <row customHeight="1" ht="11.25">
      <c r="A199" s="0"/>
      <c r="B199" s="0"/>
    </row>
    <row customHeight="1" ht="11.25">
      <c r="A200" s="0"/>
      <c r="B200" s="0"/>
    </row>
    <row customHeight="1" ht="11.25">
      <c r="A201" s="0"/>
      <c r="B201" s="0"/>
    </row>
    <row customHeight="1" ht="11.25">
      <c r="A202" s="0"/>
      <c r="B202" s="0"/>
    </row>
    <row customHeight="1" ht="11.25">
      <c r="A203" s="0"/>
      <c r="B203" s="0"/>
    </row>
    <row customHeight="1" ht="11.25">
      <c r="A204" s="0"/>
      <c r="B204" s="0"/>
    </row>
    <row customHeight="1" ht="11.25">
      <c r="A205" s="0"/>
      <c r="B205" s="0"/>
    </row>
    <row customHeight="1" ht="11.25">
      <c r="A206" s="0"/>
      <c r="B206" s="0"/>
    </row>
    <row customHeight="1" ht="11.25">
      <c r="A207" s="0"/>
      <c r="B207" s="0"/>
    </row>
    <row customHeight="1" ht="11.25">
      <c r="A208" s="0"/>
      <c r="B208" s="0"/>
    </row>
    <row customHeight="1" ht="11.25">
      <c r="A209" s="0"/>
      <c r="B209" s="0"/>
    </row>
    <row customHeight="1" ht="11.25">
      <c r="A210" s="0"/>
      <c r="B210" s="0"/>
    </row>
    <row customHeight="1" ht="11.25">
      <c r="A211" s="0"/>
      <c r="B211" s="0"/>
    </row>
    <row customHeight="1" ht="11.25">
      <c r="A212" s="0"/>
      <c r="B212" s="0"/>
    </row>
    <row customHeight="1" ht="11.25">
      <c r="A213" s="0"/>
      <c r="B213" s="0"/>
    </row>
    <row customHeight="1" ht="11.25">
      <c r="A214" s="0"/>
      <c r="B214" s="0"/>
    </row>
    <row customHeight="1" ht="11.25">
      <c r="A215" s="0"/>
      <c r="B215" s="0"/>
    </row>
    <row customHeight="1" ht="11.25">
      <c r="A216" s="0"/>
      <c r="B216" s="0"/>
    </row>
    <row customHeight="1" ht="11.25">
      <c r="A217" s="0"/>
      <c r="B217" s="0"/>
    </row>
    <row customHeight="1" ht="11.25">
      <c r="A218" s="0"/>
      <c r="B218" s="0"/>
    </row>
    <row customHeight="1" ht="11.25">
      <c r="A219" s="0"/>
      <c r="B219" s="0"/>
    </row>
    <row customHeight="1" ht="11.25">
      <c r="A220" s="0"/>
      <c r="B220" s="0"/>
    </row>
    <row customHeight="1" ht="11.25">
      <c r="A221" s="0"/>
      <c r="B221" s="0"/>
    </row>
    <row customHeight="1" ht="11.25">
      <c r="A222" s="0"/>
      <c r="B222" s="0"/>
    </row>
    <row customHeight="1" ht="11.25">
      <c r="A223" s="0"/>
      <c r="B223" s="0"/>
    </row>
    <row customHeight="1" ht="11.25">
      <c r="A224" s="0"/>
      <c r="B224" s="0"/>
    </row>
    <row customHeight="1" ht="11.25">
      <c r="A225" s="0"/>
      <c r="B225" s="0"/>
    </row>
    <row customHeight="1" ht="11.25">
      <c r="A226" s="0"/>
      <c r="B226" s="0"/>
    </row>
    <row customHeight="1" ht="11.25">
      <c r="A227" s="0"/>
      <c r="B227" s="0"/>
    </row>
    <row customHeight="1" ht="11.25">
      <c r="A228" s="0"/>
      <c r="B228" s="0"/>
    </row>
    <row customHeight="1" ht="11.25">
      <c r="A229" s="0"/>
      <c r="B229" s="0"/>
    </row>
    <row customHeight="1" ht="11.25">
      <c r="A230" s="0"/>
      <c r="B230" s="0"/>
    </row>
    <row customHeight="1" ht="11.25">
      <c r="A231" s="0"/>
      <c r="B231" s="0"/>
    </row>
    <row customHeight="1" ht="11.25">
      <c r="A232" s="0"/>
      <c r="B232" s="0"/>
    </row>
    <row customHeight="1" ht="11.25">
      <c r="A233" s="0"/>
      <c r="B233" s="0"/>
    </row>
    <row customHeight="1" ht="11.25">
      <c r="A234" s="0"/>
      <c r="B234" s="0"/>
    </row>
    <row customHeight="1" ht="11.25">
      <c r="A235" s="0"/>
      <c r="B235" s="0"/>
    </row>
    <row customHeight="1" ht="11.25">
      <c r="A236" s="0"/>
      <c r="B236" s="0"/>
    </row>
    <row customHeight="1" ht="11.25">
      <c r="A237" s="0"/>
      <c r="B237" s="0"/>
    </row>
    <row customHeight="1" ht="11.25">
      <c r="A238" s="0"/>
      <c r="B238" s="0"/>
    </row>
    <row customHeight="1" ht="11.25">
      <c r="A239" s="0"/>
      <c r="B239" s="0"/>
    </row>
    <row customHeight="1" ht="11.25">
      <c r="A240" s="0"/>
      <c r="B240" s="0"/>
    </row>
    <row customHeight="1" ht="11.25">
      <c r="A241" s="0"/>
      <c r="B241" s="0"/>
    </row>
    <row customHeight="1" ht="11.25">
      <c r="A242" s="0"/>
      <c r="B242" s="0"/>
    </row>
    <row customHeight="1" ht="11.25">
      <c r="A243" s="0"/>
      <c r="B243" s="0"/>
    </row>
    <row customHeight="1" ht="11.25">
      <c r="A244" s="0"/>
      <c r="B244" s="0"/>
    </row>
    <row customHeight="1" ht="11.25">
      <c r="A245" s="0"/>
      <c r="B245" s="0"/>
    </row>
    <row customHeight="1" ht="11.25">
      <c r="A246" s="0"/>
      <c r="B246" s="0"/>
    </row>
    <row customHeight="1" ht="11.25">
      <c r="A247" s="0"/>
      <c r="B247" s="0"/>
    </row>
    <row customHeight="1" ht="11.25">
      <c r="A248" s="0"/>
      <c r="B248" s="0"/>
    </row>
    <row customHeight="1" ht="11.25">
      <c r="A249" s="0"/>
      <c r="B249" s="0"/>
    </row>
    <row customHeight="1" ht="11.25">
      <c r="A250" s="0"/>
      <c r="B250" s="0"/>
    </row>
    <row customHeight="1" ht="11.25">
      <c r="A251" s="0"/>
      <c r="B251" s="0"/>
    </row>
    <row customHeight="1" ht="11.25">
      <c r="A252" s="0"/>
      <c r="B252" s="0"/>
    </row>
    <row customHeight="1" ht="11.25">
      <c r="A253" s="0"/>
      <c r="B253" s="0"/>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1C7501-1E4F-C07F-BBD8-A946F26692F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437" width="3.7109375" customWidth="1"/>
    <col min="2" max="2" style="2437" width="90.7109375" customWidth="1"/>
    <col min="3" max="4" style="2437" width="9.140625"/>
  </cols>
  <sheetData>
    <row customHeight="1" ht="11.25">
      <c r="B1" s="72" t="s">
        <v>3336</v>
      </c>
    </row>
    <row customHeight="1" ht="90">
      <c r="B2" s="73" t="s">
        <v>3337</v>
      </c>
    </row>
    <row customHeight="1" ht="67.5">
      <c r="B3" s="73" t="s">
        <v>3338</v>
      </c>
    </row>
    <row customHeight="1" ht="33.75">
      <c r="B4" s="73" t="s">
        <v>3339</v>
      </c>
    </row>
    <row customHeight="1" ht="11.25">
      <c r="B5" s="73" t="s">
        <v>3340</v>
      </c>
    </row>
    <row customHeight="1" ht="22.5">
      <c r="B6" s="73" t="s">
        <v>3341</v>
      </c>
    </row>
    <row customHeight="1" ht="22.5">
      <c r="B7" s="73" t="s">
        <v>3342</v>
      </c>
    </row>
    <row customHeight="1" ht="22.5">
      <c r="B8" s="73" t="s">
        <v>3343</v>
      </c>
    </row>
    <row customHeight="1" ht="22.5">
      <c r="B9" s="73" t="s">
        <v>3344</v>
      </c>
    </row>
    <row customHeight="1" ht="56.25">
      <c r="B10" s="73" t="s">
        <v>3345</v>
      </c>
    </row>
    <row customHeight="1" ht="12.75">
      <c r="B11" s="139" t="s">
        <v>3346</v>
      </c>
    </row>
    <row customHeight="1" ht="11.25">
      <c r="B12" s="72" t="s">
        <v>3347</v>
      </c>
    </row>
    <row customHeight="1" ht="22.5">
      <c r="B13" s="73" t="s">
        <v>3348</v>
      </c>
    </row>
    <row customHeight="1" ht="67.5">
      <c r="B14" s="73" t="s">
        <v>3349</v>
      </c>
    </row>
    <row customHeight="1" ht="22.5">
      <c r="B15" s="73" t="s">
        <v>3350</v>
      </c>
    </row>
    <row customHeight="1" ht="11.25">
      <c r="B16" s="72" t="s">
        <v>3351</v>
      </c>
      <c r="D16" s="80"/>
    </row>
    <row customHeight="1" ht="33.75">
      <c r="B17" s="73" t="s">
        <v>3352</v>
      </c>
    </row>
    <row customHeight="1" ht="33.75">
      <c r="B18" s="73" t="s">
        <v>3353</v>
      </c>
    </row>
    <row customHeight="1" ht="11.25">
      <c r="B19" s="73" t="s">
        <v>3354</v>
      </c>
    </row>
    <row customHeight="1" ht="33.75">
      <c r="B20" s="73" t="s">
        <v>3355</v>
      </c>
    </row>
    <row customHeight="1" ht="11.25">
      <c r="B21" s="72" t="s">
        <v>3356</v>
      </c>
    </row>
    <row customHeight="1" ht="11.25">
      <c r="B22" s="73" t="s">
        <v>3357</v>
      </c>
    </row>
    <row r="24" customHeight="1" ht="22.5">
      <c r="B24" s="141" t="s">
        <v>3358</v>
      </c>
    </row>
    <row r="26" customHeight="1" ht="11.25">
      <c r="B26" s="72" t="s">
        <v>3359</v>
      </c>
    </row>
    <row customHeight="1" ht="22.5">
      <c r="B27" s="140" t="s">
        <v>410</v>
      </c>
    </row>
    <row customHeight="1" ht="56.25">
      <c r="B28" s="140" t="s">
        <v>3360</v>
      </c>
    </row>
    <row customHeight="1" ht="11.25">
      <c r="B29" s="189" t="s">
        <v>3361</v>
      </c>
    </row>
    <row customHeight="1" ht="22.5">
      <c r="B30" s="140" t="s">
        <v>3362</v>
      </c>
    </row>
    <row r="32" customHeight="1" ht="11.25">
      <c r="A32" s="0"/>
      <c r="B32" s="168" t="s">
        <v>3363</v>
      </c>
    </row>
    <row customHeight="1" ht="14.25">
      <c r="A33" s="169">
        <v>1</v>
      </c>
      <c r="B33" s="170" t="s">
        <v>3364</v>
      </c>
    </row>
    <row customHeight="1" ht="14.25">
      <c r="A34" s="169">
        <v>2</v>
      </c>
      <c r="B34" s="170" t="s">
        <v>3365</v>
      </c>
    </row>
    <row customHeight="1" ht="11.25">
      <c r="B35" s="168" t="s">
        <v>3366</v>
      </c>
    </row>
    <row customHeight="1" ht="11.25">
      <c r="B36" s="170" t="s">
        <v>3367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